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los.popovic\Dropbox\MINISTARSTVO FINANSIJA\SEP\99_Arhiva\01_Analize\Bilten - 2014 - IV kvartal - Analiza\"/>
    </mc:Choice>
  </mc:AlternateContent>
  <bookViews>
    <workbookView xWindow="11340" yWindow="255" windowWidth="13155" windowHeight="7905" tabRatio="816" activeTab="2"/>
  </bookViews>
  <sheets>
    <sheet name="Cental Budget" sheetId="10" r:id="rId1"/>
    <sheet name="Local Government" sheetId="32" r:id="rId2"/>
    <sheet name="Public Expenditure" sheetId="33" r:id="rId3"/>
    <sheet name="PRIMICI" sheetId="29" state="hidden" r:id="rId4"/>
    <sheet name="DEFICIT Tabela" sheetId="30" state="hidden" r:id="rId5"/>
    <sheet name="MasterSheet" sheetId="13" state="hidden" r:id="rId6"/>
    <sheet name="Sheet1" sheetId="31" state="hidden" r:id="rId7"/>
    <sheet name="Sheet2" sheetId="36" state="hidden" r:id="rId8"/>
    <sheet name="Sheet3" sheetId="37" state="hidden" r:id="rId9"/>
  </sheets>
  <externalReferences>
    <externalReference r:id="rId10"/>
  </externalReferences>
  <definedNames>
    <definedName name="_Order1" hidden="1">0</definedName>
    <definedName name="_Order2" hidden="1">0</definedName>
    <definedName name="_Regression_Out" localSheetId="4" hidden="1">#REF!</definedName>
    <definedName name="_Regression_Out" localSheetId="1" hidden="1">#REF!</definedName>
    <definedName name="_Regression_Out" localSheetId="3" hidden="1">#REF!</definedName>
    <definedName name="_Regression_Out" localSheetId="2" hidden="1">#REF!</definedName>
    <definedName name="_Regression_Out" hidden="1">#REF!</definedName>
    <definedName name="_Regression_X" localSheetId="4" hidden="1">#REF!</definedName>
    <definedName name="_Regression_X" localSheetId="1" hidden="1">#REF!</definedName>
    <definedName name="_Regression_X" localSheetId="3" hidden="1">#REF!</definedName>
    <definedName name="_Regression_X" localSheetId="2" hidden="1">#REF!</definedName>
    <definedName name="_Regression_X" hidden="1">#REF!</definedName>
    <definedName name="_Regression_Y" localSheetId="1" hidden="1">#REF!</definedName>
    <definedName name="_Regression_Y" localSheetId="2" hidden="1">#REF!</definedName>
    <definedName name="_Regression_Y" hidden="1">#REF!</definedName>
    <definedName name="a" hidden="1">#REF!</definedName>
    <definedName name="Z_05AB59A7_9F04_4F70_A17E_8EF60EF35C7C_.wvu.PrintArea" localSheetId="0" hidden="1">'Cental Budget'!$B$13:$C$72</definedName>
    <definedName name="Z_05AB59A7_9F04_4F70_A17E_8EF60EF35C7C_.wvu.PrintArea" localSheetId="1" hidden="1">'Local Government'!$B$13:$M$74</definedName>
    <definedName name="Z_05AB59A7_9F04_4F70_A17E_8EF60EF35C7C_.wvu.PrintArea" localSheetId="2" hidden="1">'Public Expenditure'!$B$13:$M$75</definedName>
    <definedName name="Z_636A372C_EE02_4B23_8381_E3299ADF8816_.wvu.Cols" localSheetId="0" hidden="1">'Cental Budget'!#REF!</definedName>
    <definedName name="Z_636A372C_EE02_4B23_8381_E3299ADF8816_.wvu.Cols" localSheetId="1" hidden="1">'Local Government'!#REF!</definedName>
    <definedName name="Z_636A372C_EE02_4B23_8381_E3299ADF8816_.wvu.Cols" localSheetId="2" hidden="1">'Public Expenditure'!#REF!</definedName>
    <definedName name="Z_7AC1CC92_093E_4DA9_98F8_470D5521A68C_.wvu.Rows" localSheetId="0" hidden="1">'Cental Budget'!#REF!,'Cental Budget'!#REF!,'Cental Budget'!#REF!,'Cental Budget'!#REF!</definedName>
    <definedName name="Z_7AC1CC92_093E_4DA9_98F8_470D5521A68C_.wvu.Rows" localSheetId="1" hidden="1">'Local Government'!#REF!,'Local Government'!#REF!,'Local Government'!#REF!,'Local Government'!#REF!</definedName>
    <definedName name="Z_7AC1CC92_093E_4DA9_98F8_470D5521A68C_.wvu.Rows" localSheetId="2" hidden="1">'Public Expenditure'!#REF!,'Public Expenditure'!#REF!,'Public Expenditure'!#REF!,'Public Expenditure'!#REF!</definedName>
    <definedName name="Z_A32CDCC2_9D7B_41FA_91EC_562A88521235_.wvu.Cols" localSheetId="0" hidden="1">'Cental Budget'!#REF!,'Cental Budget'!#REF!</definedName>
    <definedName name="Z_A32CDCC2_9D7B_41FA_91EC_562A88521235_.wvu.Cols" localSheetId="1" hidden="1">'Local Government'!#REF!,'Local Government'!#REF!</definedName>
    <definedName name="Z_A32CDCC2_9D7B_41FA_91EC_562A88521235_.wvu.Cols" localSheetId="2" hidden="1">'Public Expenditure'!#REF!,'Public Expenditure'!#REF!</definedName>
    <definedName name="Z_F37FAB72_D883_4CEB_A5EC_0FA851AD2DC3_.wvu.Cols" localSheetId="0" hidden="1">'Cental Budget'!#REF!</definedName>
    <definedName name="Z_F37FAB72_D883_4CEB_A5EC_0FA851AD2DC3_.wvu.Cols" localSheetId="1" hidden="1">'Local Government'!#REF!</definedName>
    <definedName name="Z_F37FAB72_D883_4CEB_A5EC_0FA851AD2DC3_.wvu.Cols" localSheetId="2" hidden="1">'Public Expenditure'!#REF!</definedName>
  </definedNames>
  <calcPr calcId="152511"/>
  <customWorkbookViews>
    <customWorkbookView name="RATKO - Personal View" guid="{A4D59F75-8091-4878-A19C-E6F7EFCC98D0}" mergeInterval="0" personalView="1" maximized="1" windowWidth="1276" windowHeight="850" activeSheetId="5"/>
    <customWorkbookView name="pc - Personal View" guid="{5F444141-AB98-4370-9413-F1F0A45DC16B}" mergeInterval="0" personalView="1" maximized="1" windowWidth="1276" windowHeight="874" activeSheetId="5"/>
    <customWorkbookView name="iva.vukovic - Personal View" guid="{E484E83A-8AE1-4ACE-A5D4-7D98A52A9B4B}" mergeInterval="0" personalView="1" maximized="1" windowWidth="1276" windowHeight="856" tabRatio="796" activeSheetId="3"/>
  </customWorkbookViews>
  <fileRecoveryPr autoRecover="0"/>
</workbook>
</file>

<file path=xl/calcChain.xml><?xml version="1.0" encoding="utf-8"?>
<calcChain xmlns="http://schemas.openxmlformats.org/spreadsheetml/2006/main">
  <c r="K75" i="32" l="1"/>
  <c r="K74" i="32"/>
  <c r="K73" i="32"/>
  <c r="K72" i="32"/>
  <c r="K71" i="32"/>
  <c r="K70" i="32"/>
  <c r="K69" i="32"/>
  <c r="K68" i="32"/>
  <c r="K67" i="32"/>
  <c r="K66" i="32"/>
  <c r="K65" i="32"/>
  <c r="K64" i="32"/>
  <c r="K63" i="32"/>
  <c r="K62" i="32"/>
  <c r="K61" i="32"/>
  <c r="K60" i="32"/>
  <c r="K59" i="32"/>
  <c r="K58" i="32"/>
  <c r="K57" i="32"/>
  <c r="K56" i="32"/>
  <c r="K55" i="32"/>
  <c r="K54" i="32"/>
  <c r="K53" i="32"/>
  <c r="K52" i="32"/>
  <c r="K51" i="32"/>
  <c r="K50" i="32"/>
  <c r="K49" i="32"/>
  <c r="K48" i="32"/>
  <c r="K47" i="32"/>
  <c r="K46" i="32"/>
  <c r="K45" i="32"/>
  <c r="K44" i="32"/>
  <c r="K43" i="32"/>
  <c r="K42" i="32"/>
  <c r="K41" i="32"/>
  <c r="K40" i="32"/>
  <c r="K39" i="32"/>
  <c r="K38" i="32"/>
  <c r="K37" i="32"/>
  <c r="K36" i="32"/>
  <c r="K35" i="32"/>
  <c r="K34" i="32"/>
  <c r="K33" i="32"/>
  <c r="K32" i="32"/>
  <c r="K31" i="32"/>
  <c r="K30" i="32"/>
  <c r="K29" i="32"/>
  <c r="K28" i="32"/>
  <c r="K27" i="32"/>
  <c r="K26" i="32"/>
  <c r="K25" i="32"/>
  <c r="K24" i="32"/>
  <c r="K23" i="32"/>
  <c r="K22" i="32"/>
  <c r="K21" i="32"/>
  <c r="K20" i="32"/>
  <c r="K19" i="32"/>
  <c r="K18" i="32"/>
  <c r="K17" i="32"/>
  <c r="K16" i="32"/>
  <c r="G75" i="32"/>
  <c r="G74" i="32"/>
  <c r="G73" i="32"/>
  <c r="G72" i="32"/>
  <c r="G71" i="32"/>
  <c r="G70" i="32"/>
  <c r="G69" i="32"/>
  <c r="G68" i="32"/>
  <c r="G67" i="32"/>
  <c r="G66" i="32"/>
  <c r="G65" i="32"/>
  <c r="G64" i="32"/>
  <c r="G63" i="32"/>
  <c r="G62" i="32"/>
  <c r="G61" i="32"/>
  <c r="G60" i="32"/>
  <c r="G59" i="32"/>
  <c r="G58" i="32"/>
  <c r="G57" i="32"/>
  <c r="G56" i="32"/>
  <c r="G55" i="32"/>
  <c r="G54" i="32"/>
  <c r="G53" i="32"/>
  <c r="G52" i="32"/>
  <c r="G51" i="32"/>
  <c r="G50" i="32"/>
  <c r="G49" i="32"/>
  <c r="G48" i="32"/>
  <c r="G47" i="32"/>
  <c r="G46" i="32"/>
  <c r="G45" i="32"/>
  <c r="G44" i="32"/>
  <c r="G43" i="32"/>
  <c r="G42" i="32"/>
  <c r="G41" i="32"/>
  <c r="G40" i="32"/>
  <c r="G39" i="32"/>
  <c r="G38" i="32"/>
  <c r="G37" i="32"/>
  <c r="G36" i="32"/>
  <c r="G35" i="32"/>
  <c r="G34" i="32"/>
  <c r="G33" i="32"/>
  <c r="G32" i="32"/>
  <c r="G31" i="32"/>
  <c r="G30" i="32"/>
  <c r="G29" i="32"/>
  <c r="G28" i="32"/>
  <c r="G27" i="32"/>
  <c r="G26" i="32"/>
  <c r="G25" i="32"/>
  <c r="G24" i="32"/>
  <c r="G23" i="32"/>
  <c r="G22" i="32"/>
  <c r="G21" i="32"/>
  <c r="G20" i="32"/>
  <c r="G19" i="32"/>
  <c r="G18" i="32"/>
  <c r="G17" i="32"/>
  <c r="G16" i="32"/>
  <c r="E75" i="32"/>
  <c r="E73" i="32"/>
  <c r="E72" i="32"/>
  <c r="E71" i="32"/>
  <c r="E68" i="32"/>
  <c r="E67" i="32"/>
  <c r="E66" i="32"/>
  <c r="E65" i="32"/>
  <c r="E62" i="32"/>
  <c r="E61" i="32"/>
  <c r="E60" i="32"/>
  <c r="E59" i="32"/>
  <c r="E58" i="32"/>
  <c r="E57" i="32"/>
  <c r="E56" i="32"/>
  <c r="E55" i="32"/>
  <c r="E54" i="32"/>
  <c r="E53" i="32"/>
  <c r="E52" i="32"/>
  <c r="E51" i="32"/>
  <c r="E50" i="32"/>
  <c r="E49" i="32"/>
  <c r="E48" i="32"/>
  <c r="E47" i="32"/>
  <c r="E46" i="32"/>
  <c r="E45" i="32"/>
  <c r="E44" i="32"/>
  <c r="E43" i="32"/>
  <c r="E42" i="32"/>
  <c r="E41" i="32"/>
  <c r="E40" i="32"/>
  <c r="E39" i="32"/>
  <c r="E38" i="32"/>
  <c r="E37" i="32"/>
  <c r="E36" i="32"/>
  <c r="E35" i="32"/>
  <c r="E34" i="32"/>
  <c r="E33" i="32"/>
  <c r="E32" i="32"/>
  <c r="E31" i="32"/>
  <c r="E30" i="32"/>
  <c r="E29" i="32"/>
  <c r="E28" i="32"/>
  <c r="E27" i="32"/>
  <c r="E26" i="32"/>
  <c r="E25" i="32"/>
  <c r="E24" i="32"/>
  <c r="E23" i="32"/>
  <c r="E22" i="32"/>
  <c r="E20" i="32"/>
  <c r="E19" i="32"/>
  <c r="E18" i="32"/>
  <c r="E17" i="32"/>
  <c r="J79" i="36" l="1"/>
  <c r="I79" i="36"/>
  <c r="H79" i="36"/>
  <c r="G79" i="36"/>
  <c r="F79" i="36"/>
  <c r="E79" i="36"/>
  <c r="D79" i="36"/>
  <c r="C79" i="36"/>
  <c r="J78" i="36"/>
  <c r="I78" i="36"/>
  <c r="H78" i="36"/>
  <c r="F78" i="36"/>
  <c r="D78" i="36"/>
  <c r="J77" i="36"/>
  <c r="I77" i="36"/>
  <c r="H77" i="36"/>
  <c r="F77" i="36"/>
  <c r="D77" i="36"/>
  <c r="J76" i="36"/>
  <c r="I76" i="36"/>
  <c r="H76" i="36"/>
  <c r="F76" i="36"/>
  <c r="D76" i="36"/>
  <c r="J75" i="36"/>
  <c r="I75" i="36"/>
  <c r="H75" i="36"/>
  <c r="G75" i="36"/>
  <c r="F75" i="36"/>
  <c r="E75" i="36"/>
  <c r="D75" i="36"/>
  <c r="C75" i="36"/>
  <c r="J74" i="36"/>
  <c r="I74" i="36"/>
  <c r="H74" i="36"/>
  <c r="F74" i="36"/>
  <c r="E74" i="36"/>
  <c r="D74" i="36"/>
  <c r="C74" i="36"/>
  <c r="J73" i="36"/>
  <c r="I73" i="36"/>
  <c r="H73" i="36"/>
  <c r="F73" i="36"/>
  <c r="D73" i="36"/>
  <c r="J72" i="36"/>
  <c r="I72" i="36"/>
  <c r="H72" i="36"/>
  <c r="F72" i="36"/>
  <c r="D72" i="36"/>
  <c r="J71" i="36"/>
  <c r="I71" i="36"/>
  <c r="H71" i="36"/>
  <c r="F71" i="36"/>
  <c r="D71" i="36"/>
  <c r="J70" i="36"/>
  <c r="I70" i="36"/>
  <c r="H70" i="36"/>
  <c r="G70" i="36"/>
  <c r="F70" i="36"/>
  <c r="E70" i="36"/>
  <c r="D70" i="36"/>
  <c r="C70" i="36"/>
  <c r="J69" i="36"/>
  <c r="I69" i="36"/>
  <c r="H69" i="36"/>
  <c r="G69" i="36"/>
  <c r="F69" i="36"/>
  <c r="E69" i="36"/>
  <c r="D69" i="36"/>
  <c r="C69" i="36"/>
  <c r="J68" i="36"/>
  <c r="I68" i="36"/>
  <c r="H68" i="36"/>
  <c r="G68" i="36"/>
  <c r="F68" i="36"/>
  <c r="E68" i="36"/>
  <c r="D68" i="36"/>
  <c r="C68" i="36"/>
  <c r="J67" i="36"/>
  <c r="I67" i="36"/>
  <c r="H67" i="36"/>
  <c r="F67" i="36"/>
  <c r="D67" i="36"/>
  <c r="J66" i="36"/>
  <c r="I66" i="36"/>
  <c r="H66" i="36"/>
  <c r="F66" i="36"/>
  <c r="D66" i="36"/>
  <c r="J65" i="36"/>
  <c r="I65" i="36"/>
  <c r="H65" i="36"/>
  <c r="F65" i="36"/>
  <c r="D65" i="36"/>
  <c r="J64" i="36"/>
  <c r="I64" i="36"/>
  <c r="H64" i="36"/>
  <c r="F64" i="36"/>
  <c r="D64" i="36"/>
  <c r="J63" i="36"/>
  <c r="I63" i="36"/>
  <c r="H63" i="36"/>
  <c r="F63" i="36"/>
  <c r="D63" i="36"/>
  <c r="J62" i="36"/>
  <c r="I62" i="36"/>
  <c r="H62" i="36"/>
  <c r="F62" i="36"/>
  <c r="D62" i="36"/>
  <c r="J61" i="36"/>
  <c r="I61" i="36"/>
  <c r="H61" i="36"/>
  <c r="F61" i="36"/>
  <c r="D61" i="36"/>
  <c r="J60" i="36"/>
  <c r="I60" i="36"/>
  <c r="H60" i="36"/>
  <c r="G60" i="36"/>
  <c r="F60" i="36"/>
  <c r="E60" i="36"/>
  <c r="D60" i="36"/>
  <c r="C60" i="36"/>
  <c r="J59" i="36"/>
  <c r="I59" i="36"/>
  <c r="H59" i="36"/>
  <c r="F59" i="36"/>
  <c r="D59" i="36"/>
  <c r="J58" i="36"/>
  <c r="I58" i="36"/>
  <c r="H58" i="36"/>
  <c r="F58" i="36"/>
  <c r="D58" i="36"/>
  <c r="J57" i="36"/>
  <c r="I57" i="36"/>
  <c r="H57" i="36"/>
  <c r="F57" i="36"/>
  <c r="D57" i="36"/>
  <c r="J56" i="36"/>
  <c r="I56" i="36"/>
  <c r="H56" i="36"/>
  <c r="F56" i="36"/>
  <c r="D56" i="36"/>
  <c r="J55" i="36"/>
  <c r="I55" i="36"/>
  <c r="H55" i="36"/>
  <c r="F55" i="36"/>
  <c r="D55" i="36"/>
  <c r="J54" i="36"/>
  <c r="I54" i="36"/>
  <c r="H54" i="36"/>
  <c r="G54" i="36"/>
  <c r="F54" i="36"/>
  <c r="E54" i="36"/>
  <c r="D54" i="36"/>
  <c r="C54" i="36"/>
  <c r="J53" i="36"/>
  <c r="I53" i="36"/>
  <c r="H53" i="36"/>
  <c r="F53" i="36"/>
  <c r="D53" i="36"/>
  <c r="J52" i="36"/>
  <c r="I52" i="36"/>
  <c r="H52" i="36"/>
  <c r="F52" i="36"/>
  <c r="D52" i="36"/>
  <c r="J51" i="36"/>
  <c r="I51" i="36"/>
  <c r="H51" i="36"/>
  <c r="F51" i="36"/>
  <c r="D51" i="36"/>
  <c r="J50" i="36"/>
  <c r="I50" i="36"/>
  <c r="H50" i="36"/>
  <c r="F50" i="36"/>
  <c r="D50" i="36"/>
  <c r="J49" i="36"/>
  <c r="I49" i="36"/>
  <c r="H49" i="36"/>
  <c r="F49" i="36"/>
  <c r="D49" i="36"/>
  <c r="J48" i="36"/>
  <c r="I48" i="36"/>
  <c r="H48" i="36"/>
  <c r="F48" i="36"/>
  <c r="D48" i="36"/>
  <c r="J47" i="36"/>
  <c r="I47" i="36"/>
  <c r="H47" i="36"/>
  <c r="F47" i="36"/>
  <c r="D47" i="36"/>
  <c r="J46" i="36"/>
  <c r="I46" i="36"/>
  <c r="H46" i="36"/>
  <c r="F46" i="36"/>
  <c r="D46" i="36"/>
  <c r="J45" i="36"/>
  <c r="I45" i="36"/>
  <c r="H45" i="36"/>
  <c r="F45" i="36"/>
  <c r="D45" i="36"/>
  <c r="J44" i="36"/>
  <c r="I44" i="36"/>
  <c r="H44" i="36"/>
  <c r="F44" i="36"/>
  <c r="D44" i="36"/>
  <c r="J43" i="36"/>
  <c r="I43" i="36"/>
  <c r="H43" i="36"/>
  <c r="G43" i="36"/>
  <c r="F43" i="36"/>
  <c r="E43" i="36"/>
  <c r="D43" i="36"/>
  <c r="C43" i="36"/>
  <c r="J42" i="36"/>
  <c r="I42" i="36"/>
  <c r="H42" i="36"/>
  <c r="G42" i="36"/>
  <c r="F42" i="36"/>
  <c r="E42" i="36"/>
  <c r="D42" i="36"/>
  <c r="C42" i="36"/>
  <c r="J41" i="36"/>
  <c r="I41" i="36"/>
  <c r="H41" i="36"/>
  <c r="G41" i="36"/>
  <c r="F41" i="36"/>
  <c r="E41" i="36"/>
  <c r="D41" i="36"/>
  <c r="C41" i="36"/>
  <c r="J40" i="36"/>
  <c r="I40" i="36"/>
  <c r="H40" i="36"/>
  <c r="F40" i="36"/>
  <c r="D40" i="36"/>
  <c r="J39" i="36"/>
  <c r="I39" i="36"/>
  <c r="H39" i="36"/>
  <c r="F39" i="36"/>
  <c r="D39" i="36"/>
  <c r="J38" i="36"/>
  <c r="I38" i="36"/>
  <c r="H38" i="36"/>
  <c r="F38" i="36"/>
  <c r="D38" i="36"/>
  <c r="J37" i="36"/>
  <c r="I37" i="36"/>
  <c r="H37" i="36"/>
  <c r="F37" i="36"/>
  <c r="D37" i="36"/>
  <c r="J36" i="36"/>
  <c r="I36" i="36"/>
  <c r="H36" i="36"/>
  <c r="F36" i="36"/>
  <c r="D36" i="36"/>
  <c r="J35" i="36"/>
  <c r="I35" i="36"/>
  <c r="H35" i="36"/>
  <c r="F35" i="36"/>
  <c r="D35" i="36"/>
  <c r="J34" i="36"/>
  <c r="I34" i="36"/>
  <c r="H34" i="36"/>
  <c r="G34" i="36"/>
  <c r="F34" i="36"/>
  <c r="E34" i="36"/>
  <c r="D34" i="36"/>
  <c r="C34" i="36"/>
  <c r="J33" i="36"/>
  <c r="I33" i="36"/>
  <c r="H33" i="36"/>
  <c r="F33" i="36"/>
  <c r="D33" i="36"/>
  <c r="J32" i="36"/>
  <c r="I32" i="36"/>
  <c r="H32" i="36"/>
  <c r="F32" i="36"/>
  <c r="D32" i="36"/>
  <c r="J31" i="36"/>
  <c r="I31" i="36"/>
  <c r="H31" i="36"/>
  <c r="F31" i="36"/>
  <c r="D31" i="36"/>
  <c r="J30" i="36"/>
  <c r="I30" i="36"/>
  <c r="H30" i="36"/>
  <c r="F30" i="36"/>
  <c r="D30" i="36"/>
  <c r="J29" i="36"/>
  <c r="I29" i="36"/>
  <c r="H29" i="36"/>
  <c r="F29" i="36"/>
  <c r="D29" i="36"/>
  <c r="J28" i="36"/>
  <c r="I28" i="36"/>
  <c r="H28" i="36"/>
  <c r="F28" i="36"/>
  <c r="D28" i="36"/>
  <c r="J27" i="36"/>
  <c r="I27" i="36"/>
  <c r="H27" i="36"/>
  <c r="G27" i="36"/>
  <c r="F27" i="36"/>
  <c r="E27" i="36"/>
  <c r="D27" i="36"/>
  <c r="C27" i="36"/>
  <c r="J26" i="36"/>
  <c r="I26" i="36"/>
  <c r="H26" i="36"/>
  <c r="F26" i="36"/>
  <c r="D26" i="36"/>
  <c r="J25" i="36"/>
  <c r="I25" i="36"/>
  <c r="H25" i="36"/>
  <c r="F25" i="36"/>
  <c r="D25" i="36"/>
  <c r="J24" i="36"/>
  <c r="I24" i="36"/>
  <c r="H24" i="36"/>
  <c r="F24" i="36"/>
  <c r="D24" i="36"/>
  <c r="J23" i="36"/>
  <c r="I23" i="36"/>
  <c r="H23" i="36"/>
  <c r="F23" i="36"/>
  <c r="D23" i="36"/>
  <c r="J22" i="36"/>
  <c r="I22" i="36"/>
  <c r="H22" i="36"/>
  <c r="G22" i="36"/>
  <c r="F22" i="36"/>
  <c r="E22" i="36"/>
  <c r="D22" i="36"/>
  <c r="C22" i="36"/>
  <c r="J21" i="36"/>
  <c r="I21" i="36"/>
  <c r="H21" i="36"/>
  <c r="F21" i="36"/>
  <c r="D21" i="36"/>
  <c r="J20" i="36"/>
  <c r="I20" i="36"/>
  <c r="H20" i="36"/>
  <c r="F20" i="36"/>
  <c r="D20" i="36"/>
  <c r="J19" i="36"/>
  <c r="I19" i="36"/>
  <c r="H19" i="36"/>
  <c r="F19" i="36"/>
  <c r="D19" i="36"/>
  <c r="L18" i="36"/>
  <c r="J18" i="36"/>
  <c r="I18" i="36"/>
  <c r="H18" i="36"/>
  <c r="F18" i="36"/>
  <c r="D18" i="36"/>
  <c r="J17" i="36"/>
  <c r="I17" i="36"/>
  <c r="H17" i="36"/>
  <c r="G17" i="36"/>
  <c r="F17" i="36"/>
  <c r="E17" i="36"/>
  <c r="D17" i="36"/>
  <c r="C17" i="36"/>
  <c r="L16" i="36"/>
  <c r="J16" i="36"/>
  <c r="I16" i="36"/>
  <c r="H16" i="36"/>
  <c r="F16" i="36"/>
  <c r="D16" i="36"/>
  <c r="J15" i="36"/>
  <c r="I15" i="36"/>
  <c r="H15" i="36"/>
  <c r="F15" i="36"/>
  <c r="D15" i="36"/>
  <c r="J14" i="36"/>
  <c r="I14" i="36"/>
  <c r="H14" i="36"/>
  <c r="F14" i="36"/>
  <c r="D14" i="36"/>
  <c r="M13" i="36"/>
  <c r="L13" i="36"/>
  <c r="J13" i="36"/>
  <c r="I13" i="36"/>
  <c r="H13" i="36"/>
  <c r="F13" i="36"/>
  <c r="D13" i="36"/>
  <c r="J12" i="36"/>
  <c r="I12" i="36"/>
  <c r="H12" i="36"/>
  <c r="F12" i="36"/>
  <c r="D12" i="36"/>
  <c r="J11" i="36"/>
  <c r="I11" i="36"/>
  <c r="H11" i="36"/>
  <c r="F11" i="36"/>
  <c r="D11" i="36"/>
  <c r="J10" i="36"/>
  <c r="I10" i="36"/>
  <c r="H10" i="36"/>
  <c r="F10" i="36"/>
  <c r="D10" i="36"/>
  <c r="J9" i="36"/>
  <c r="I9" i="36"/>
  <c r="H9" i="36"/>
  <c r="G9" i="36"/>
  <c r="F9" i="36"/>
  <c r="E9" i="36"/>
  <c r="D9" i="36"/>
  <c r="C9" i="36"/>
  <c r="J8" i="36"/>
  <c r="I8" i="36"/>
  <c r="H8" i="36"/>
  <c r="G8" i="36"/>
  <c r="F8" i="36"/>
  <c r="E8" i="36"/>
  <c r="D8" i="36"/>
  <c r="C8" i="36"/>
  <c r="D7" i="36"/>
  <c r="C7" i="36"/>
  <c r="P7" i="31"/>
  <c r="P6" i="31"/>
  <c r="P5" i="31"/>
  <c r="G23" i="30"/>
  <c r="E23" i="30"/>
  <c r="E22" i="30"/>
  <c r="E21" i="30"/>
  <c r="E20" i="30"/>
  <c r="E19" i="30"/>
  <c r="G18" i="30"/>
  <c r="E18" i="30"/>
  <c r="G17" i="30"/>
  <c r="E17" i="30"/>
  <c r="E15" i="30"/>
  <c r="E14" i="30"/>
  <c r="E13" i="30"/>
  <c r="G12" i="30"/>
  <c r="E12" i="30"/>
  <c r="E11" i="30"/>
  <c r="G10" i="30"/>
  <c r="E10" i="30"/>
  <c r="E9" i="30"/>
  <c r="E8" i="30"/>
  <c r="G7" i="30"/>
  <c r="E7" i="30"/>
  <c r="E6" i="30"/>
  <c r="E5" i="30"/>
  <c r="G4" i="30"/>
  <c r="E4" i="30"/>
  <c r="D58" i="29"/>
  <c r="D57" i="29"/>
  <c r="D56" i="29"/>
  <c r="D55" i="29"/>
  <c r="D53" i="29"/>
  <c r="D52" i="29"/>
  <c r="D45" i="29"/>
  <c r="D44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8" i="29"/>
  <c r="D7" i="29"/>
  <c r="D6" i="29"/>
  <c r="D5" i="29"/>
  <c r="G4" i="29"/>
  <c r="F4" i="29"/>
  <c r="D4" i="29"/>
  <c r="C76" i="33"/>
  <c r="J74" i="33"/>
  <c r="K74" i="33" s="1"/>
  <c r="F74" i="33"/>
  <c r="G74" i="33" s="1"/>
  <c r="D74" i="33"/>
  <c r="E74" i="33" s="1"/>
  <c r="J73" i="33"/>
  <c r="K73" i="33" s="1"/>
  <c r="F73" i="33"/>
  <c r="G73" i="33" s="1"/>
  <c r="D73" i="33"/>
  <c r="J72" i="33"/>
  <c r="K72" i="33" s="1"/>
  <c r="F72" i="33"/>
  <c r="G72" i="33" s="1"/>
  <c r="D72" i="33"/>
  <c r="J69" i="33"/>
  <c r="K69" i="33" s="1"/>
  <c r="F69" i="33"/>
  <c r="G69" i="33" s="1"/>
  <c r="D69" i="33"/>
  <c r="J68" i="33"/>
  <c r="K68" i="33" s="1"/>
  <c r="F68" i="33"/>
  <c r="G68" i="33" s="1"/>
  <c r="D68" i="33"/>
  <c r="E68" i="33" s="1"/>
  <c r="J67" i="33"/>
  <c r="K67" i="33" s="1"/>
  <c r="F67" i="33"/>
  <c r="D67" i="33"/>
  <c r="J63" i="33"/>
  <c r="F63" i="33"/>
  <c r="G63" i="33" s="1"/>
  <c r="D63" i="33"/>
  <c r="J62" i="33"/>
  <c r="K62" i="33" s="1"/>
  <c r="F62" i="33"/>
  <c r="G62" i="33" s="1"/>
  <c r="D62" i="33"/>
  <c r="E62" i="33" s="1"/>
  <c r="J61" i="33"/>
  <c r="K61" i="33" s="1"/>
  <c r="F61" i="33"/>
  <c r="G61" i="33" s="1"/>
  <c r="D61" i="33"/>
  <c r="E61" i="33" s="1"/>
  <c r="J60" i="33"/>
  <c r="K60" i="33" s="1"/>
  <c r="F60" i="33"/>
  <c r="D60" i="33"/>
  <c r="J59" i="33"/>
  <c r="F59" i="33"/>
  <c r="G59" i="33" s="1"/>
  <c r="D59" i="33"/>
  <c r="E59" i="33" s="1"/>
  <c r="J58" i="33"/>
  <c r="F58" i="33"/>
  <c r="G58" i="33" s="1"/>
  <c r="D58" i="33"/>
  <c r="J57" i="33"/>
  <c r="K57" i="33" s="1"/>
  <c r="F57" i="33"/>
  <c r="D57" i="33"/>
  <c r="J56" i="33"/>
  <c r="K56" i="33" s="1"/>
  <c r="F56" i="33"/>
  <c r="G56" i="33" s="1"/>
  <c r="D56" i="33"/>
  <c r="E56" i="33" s="1"/>
  <c r="J54" i="33"/>
  <c r="K54" i="33" s="1"/>
  <c r="F54" i="33"/>
  <c r="G54" i="33" s="1"/>
  <c r="D54" i="33"/>
  <c r="J53" i="33"/>
  <c r="K53" i="33" s="1"/>
  <c r="F53" i="33"/>
  <c r="G53" i="33" s="1"/>
  <c r="D53" i="33"/>
  <c r="H53" i="33" s="1"/>
  <c r="J52" i="33"/>
  <c r="K52" i="33" s="1"/>
  <c r="F52" i="33"/>
  <c r="G52" i="33" s="1"/>
  <c r="D52" i="33"/>
  <c r="E52" i="33" s="1"/>
  <c r="J51" i="33"/>
  <c r="K51" i="33" s="1"/>
  <c r="F51" i="33"/>
  <c r="D51" i="33"/>
  <c r="J50" i="33"/>
  <c r="F50" i="33"/>
  <c r="D50" i="33"/>
  <c r="J49" i="33"/>
  <c r="K49" i="33" s="1"/>
  <c r="F49" i="33"/>
  <c r="G49" i="33" s="1"/>
  <c r="D49" i="33"/>
  <c r="J48" i="33"/>
  <c r="K48" i="33" s="1"/>
  <c r="F48" i="33"/>
  <c r="G48" i="33" s="1"/>
  <c r="D48" i="33"/>
  <c r="J47" i="33"/>
  <c r="K47" i="33" s="1"/>
  <c r="F47" i="33"/>
  <c r="G47" i="33" s="1"/>
  <c r="D47" i="33"/>
  <c r="J46" i="33"/>
  <c r="K46" i="33" s="1"/>
  <c r="F46" i="33"/>
  <c r="G46" i="33" s="1"/>
  <c r="D46" i="33"/>
  <c r="J45" i="33"/>
  <c r="K45" i="33" s="1"/>
  <c r="F45" i="33"/>
  <c r="D45" i="33"/>
  <c r="J44" i="33"/>
  <c r="K44" i="33" s="1"/>
  <c r="F44" i="33"/>
  <c r="G44" i="33" s="1"/>
  <c r="D44" i="33"/>
  <c r="E44" i="33" s="1"/>
  <c r="J43" i="33"/>
  <c r="K43" i="33" s="1"/>
  <c r="F43" i="33"/>
  <c r="D43" i="33"/>
  <c r="J42" i="33"/>
  <c r="F42" i="33"/>
  <c r="D42" i="33"/>
  <c r="J41" i="33"/>
  <c r="K41" i="33" s="1"/>
  <c r="F41" i="33"/>
  <c r="D41" i="33"/>
  <c r="J40" i="33"/>
  <c r="K40" i="33" s="1"/>
  <c r="F40" i="33"/>
  <c r="G40" i="33" s="1"/>
  <c r="D40" i="33"/>
  <c r="E40" i="33" s="1"/>
  <c r="J39" i="33"/>
  <c r="F39" i="33"/>
  <c r="G39" i="33" s="1"/>
  <c r="D39" i="33"/>
  <c r="J35" i="33"/>
  <c r="K35" i="33" s="1"/>
  <c r="F35" i="33"/>
  <c r="G35" i="33" s="1"/>
  <c r="D35" i="33"/>
  <c r="J34" i="33"/>
  <c r="K34" i="33" s="1"/>
  <c r="F34" i="33"/>
  <c r="G34" i="33" s="1"/>
  <c r="D34" i="33"/>
  <c r="C34" i="33"/>
  <c r="J33" i="33"/>
  <c r="K33" i="33" s="1"/>
  <c r="F33" i="33"/>
  <c r="G33" i="33" s="1"/>
  <c r="D33" i="33"/>
  <c r="C33" i="33"/>
  <c r="J32" i="33"/>
  <c r="K32" i="33" s="1"/>
  <c r="F32" i="33"/>
  <c r="G32" i="33" s="1"/>
  <c r="D32" i="33"/>
  <c r="C32" i="33"/>
  <c r="J31" i="33"/>
  <c r="K31" i="33" s="1"/>
  <c r="F31" i="33"/>
  <c r="G31" i="33" s="1"/>
  <c r="D31" i="33"/>
  <c r="E31" i="33" s="1"/>
  <c r="C31" i="33"/>
  <c r="J30" i="33"/>
  <c r="K30" i="33" s="1"/>
  <c r="F30" i="33"/>
  <c r="G30" i="33" s="1"/>
  <c r="D30" i="33"/>
  <c r="C30" i="33"/>
  <c r="J29" i="33"/>
  <c r="K29" i="33" s="1"/>
  <c r="F29" i="33"/>
  <c r="G29" i="33" s="1"/>
  <c r="D29" i="33"/>
  <c r="C29" i="33"/>
  <c r="J28" i="33"/>
  <c r="K28" i="33" s="1"/>
  <c r="F28" i="33"/>
  <c r="G28" i="33" s="1"/>
  <c r="D28" i="33"/>
  <c r="C28" i="33"/>
  <c r="J27" i="33"/>
  <c r="F27" i="33"/>
  <c r="D27" i="33"/>
  <c r="C27" i="33"/>
  <c r="C26" i="33"/>
  <c r="J25" i="33"/>
  <c r="K25" i="33" s="1"/>
  <c r="F25" i="33"/>
  <c r="G25" i="33" s="1"/>
  <c r="D25" i="33"/>
  <c r="C25" i="33"/>
  <c r="J24" i="33"/>
  <c r="K24" i="33" s="1"/>
  <c r="F24" i="33"/>
  <c r="G24" i="33" s="1"/>
  <c r="D24" i="33"/>
  <c r="J23" i="33"/>
  <c r="K23" i="33" s="1"/>
  <c r="F23" i="33"/>
  <c r="G23" i="33" s="1"/>
  <c r="D23" i="33"/>
  <c r="I23" i="33" s="1"/>
  <c r="C23" i="33"/>
  <c r="J22" i="33"/>
  <c r="K22" i="33" s="1"/>
  <c r="F22" i="33"/>
  <c r="G22" i="33" s="1"/>
  <c r="D22" i="33"/>
  <c r="H22" i="33" s="1"/>
  <c r="C22" i="33"/>
  <c r="J21" i="33"/>
  <c r="K21" i="33" s="1"/>
  <c r="F21" i="33"/>
  <c r="G21" i="33" s="1"/>
  <c r="D21" i="33"/>
  <c r="C21" i="33"/>
  <c r="J20" i="33"/>
  <c r="K20" i="33" s="1"/>
  <c r="F20" i="33"/>
  <c r="G20" i="33" s="1"/>
  <c r="D20" i="33"/>
  <c r="E20" i="33" s="1"/>
  <c r="C20" i="33"/>
  <c r="J19" i="33"/>
  <c r="K19" i="33" s="1"/>
  <c r="F19" i="33"/>
  <c r="G19" i="33" s="1"/>
  <c r="D19" i="33"/>
  <c r="H19" i="33" s="1"/>
  <c r="C19" i="33"/>
  <c r="J18" i="33"/>
  <c r="F18" i="33"/>
  <c r="D18" i="33"/>
  <c r="E18" i="33" s="1"/>
  <c r="C18" i="33"/>
  <c r="C17" i="33"/>
  <c r="C16" i="33"/>
  <c r="L15" i="33"/>
  <c r="K15" i="33"/>
  <c r="J15" i="33"/>
  <c r="H15" i="33"/>
  <c r="G15" i="33"/>
  <c r="F15" i="33"/>
  <c r="E15" i="33"/>
  <c r="D15" i="33"/>
  <c r="C15" i="33"/>
  <c r="L14" i="33"/>
  <c r="H14" i="33"/>
  <c r="J11" i="33"/>
  <c r="D11" i="33"/>
  <c r="C11" i="33"/>
  <c r="C76" i="32"/>
  <c r="M75" i="32"/>
  <c r="L75" i="32"/>
  <c r="H75" i="32"/>
  <c r="J74" i="32"/>
  <c r="F74" i="32"/>
  <c r="C74" i="32"/>
  <c r="M73" i="32"/>
  <c r="L73" i="32"/>
  <c r="I73" i="32"/>
  <c r="H73" i="32"/>
  <c r="C73" i="32"/>
  <c r="M72" i="32"/>
  <c r="L72" i="32"/>
  <c r="H72" i="32"/>
  <c r="C72" i="32"/>
  <c r="M71" i="32"/>
  <c r="L71" i="32"/>
  <c r="I71" i="32"/>
  <c r="H71" i="32"/>
  <c r="C71" i="32"/>
  <c r="J70" i="32"/>
  <c r="F70" i="32"/>
  <c r="C70" i="32"/>
  <c r="J69" i="32"/>
  <c r="F69" i="32"/>
  <c r="C69" i="32"/>
  <c r="M68" i="32"/>
  <c r="L68" i="32"/>
  <c r="I68" i="32"/>
  <c r="H68" i="32"/>
  <c r="C68" i="32"/>
  <c r="M67" i="32"/>
  <c r="L67" i="32"/>
  <c r="I67" i="32"/>
  <c r="H67" i="32"/>
  <c r="C67" i="32"/>
  <c r="M66" i="32"/>
  <c r="L66" i="32"/>
  <c r="I66" i="32"/>
  <c r="H66" i="32"/>
  <c r="C66" i="32"/>
  <c r="M65" i="32"/>
  <c r="L65" i="32"/>
  <c r="J65" i="32"/>
  <c r="I65" i="32"/>
  <c r="H65" i="32"/>
  <c r="F65" i="32"/>
  <c r="D65" i="32"/>
  <c r="C65" i="32"/>
  <c r="J64" i="32"/>
  <c r="F64" i="32"/>
  <c r="C64" i="32"/>
  <c r="J63" i="32"/>
  <c r="F63" i="32"/>
  <c r="C63" i="32"/>
  <c r="L62" i="32"/>
  <c r="H62" i="32"/>
  <c r="M61" i="32"/>
  <c r="L61" i="32"/>
  <c r="H61" i="32"/>
  <c r="M60" i="32"/>
  <c r="L60" i="32"/>
  <c r="I60" i="32"/>
  <c r="H60" i="32"/>
  <c r="C60" i="32"/>
  <c r="M59" i="32"/>
  <c r="L59" i="32"/>
  <c r="I59" i="32"/>
  <c r="H59" i="32"/>
  <c r="C59" i="32"/>
  <c r="M58" i="32"/>
  <c r="L58" i="32"/>
  <c r="I58" i="32"/>
  <c r="H58" i="32"/>
  <c r="C58" i="32"/>
  <c r="M57" i="32"/>
  <c r="L57" i="32"/>
  <c r="I57" i="32"/>
  <c r="H57" i="32"/>
  <c r="M56" i="32"/>
  <c r="L56" i="32"/>
  <c r="I56" i="32"/>
  <c r="H56" i="32"/>
  <c r="M55" i="32"/>
  <c r="L55" i="32"/>
  <c r="I55" i="32"/>
  <c r="H55" i="32"/>
  <c r="D55" i="32"/>
  <c r="C55" i="32"/>
  <c r="M54" i="32"/>
  <c r="L54" i="32"/>
  <c r="I54" i="32"/>
  <c r="H54" i="32"/>
  <c r="M53" i="32"/>
  <c r="L53" i="32"/>
  <c r="I53" i="32"/>
  <c r="H53" i="32"/>
  <c r="M52" i="32"/>
  <c r="L52" i="32"/>
  <c r="I52" i="32"/>
  <c r="H52" i="32"/>
  <c r="D52" i="32"/>
  <c r="C52" i="32"/>
  <c r="M51" i="32"/>
  <c r="L51" i="32"/>
  <c r="I51" i="32"/>
  <c r="H51" i="32"/>
  <c r="C51" i="32"/>
  <c r="M50" i="32"/>
  <c r="L50" i="32"/>
  <c r="I50" i="32"/>
  <c r="H50" i="32"/>
  <c r="C50" i="32"/>
  <c r="M49" i="32"/>
  <c r="L49" i="32"/>
  <c r="I49" i="32"/>
  <c r="H49" i="32"/>
  <c r="C49" i="32"/>
  <c r="M48" i="32"/>
  <c r="L48" i="32"/>
  <c r="I48" i="32"/>
  <c r="H48" i="32"/>
  <c r="C48" i="32"/>
  <c r="M47" i="32"/>
  <c r="L47" i="32"/>
  <c r="I47" i="32"/>
  <c r="H47" i="32"/>
  <c r="C47" i="32"/>
  <c r="M46" i="32"/>
  <c r="L46" i="32"/>
  <c r="H46" i="32"/>
  <c r="C46" i="32"/>
  <c r="M45" i="32"/>
  <c r="L45" i="32"/>
  <c r="I45" i="32"/>
  <c r="H45" i="32"/>
  <c r="C45" i="32"/>
  <c r="M44" i="32"/>
  <c r="L44" i="32"/>
  <c r="I44" i="32"/>
  <c r="H44" i="32"/>
  <c r="C44" i="32"/>
  <c r="M43" i="32"/>
  <c r="L43" i="32"/>
  <c r="I43" i="32"/>
  <c r="H43" i="32"/>
  <c r="C43" i="32"/>
  <c r="M42" i="32"/>
  <c r="L42" i="32"/>
  <c r="I42" i="32"/>
  <c r="H42" i="32"/>
  <c r="D42" i="32"/>
  <c r="C42" i="32"/>
  <c r="M41" i="32"/>
  <c r="L41" i="32"/>
  <c r="J41" i="32"/>
  <c r="I41" i="32"/>
  <c r="H41" i="32"/>
  <c r="F41" i="32"/>
  <c r="D41" i="32"/>
  <c r="C41" i="32"/>
  <c r="M40" i="32"/>
  <c r="L40" i="32"/>
  <c r="J40" i="32"/>
  <c r="I40" i="32"/>
  <c r="H40" i="32"/>
  <c r="F40" i="32"/>
  <c r="D40" i="32"/>
  <c r="C40" i="32"/>
  <c r="M39" i="32"/>
  <c r="L39" i="32"/>
  <c r="I39" i="32"/>
  <c r="H39" i="32"/>
  <c r="M38" i="32"/>
  <c r="L38" i="32"/>
  <c r="I38" i="32"/>
  <c r="H38" i="32"/>
  <c r="C38" i="32"/>
  <c r="M37" i="32"/>
  <c r="L37" i="32"/>
  <c r="I37" i="32"/>
  <c r="H37" i="32"/>
  <c r="C37" i="32"/>
  <c r="M36" i="32"/>
  <c r="L36" i="32"/>
  <c r="I36" i="32"/>
  <c r="H36" i="32"/>
  <c r="C36" i="32"/>
  <c r="M35" i="32"/>
  <c r="L35" i="32"/>
  <c r="I35" i="32"/>
  <c r="H35" i="32"/>
  <c r="C35" i="32"/>
  <c r="M34" i="32"/>
  <c r="L34" i="32"/>
  <c r="I34" i="32"/>
  <c r="H34" i="32"/>
  <c r="C34" i="32"/>
  <c r="M33" i="32"/>
  <c r="L33" i="32"/>
  <c r="I33" i="32"/>
  <c r="H33" i="32"/>
  <c r="D33" i="32"/>
  <c r="C33" i="32"/>
  <c r="M32" i="32"/>
  <c r="L32" i="32"/>
  <c r="I32" i="32"/>
  <c r="H32" i="32"/>
  <c r="C32" i="32"/>
  <c r="M31" i="32"/>
  <c r="L31" i="32"/>
  <c r="I31" i="32"/>
  <c r="H31" i="32"/>
  <c r="M30" i="32"/>
  <c r="L30" i="32"/>
  <c r="I30" i="32"/>
  <c r="H30" i="32"/>
  <c r="M29" i="32"/>
  <c r="L29" i="32"/>
  <c r="I29" i="32"/>
  <c r="H29" i="32"/>
  <c r="C29" i="32"/>
  <c r="M28" i="32"/>
  <c r="L28" i="32"/>
  <c r="I28" i="32"/>
  <c r="H28" i="32"/>
  <c r="C28" i="32"/>
  <c r="M27" i="32"/>
  <c r="L27" i="32"/>
  <c r="I27" i="32"/>
  <c r="H27" i="32"/>
  <c r="D27" i="32"/>
  <c r="C27" i="32"/>
  <c r="M26" i="32"/>
  <c r="L26" i="32"/>
  <c r="I26" i="32"/>
  <c r="H26" i="32"/>
  <c r="M25" i="32"/>
  <c r="L25" i="32"/>
  <c r="I25" i="32"/>
  <c r="H25" i="32"/>
  <c r="M24" i="32"/>
  <c r="L24" i="32"/>
  <c r="I24" i="32"/>
  <c r="H24" i="32"/>
  <c r="M23" i="32"/>
  <c r="L23" i="32"/>
  <c r="I23" i="32"/>
  <c r="H23" i="32"/>
  <c r="C23" i="32"/>
  <c r="M22" i="32"/>
  <c r="L22" i="32"/>
  <c r="I22" i="32"/>
  <c r="H22" i="32"/>
  <c r="C22" i="32"/>
  <c r="L21" i="32"/>
  <c r="D21" i="32"/>
  <c r="E21" i="32" s="1"/>
  <c r="C21" i="32"/>
  <c r="M20" i="32"/>
  <c r="L20" i="32"/>
  <c r="I20" i="32"/>
  <c r="H20" i="32"/>
  <c r="M19" i="32"/>
  <c r="L19" i="32"/>
  <c r="I19" i="32"/>
  <c r="H19" i="32"/>
  <c r="C19" i="32"/>
  <c r="M18" i="32"/>
  <c r="L18" i="32"/>
  <c r="I18" i="32"/>
  <c r="H18" i="32"/>
  <c r="C18" i="32"/>
  <c r="M17" i="32"/>
  <c r="L17" i="32"/>
  <c r="I17" i="32"/>
  <c r="H17" i="32"/>
  <c r="D17" i="32"/>
  <c r="C17" i="32"/>
  <c r="J16" i="32"/>
  <c r="I16" i="32"/>
  <c r="F16" i="32"/>
  <c r="D16" i="32"/>
  <c r="E16" i="32" s="1"/>
  <c r="C16" i="32"/>
  <c r="L15" i="32"/>
  <c r="K15" i="32"/>
  <c r="J15" i="32"/>
  <c r="H15" i="32"/>
  <c r="G15" i="32"/>
  <c r="F15" i="32"/>
  <c r="E15" i="32"/>
  <c r="D15" i="32"/>
  <c r="C15" i="32"/>
  <c r="L14" i="32"/>
  <c r="H14" i="32"/>
  <c r="K11" i="32"/>
  <c r="J11" i="32"/>
  <c r="D11" i="32"/>
  <c r="C73" i="10"/>
  <c r="M72" i="10"/>
  <c r="L72" i="10"/>
  <c r="K72" i="10"/>
  <c r="J72" i="10"/>
  <c r="I72" i="10"/>
  <c r="H72" i="10"/>
  <c r="G72" i="10"/>
  <c r="F72" i="10"/>
  <c r="E72" i="10"/>
  <c r="D72" i="10"/>
  <c r="M71" i="10"/>
  <c r="L71" i="10"/>
  <c r="K71" i="10"/>
  <c r="I71" i="10"/>
  <c r="H71" i="10"/>
  <c r="G71" i="10"/>
  <c r="E71" i="10"/>
  <c r="M70" i="10"/>
  <c r="L70" i="10"/>
  <c r="K70" i="10"/>
  <c r="I70" i="10"/>
  <c r="H70" i="10"/>
  <c r="G70" i="10"/>
  <c r="E70" i="10"/>
  <c r="M69" i="10"/>
  <c r="L69" i="10"/>
  <c r="K69" i="10"/>
  <c r="I69" i="10"/>
  <c r="H69" i="10"/>
  <c r="G69" i="10"/>
  <c r="E69" i="10"/>
  <c r="M68" i="10"/>
  <c r="L68" i="10"/>
  <c r="K68" i="10"/>
  <c r="J68" i="10"/>
  <c r="I68" i="10"/>
  <c r="H68" i="10"/>
  <c r="G68" i="10"/>
  <c r="F68" i="10"/>
  <c r="E68" i="10"/>
  <c r="D68" i="10"/>
  <c r="M67" i="10"/>
  <c r="L67" i="10"/>
  <c r="K67" i="10"/>
  <c r="J67" i="10"/>
  <c r="I67" i="10"/>
  <c r="H67" i="10"/>
  <c r="G67" i="10"/>
  <c r="F67" i="10"/>
  <c r="E67" i="10"/>
  <c r="D67" i="10"/>
  <c r="G66" i="10"/>
  <c r="E66" i="10"/>
  <c r="M65" i="10"/>
  <c r="L65" i="10"/>
  <c r="K65" i="10"/>
  <c r="I65" i="10"/>
  <c r="H65" i="10"/>
  <c r="G65" i="10"/>
  <c r="E65" i="10"/>
  <c r="M64" i="10"/>
  <c r="L64" i="10"/>
  <c r="K64" i="10"/>
  <c r="I64" i="10"/>
  <c r="H64" i="10"/>
  <c r="G64" i="10"/>
  <c r="E64" i="10"/>
  <c r="M63" i="10"/>
  <c r="L63" i="10"/>
  <c r="K63" i="10"/>
  <c r="J63" i="10"/>
  <c r="I63" i="10"/>
  <c r="H63" i="10"/>
  <c r="G63" i="10"/>
  <c r="F63" i="10"/>
  <c r="E63" i="10"/>
  <c r="D63" i="10"/>
  <c r="M62" i="10"/>
  <c r="L62" i="10"/>
  <c r="K62" i="10"/>
  <c r="J62" i="10"/>
  <c r="I62" i="10"/>
  <c r="H62" i="10"/>
  <c r="G62" i="10"/>
  <c r="F62" i="10"/>
  <c r="E62" i="10"/>
  <c r="D62" i="10"/>
  <c r="M61" i="10"/>
  <c r="L61" i="10"/>
  <c r="K61" i="10"/>
  <c r="J61" i="10"/>
  <c r="I61" i="10"/>
  <c r="H61" i="10"/>
  <c r="G61" i="10"/>
  <c r="F61" i="10"/>
  <c r="E61" i="10"/>
  <c r="D61" i="10"/>
  <c r="M60" i="10"/>
  <c r="L60" i="10"/>
  <c r="K60" i="10"/>
  <c r="I60" i="10"/>
  <c r="H60" i="10"/>
  <c r="G60" i="10"/>
  <c r="E60" i="10"/>
  <c r="M59" i="10"/>
  <c r="L59" i="10"/>
  <c r="K59" i="10"/>
  <c r="I59" i="10"/>
  <c r="H59" i="10"/>
  <c r="G59" i="10"/>
  <c r="E59" i="10"/>
  <c r="M58" i="10"/>
  <c r="L58" i="10"/>
  <c r="K58" i="10"/>
  <c r="I58" i="10"/>
  <c r="H58" i="10"/>
  <c r="G58" i="10"/>
  <c r="E58" i="10"/>
  <c r="M57" i="10"/>
  <c r="L57" i="10"/>
  <c r="K57" i="10"/>
  <c r="I57" i="10"/>
  <c r="H57" i="10"/>
  <c r="G57" i="10"/>
  <c r="E57" i="10"/>
  <c r="M56" i="10"/>
  <c r="L56" i="10"/>
  <c r="K56" i="10"/>
  <c r="I56" i="10"/>
  <c r="H56" i="10"/>
  <c r="G56" i="10"/>
  <c r="E56" i="10"/>
  <c r="M55" i="10"/>
  <c r="L55" i="10"/>
  <c r="K55" i="10"/>
  <c r="I55" i="10"/>
  <c r="H55" i="10"/>
  <c r="G55" i="10"/>
  <c r="E55" i="10"/>
  <c r="M54" i="10"/>
  <c r="L54" i="10"/>
  <c r="K54" i="10"/>
  <c r="I54" i="10"/>
  <c r="H54" i="10"/>
  <c r="G54" i="10"/>
  <c r="E54" i="10"/>
  <c r="M53" i="10"/>
  <c r="L53" i="10"/>
  <c r="K53" i="10"/>
  <c r="I53" i="10"/>
  <c r="H53" i="10"/>
  <c r="G53" i="10"/>
  <c r="E53" i="10"/>
  <c r="M52" i="10"/>
  <c r="L52" i="10"/>
  <c r="K52" i="10"/>
  <c r="I52" i="10"/>
  <c r="H52" i="10"/>
  <c r="G52" i="10"/>
  <c r="E52" i="10"/>
  <c r="M51" i="10"/>
  <c r="L51" i="10"/>
  <c r="K51" i="10"/>
  <c r="I51" i="10"/>
  <c r="H51" i="10"/>
  <c r="G51" i="10"/>
  <c r="E51" i="10"/>
  <c r="M50" i="10"/>
  <c r="L50" i="10"/>
  <c r="K50" i="10"/>
  <c r="I50" i="10"/>
  <c r="H50" i="10"/>
  <c r="G50" i="10"/>
  <c r="E50" i="10"/>
  <c r="M49" i="10"/>
  <c r="L49" i="10"/>
  <c r="K49" i="10"/>
  <c r="I49" i="10"/>
  <c r="H49" i="10"/>
  <c r="G49" i="10"/>
  <c r="E49" i="10"/>
  <c r="M48" i="10"/>
  <c r="L48" i="10"/>
  <c r="K48" i="10"/>
  <c r="J48" i="10"/>
  <c r="I48" i="10"/>
  <c r="H48" i="10"/>
  <c r="G48" i="10"/>
  <c r="F48" i="10"/>
  <c r="E48" i="10"/>
  <c r="D48" i="10"/>
  <c r="M47" i="10"/>
  <c r="L47" i="10"/>
  <c r="K47" i="10"/>
  <c r="I47" i="10"/>
  <c r="H47" i="10"/>
  <c r="G47" i="10"/>
  <c r="E47" i="10"/>
  <c r="M46" i="10"/>
  <c r="L46" i="10"/>
  <c r="K46" i="10"/>
  <c r="I46" i="10"/>
  <c r="H46" i="10"/>
  <c r="G46" i="10"/>
  <c r="E46" i="10"/>
  <c r="M45" i="10"/>
  <c r="L45" i="10"/>
  <c r="K45" i="10"/>
  <c r="I45" i="10"/>
  <c r="H45" i="10"/>
  <c r="G45" i="10"/>
  <c r="E45" i="10"/>
  <c r="M44" i="10"/>
  <c r="L44" i="10"/>
  <c r="K44" i="10"/>
  <c r="I44" i="10"/>
  <c r="H44" i="10"/>
  <c r="G44" i="10"/>
  <c r="E44" i="10"/>
  <c r="M43" i="10"/>
  <c r="L43" i="10"/>
  <c r="K43" i="10"/>
  <c r="I43" i="10"/>
  <c r="H43" i="10"/>
  <c r="G43" i="10"/>
  <c r="E43" i="10"/>
  <c r="M42" i="10"/>
  <c r="L42" i="10"/>
  <c r="K42" i="10"/>
  <c r="I42" i="10"/>
  <c r="H42" i="10"/>
  <c r="G42" i="10"/>
  <c r="E42" i="10"/>
  <c r="M41" i="10"/>
  <c r="L41" i="10"/>
  <c r="K41" i="10"/>
  <c r="I41" i="10"/>
  <c r="H41" i="10"/>
  <c r="G41" i="10"/>
  <c r="E41" i="10"/>
  <c r="M40" i="10"/>
  <c r="L40" i="10"/>
  <c r="K40" i="10"/>
  <c r="I40" i="10"/>
  <c r="H40" i="10"/>
  <c r="G40" i="10"/>
  <c r="E40" i="10"/>
  <c r="M39" i="10"/>
  <c r="L39" i="10"/>
  <c r="K39" i="10"/>
  <c r="I39" i="10"/>
  <c r="H39" i="10"/>
  <c r="G39" i="10"/>
  <c r="E39" i="10"/>
  <c r="M38" i="10"/>
  <c r="L38" i="10"/>
  <c r="K38" i="10"/>
  <c r="I38" i="10"/>
  <c r="H38" i="10"/>
  <c r="G38" i="10"/>
  <c r="E38" i="10"/>
  <c r="M37" i="10"/>
  <c r="L37" i="10"/>
  <c r="K37" i="10"/>
  <c r="J37" i="10"/>
  <c r="I37" i="10"/>
  <c r="H37" i="10"/>
  <c r="G37" i="10"/>
  <c r="F37" i="10"/>
  <c r="E37" i="10"/>
  <c r="D37" i="10"/>
  <c r="M36" i="10"/>
  <c r="L36" i="10"/>
  <c r="K36" i="10"/>
  <c r="I36" i="10"/>
  <c r="H36" i="10"/>
  <c r="G36" i="10"/>
  <c r="E36" i="10"/>
  <c r="M35" i="10"/>
  <c r="L35" i="10"/>
  <c r="K35" i="10"/>
  <c r="J35" i="10"/>
  <c r="I35" i="10"/>
  <c r="H35" i="10"/>
  <c r="G35" i="10"/>
  <c r="F35" i="10"/>
  <c r="E35" i="10"/>
  <c r="D35" i="10"/>
  <c r="M34" i="10"/>
  <c r="L34" i="10"/>
  <c r="K34" i="10"/>
  <c r="I34" i="10"/>
  <c r="H34" i="10"/>
  <c r="G34" i="10"/>
  <c r="E34" i="10"/>
  <c r="M33" i="10"/>
  <c r="L33" i="10"/>
  <c r="K33" i="10"/>
  <c r="I33" i="10"/>
  <c r="H33" i="10"/>
  <c r="G33" i="10"/>
  <c r="E33" i="10"/>
  <c r="C33" i="10"/>
  <c r="M32" i="10"/>
  <c r="L32" i="10"/>
  <c r="K32" i="10"/>
  <c r="I32" i="10"/>
  <c r="H32" i="10"/>
  <c r="G32" i="10"/>
  <c r="E32" i="10"/>
  <c r="C32" i="10"/>
  <c r="M31" i="10"/>
  <c r="L31" i="10"/>
  <c r="K31" i="10"/>
  <c r="I31" i="10"/>
  <c r="H31" i="10"/>
  <c r="G31" i="10"/>
  <c r="E31" i="10"/>
  <c r="C31" i="10"/>
  <c r="M30" i="10"/>
  <c r="L30" i="10"/>
  <c r="K30" i="10"/>
  <c r="I30" i="10"/>
  <c r="H30" i="10"/>
  <c r="G30" i="10"/>
  <c r="E30" i="10"/>
  <c r="C30" i="10"/>
  <c r="M29" i="10"/>
  <c r="L29" i="10"/>
  <c r="K29" i="10"/>
  <c r="I29" i="10"/>
  <c r="H29" i="10"/>
  <c r="G29" i="10"/>
  <c r="E29" i="10"/>
  <c r="C29" i="10"/>
  <c r="M28" i="10"/>
  <c r="L28" i="10"/>
  <c r="K28" i="10"/>
  <c r="I28" i="10"/>
  <c r="H28" i="10"/>
  <c r="G28" i="10"/>
  <c r="E28" i="10"/>
  <c r="C28" i="10"/>
  <c r="M27" i="10"/>
  <c r="L27" i="10"/>
  <c r="K27" i="10"/>
  <c r="I27" i="10"/>
  <c r="H27" i="10"/>
  <c r="G27" i="10"/>
  <c r="E27" i="10"/>
  <c r="C27" i="10"/>
  <c r="M26" i="10"/>
  <c r="L26" i="10"/>
  <c r="K26" i="10"/>
  <c r="I26" i="10"/>
  <c r="H26" i="10"/>
  <c r="G26" i="10"/>
  <c r="E26" i="10"/>
  <c r="C26" i="10"/>
  <c r="M25" i="10"/>
  <c r="L25" i="10"/>
  <c r="K25" i="10"/>
  <c r="J25" i="10"/>
  <c r="I25" i="10"/>
  <c r="H25" i="10"/>
  <c r="G25" i="10"/>
  <c r="E25" i="10"/>
  <c r="D25" i="10"/>
  <c r="C25" i="10"/>
  <c r="M24" i="10"/>
  <c r="L24" i="10"/>
  <c r="K24" i="10"/>
  <c r="I24" i="10"/>
  <c r="H24" i="10"/>
  <c r="G24" i="10"/>
  <c r="E24" i="10"/>
  <c r="C24" i="10"/>
  <c r="M23" i="10"/>
  <c r="L23" i="10"/>
  <c r="K23" i="10"/>
  <c r="I23" i="10"/>
  <c r="H23" i="10"/>
  <c r="G23" i="10"/>
  <c r="E23" i="10"/>
  <c r="C23" i="10"/>
  <c r="R22" i="10"/>
  <c r="Q22" i="10"/>
  <c r="P22" i="10"/>
  <c r="M22" i="10"/>
  <c r="L22" i="10"/>
  <c r="K22" i="10"/>
  <c r="I22" i="10"/>
  <c r="H22" i="10"/>
  <c r="G22" i="10"/>
  <c r="E22" i="10"/>
  <c r="C22" i="10"/>
  <c r="R21" i="10"/>
  <c r="Q21" i="10"/>
  <c r="P21" i="10"/>
  <c r="M21" i="10"/>
  <c r="L21" i="10"/>
  <c r="K21" i="10"/>
  <c r="I21" i="10"/>
  <c r="H21" i="10"/>
  <c r="G21" i="10"/>
  <c r="E21" i="10"/>
  <c r="C21" i="10"/>
  <c r="R20" i="10"/>
  <c r="Q20" i="10"/>
  <c r="P20" i="10"/>
  <c r="M20" i="10"/>
  <c r="L20" i="10"/>
  <c r="K20" i="10"/>
  <c r="I20" i="10"/>
  <c r="H20" i="10"/>
  <c r="G20" i="10"/>
  <c r="E20" i="10"/>
  <c r="C20" i="10"/>
  <c r="M19" i="10"/>
  <c r="L19" i="10"/>
  <c r="K19" i="10"/>
  <c r="I19" i="10"/>
  <c r="H19" i="10"/>
  <c r="G19" i="10"/>
  <c r="E19" i="10"/>
  <c r="C19" i="10"/>
  <c r="M18" i="10"/>
  <c r="L18" i="10"/>
  <c r="K18" i="10"/>
  <c r="I18" i="10"/>
  <c r="H18" i="10"/>
  <c r="G18" i="10"/>
  <c r="E18" i="10"/>
  <c r="C18" i="10"/>
  <c r="M17" i="10"/>
  <c r="L17" i="10"/>
  <c r="K17" i="10"/>
  <c r="J17" i="10"/>
  <c r="I17" i="10"/>
  <c r="H17" i="10"/>
  <c r="G17" i="10"/>
  <c r="E17" i="10"/>
  <c r="D17" i="10"/>
  <c r="C17" i="10"/>
  <c r="M16" i="10"/>
  <c r="L16" i="10"/>
  <c r="K16" i="10"/>
  <c r="J16" i="10"/>
  <c r="I16" i="10"/>
  <c r="H16" i="10"/>
  <c r="G16" i="10"/>
  <c r="F16" i="10"/>
  <c r="E16" i="10"/>
  <c r="D16" i="10"/>
  <c r="C16" i="10"/>
  <c r="E15" i="10"/>
  <c r="D15" i="10"/>
  <c r="C15" i="10"/>
  <c r="L14" i="10"/>
  <c r="C14" i="10"/>
  <c r="C11" i="10"/>
  <c r="J9" i="10"/>
  <c r="G9" i="10"/>
  <c r="J8" i="10"/>
  <c r="G8" i="10"/>
  <c r="M21" i="32" l="1"/>
  <c r="L16" i="32"/>
  <c r="H21" i="32"/>
  <c r="H16" i="32"/>
  <c r="M16" i="32"/>
  <c r="I21" i="32"/>
  <c r="D63" i="32"/>
  <c r="L27" i="33"/>
  <c r="L45" i="33"/>
  <c r="H46" i="33"/>
  <c r="M74" i="33"/>
  <c r="I31" i="33"/>
  <c r="L63" i="33"/>
  <c r="L60" i="33"/>
  <c r="I56" i="33"/>
  <c r="L42" i="33"/>
  <c r="L58" i="33"/>
  <c r="E42" i="33"/>
  <c r="L25" i="33"/>
  <c r="H33" i="33"/>
  <c r="I34" i="33"/>
  <c r="L43" i="33"/>
  <c r="I46" i="33"/>
  <c r="I50" i="33"/>
  <c r="H54" i="33"/>
  <c r="M59" i="33"/>
  <c r="M68" i="33"/>
  <c r="I20" i="33"/>
  <c r="E60" i="33"/>
  <c r="M60" i="33"/>
  <c r="M30" i="33"/>
  <c r="H45" i="33"/>
  <c r="L51" i="33"/>
  <c r="I60" i="33"/>
  <c r="F66" i="33"/>
  <c r="G66" i="33" s="1"/>
  <c r="M18" i="33"/>
  <c r="M27" i="33"/>
  <c r="E23" i="33"/>
  <c r="L23" i="33"/>
  <c r="E27" i="33"/>
  <c r="E34" i="33"/>
  <c r="L34" i="33"/>
  <c r="H39" i="33"/>
  <c r="H43" i="33"/>
  <c r="L44" i="33"/>
  <c r="G45" i="33"/>
  <c r="L53" i="33"/>
  <c r="J55" i="33"/>
  <c r="K55" i="33" s="1"/>
  <c r="I58" i="33"/>
  <c r="K59" i="33"/>
  <c r="L62" i="33"/>
  <c r="H68" i="33"/>
  <c r="H74" i="33"/>
  <c r="F17" i="33"/>
  <c r="G17" i="33" s="1"/>
  <c r="L22" i="33"/>
  <c r="M23" i="33"/>
  <c r="D26" i="33"/>
  <c r="L33" i="33"/>
  <c r="M34" i="33"/>
  <c r="I40" i="33"/>
  <c r="M44" i="33"/>
  <c r="M46" i="33"/>
  <c r="E50" i="33"/>
  <c r="H51" i="33"/>
  <c r="L52" i="33"/>
  <c r="G60" i="33"/>
  <c r="L61" i="33"/>
  <c r="M63" i="33"/>
  <c r="K63" i="33"/>
  <c r="L19" i="33"/>
  <c r="M21" i="33"/>
  <c r="H23" i="33"/>
  <c r="M32" i="33"/>
  <c r="H34" i="33"/>
  <c r="H44" i="33"/>
  <c r="H47" i="33"/>
  <c r="G51" i="33"/>
  <c r="M52" i="33"/>
  <c r="E58" i="33"/>
  <c r="L59" i="33"/>
  <c r="I59" i="33"/>
  <c r="M61" i="33"/>
  <c r="E63" i="33"/>
  <c r="M67" i="33"/>
  <c r="L68" i="33"/>
  <c r="L74" i="33"/>
  <c r="M29" i="33"/>
  <c r="I29" i="33"/>
  <c r="E29" i="33"/>
  <c r="I30" i="33"/>
  <c r="G41" i="33"/>
  <c r="F38" i="33"/>
  <c r="M48" i="33"/>
  <c r="H48" i="33"/>
  <c r="L48" i="33"/>
  <c r="K50" i="33"/>
  <c r="M50" i="33"/>
  <c r="L72" i="33"/>
  <c r="E72" i="33"/>
  <c r="G18" i="33"/>
  <c r="L20" i="33"/>
  <c r="G27" i="33"/>
  <c r="F26" i="33"/>
  <c r="G26" i="33" s="1"/>
  <c r="E30" i="33"/>
  <c r="L31" i="33"/>
  <c r="K39" i="33"/>
  <c r="J38" i="33"/>
  <c r="G42" i="33"/>
  <c r="H42" i="33"/>
  <c r="M49" i="33"/>
  <c r="I49" i="33"/>
  <c r="E49" i="33"/>
  <c r="H49" i="33"/>
  <c r="L49" i="33"/>
  <c r="L50" i="33"/>
  <c r="M54" i="33"/>
  <c r="M72" i="33"/>
  <c r="L18" i="33"/>
  <c r="I18" i="33"/>
  <c r="M20" i="33"/>
  <c r="M22" i="33"/>
  <c r="I22" i="33"/>
  <c r="E22" i="33"/>
  <c r="M24" i="33"/>
  <c r="I27" i="33"/>
  <c r="M28" i="33"/>
  <c r="L29" i="33"/>
  <c r="L30" i="33"/>
  <c r="M31" i="33"/>
  <c r="M33" i="33"/>
  <c r="I33" i="33"/>
  <c r="E33" i="33"/>
  <c r="M35" i="33"/>
  <c r="M39" i="33"/>
  <c r="I39" i="33"/>
  <c r="E39" i="33"/>
  <c r="L39" i="33"/>
  <c r="M40" i="33"/>
  <c r="H40" i="33"/>
  <c r="L40" i="33"/>
  <c r="K42" i="33"/>
  <c r="M42" i="33"/>
  <c r="G43" i="33"/>
  <c r="L46" i="33"/>
  <c r="E46" i="33"/>
  <c r="H52" i="33"/>
  <c r="D55" i="33"/>
  <c r="E57" i="33"/>
  <c r="M57" i="33"/>
  <c r="H57" i="33"/>
  <c r="L57" i="33"/>
  <c r="M58" i="33"/>
  <c r="K58" i="33"/>
  <c r="H72" i="33"/>
  <c r="M73" i="33"/>
  <c r="M25" i="33"/>
  <c r="I25" i="33"/>
  <c r="E25" i="33"/>
  <c r="M47" i="33"/>
  <c r="I47" i="33"/>
  <c r="E47" i="33"/>
  <c r="L47" i="33"/>
  <c r="L54" i="33"/>
  <c r="E54" i="33"/>
  <c r="D38" i="33"/>
  <c r="E48" i="33"/>
  <c r="M56" i="33"/>
  <c r="H56" i="33"/>
  <c r="L56" i="33"/>
  <c r="D17" i="33"/>
  <c r="J17" i="33"/>
  <c r="K18" i="33"/>
  <c r="M19" i="33"/>
  <c r="I19" i="33"/>
  <c r="E19" i="33"/>
  <c r="H25" i="33"/>
  <c r="K27" i="33"/>
  <c r="J26" i="33"/>
  <c r="K26" i="33" s="1"/>
  <c r="H29" i="33"/>
  <c r="H30" i="33"/>
  <c r="M41" i="33"/>
  <c r="I41" i="33"/>
  <c r="E41" i="33"/>
  <c r="H41" i="33"/>
  <c r="L41" i="33"/>
  <c r="I42" i="33"/>
  <c r="I48" i="33"/>
  <c r="G50" i="33"/>
  <c r="H50" i="33"/>
  <c r="I54" i="33"/>
  <c r="G57" i="33"/>
  <c r="F55" i="33"/>
  <c r="G55" i="33" s="1"/>
  <c r="H59" i="33"/>
  <c r="J66" i="33"/>
  <c r="K66" i="33" s="1"/>
  <c r="I72" i="33"/>
  <c r="H21" i="33"/>
  <c r="L21" i="33"/>
  <c r="H24" i="33"/>
  <c r="L24" i="33"/>
  <c r="H28" i="33"/>
  <c r="L28" i="33"/>
  <c r="H32" i="33"/>
  <c r="L32" i="33"/>
  <c r="H35" i="33"/>
  <c r="L35" i="33"/>
  <c r="I44" i="33"/>
  <c r="M45" i="33"/>
  <c r="I45" i="33"/>
  <c r="E45" i="33"/>
  <c r="I52" i="33"/>
  <c r="M53" i="33"/>
  <c r="I53" i="33"/>
  <c r="E53" i="33"/>
  <c r="H61" i="33"/>
  <c r="I68" i="33"/>
  <c r="M69" i="33"/>
  <c r="I74" i="33"/>
  <c r="H18" i="33"/>
  <c r="H20" i="33"/>
  <c r="E21" i="33"/>
  <c r="I21" i="33"/>
  <c r="E24" i="33"/>
  <c r="I24" i="33"/>
  <c r="H27" i="33"/>
  <c r="E28" i="33"/>
  <c r="I28" i="33"/>
  <c r="H31" i="33"/>
  <c r="E32" i="33"/>
  <c r="I32" i="33"/>
  <c r="E35" i="33"/>
  <c r="I35" i="33"/>
  <c r="M43" i="33"/>
  <c r="I43" i="33"/>
  <c r="E43" i="33"/>
  <c r="M51" i="33"/>
  <c r="I51" i="33"/>
  <c r="E51" i="33"/>
  <c r="D66" i="33"/>
  <c r="G67" i="33"/>
  <c r="H62" i="33"/>
  <c r="M62" i="33"/>
  <c r="H67" i="33"/>
  <c r="L67" i="33"/>
  <c r="H69" i="33"/>
  <c r="L69" i="33"/>
  <c r="H73" i="33"/>
  <c r="L73" i="33"/>
  <c r="H58" i="33"/>
  <c r="H60" i="33"/>
  <c r="H63" i="33"/>
  <c r="E67" i="33"/>
  <c r="I67" i="33"/>
  <c r="E69" i="33"/>
  <c r="I69" i="33"/>
  <c r="E73" i="33"/>
  <c r="I73" i="33"/>
  <c r="E63" i="32" l="1"/>
  <c r="D64" i="32"/>
  <c r="D69" i="32"/>
  <c r="I63" i="32"/>
  <c r="M63" i="32"/>
  <c r="H63" i="32"/>
  <c r="L63" i="32"/>
  <c r="L26" i="33"/>
  <c r="E26" i="33"/>
  <c r="L38" i="33"/>
  <c r="H38" i="33"/>
  <c r="D36" i="33"/>
  <c r="M38" i="33"/>
  <c r="I38" i="33"/>
  <c r="E38" i="33"/>
  <c r="J16" i="33"/>
  <c r="K17" i="33"/>
  <c r="I26" i="33"/>
  <c r="M55" i="33"/>
  <c r="I55" i="33"/>
  <c r="E55" i="33"/>
  <c r="L55" i="33"/>
  <c r="H55" i="33"/>
  <c r="K38" i="33"/>
  <c r="J36" i="33"/>
  <c r="L66" i="33"/>
  <c r="I66" i="33"/>
  <c r="H66" i="33"/>
  <c r="E66" i="33"/>
  <c r="M66" i="33"/>
  <c r="I17" i="33"/>
  <c r="D16" i="33"/>
  <c r="M17" i="33"/>
  <c r="H17" i="33"/>
  <c r="L17" i="33"/>
  <c r="E17" i="33"/>
  <c r="H26" i="33"/>
  <c r="M26" i="33"/>
  <c r="G38" i="33"/>
  <c r="F36" i="33"/>
  <c r="F16" i="33"/>
  <c r="E64" i="32" l="1"/>
  <c r="I64" i="32"/>
  <c r="M64" i="32"/>
  <c r="H64" i="32"/>
  <c r="L64" i="32"/>
  <c r="E69" i="32"/>
  <c r="L69" i="32"/>
  <c r="I69" i="32"/>
  <c r="D74" i="32"/>
  <c r="M69" i="32"/>
  <c r="H69" i="32"/>
  <c r="K36" i="33"/>
  <c r="J37" i="33"/>
  <c r="K37" i="33" s="1"/>
  <c r="S19" i="33"/>
  <c r="G36" i="33"/>
  <c r="S18" i="33"/>
  <c r="F37" i="33"/>
  <c r="G37" i="33" s="1"/>
  <c r="D37" i="33"/>
  <c r="L36" i="33"/>
  <c r="S17" i="33"/>
  <c r="H36" i="33"/>
  <c r="M36" i="33"/>
  <c r="E36" i="33"/>
  <c r="I36" i="33"/>
  <c r="F64" i="33"/>
  <c r="R18" i="33"/>
  <c r="G16" i="33"/>
  <c r="R17" i="33"/>
  <c r="M16" i="33"/>
  <c r="I16" i="33"/>
  <c r="E16" i="33"/>
  <c r="D64" i="33"/>
  <c r="L16" i="33"/>
  <c r="H16" i="33"/>
  <c r="J64" i="33"/>
  <c r="R19" i="33"/>
  <c r="K16" i="33"/>
  <c r="E74" i="32" l="1"/>
  <c r="I74" i="32"/>
  <c r="M74" i="32"/>
  <c r="H74" i="32"/>
  <c r="D70" i="32"/>
  <c r="L74" i="32"/>
  <c r="G64" i="33"/>
  <c r="F70" i="33"/>
  <c r="F65" i="33"/>
  <c r="G65" i="33" s="1"/>
  <c r="T18" i="33"/>
  <c r="K64" i="33"/>
  <c r="J70" i="33"/>
  <c r="T19" i="33"/>
  <c r="J65" i="33"/>
  <c r="K65" i="33" s="1"/>
  <c r="M37" i="33"/>
  <c r="I37" i="33"/>
  <c r="E37" i="33"/>
  <c r="L37" i="33"/>
  <c r="H37" i="33"/>
  <c r="D65" i="33"/>
  <c r="D70" i="33"/>
  <c r="H64" i="33"/>
  <c r="M64" i="33"/>
  <c r="E64" i="33"/>
  <c r="L64" i="33"/>
  <c r="I64" i="33"/>
  <c r="T17" i="33"/>
  <c r="E70" i="32" l="1"/>
  <c r="L70" i="32"/>
  <c r="I70" i="32"/>
  <c r="M70" i="32"/>
  <c r="H70" i="32"/>
  <c r="D75" i="33"/>
  <c r="L70" i="33"/>
  <c r="I70" i="33"/>
  <c r="E70" i="33"/>
  <c r="M70" i="33"/>
  <c r="H70" i="33"/>
  <c r="M65" i="33"/>
  <c r="I65" i="33"/>
  <c r="E65" i="33"/>
  <c r="L65" i="33"/>
  <c r="H65" i="33"/>
  <c r="K70" i="33"/>
  <c r="J75" i="33"/>
  <c r="G70" i="33"/>
  <c r="F75" i="33"/>
  <c r="G75" i="33" l="1"/>
  <c r="F71" i="33"/>
  <c r="G71" i="33" s="1"/>
  <c r="K75" i="33"/>
  <c r="J71" i="33"/>
  <c r="K71" i="33" s="1"/>
  <c r="M75" i="33"/>
  <c r="I75" i="33"/>
  <c r="E75" i="33"/>
  <c r="L75" i="33"/>
  <c r="H75" i="33"/>
  <c r="D71" i="33"/>
  <c r="M71" i="33" l="1"/>
  <c r="I71" i="33"/>
  <c r="E71" i="33"/>
  <c r="L71" i="33"/>
  <c r="H71" i="33"/>
</calcChain>
</file>

<file path=xl/sharedStrings.xml><?xml version="1.0" encoding="utf-8"?>
<sst xmlns="http://schemas.openxmlformats.org/spreadsheetml/2006/main" count="1264" uniqueCount="473">
  <si>
    <t>Otplata duga</t>
  </si>
  <si>
    <t>Current revenues</t>
  </si>
  <si>
    <t>Porezi</t>
  </si>
  <si>
    <t>Porez na dohodak fizičkih lica</t>
  </si>
  <si>
    <t>Personal Income Tax</t>
  </si>
  <si>
    <t>Porez na dobit pravnih lica</t>
  </si>
  <si>
    <t>Tax on Profits of Legal Persons</t>
  </si>
  <si>
    <t>Porez na promet nepokretnosti</t>
  </si>
  <si>
    <t xml:space="preserve">Taxes on Property </t>
  </si>
  <si>
    <t>Porez na dodatu vrijednost</t>
  </si>
  <si>
    <t>Value Added Tax</t>
  </si>
  <si>
    <t>Lokalni porezi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</si>
  <si>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</si>
  <si>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</si>
  <si>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</si>
  <si>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</si>
  <si>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</si>
  <si>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Ostali republički prihodi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</si>
  <si>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</si>
  <si>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</si>
  <si>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</si>
  <si>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</si>
  <si>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</si>
  <si>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</si>
  <si>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</si>
  <si>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</si>
  <si>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Insurance from Unemployment</t>
  </si>
  <si>
    <t>Ostali doprinosi</t>
  </si>
  <si>
    <t>Other contributions</t>
  </si>
  <si>
    <t>Takse</t>
  </si>
  <si>
    <t>Duties</t>
  </si>
  <si>
    <t>Administrativne takse</t>
  </si>
  <si>
    <t>Sudske takse</t>
  </si>
  <si>
    <t>Court duties</t>
  </si>
  <si>
    <t>Boravišne takse</t>
  </si>
  <si>
    <t>Residential duty</t>
  </si>
  <si>
    <t>Lokalne komunalne takse</t>
  </si>
  <si>
    <t>Ostale takse</t>
  </si>
  <si>
    <t>Other duties</t>
  </si>
  <si>
    <t>Naknade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</si>
  <si>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</si>
  <si>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</si>
  <si>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</si>
  <si>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</si>
  <si>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Naknade za korišćenje građevinskog zemljišta</t>
  </si>
  <si>
    <t>Ekološke naknade</t>
  </si>
  <si>
    <t>Ecological fees</t>
  </si>
  <si>
    <t>Naknade za priređivanje igara na sreću</t>
  </si>
  <si>
    <t>Fee for organizing games of chance</t>
  </si>
  <si>
    <t>Naknade za lokalne puteve</t>
  </si>
  <si>
    <t>Naknada za puteve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</si>
  <si>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</si>
  <si>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</si>
  <si>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</si>
  <si>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</si>
  <si>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</si>
  <si>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</si>
  <si>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</si>
  <si>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</si>
  <si>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</si>
  <si>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own activities of government bodies</t>
  </si>
  <si>
    <t xml:space="preserve">Receipts from repayment of loans and funds carried over from previous year </t>
  </si>
  <si>
    <t>Izdaci</t>
  </si>
  <si>
    <t>Tekući izdaci</t>
  </si>
  <si>
    <t>Bruto zarade i doprinosi na teret poslodavca</t>
  </si>
  <si>
    <t>Gross salaries and contributions charged to employer</t>
  </si>
  <si>
    <t>Neto zarade</t>
  </si>
  <si>
    <t>Net salaries</t>
  </si>
  <si>
    <t>Porez na zarade</t>
  </si>
  <si>
    <t>Personal income tax</t>
  </si>
  <si>
    <t>Doprinosi na teret zaposlenog</t>
  </si>
  <si>
    <t>Contributions charged to employee</t>
  </si>
  <si>
    <t>Doprinosi na teret poslodavca</t>
  </si>
  <si>
    <t>Contributions charged to employer</t>
  </si>
  <si>
    <t>Prirez na porez</t>
  </si>
  <si>
    <t>Ostala lična primanja</t>
  </si>
  <si>
    <t>Other personal income</t>
  </si>
  <si>
    <t>Rashodi za materijal i usluge</t>
  </si>
  <si>
    <t>Expenditures for supplies and services</t>
  </si>
  <si>
    <t>Tekuće održavanje</t>
  </si>
  <si>
    <t>Kamate</t>
  </si>
  <si>
    <t>Interests</t>
  </si>
  <si>
    <t>Renta</t>
  </si>
  <si>
    <t>Rent</t>
  </si>
  <si>
    <t>Subvencije</t>
  </si>
  <si>
    <t>Subsidies</t>
  </si>
  <si>
    <t>Ostali izdaci</t>
  </si>
  <si>
    <t>Transferi za socijalnu zaštitu</t>
  </si>
  <si>
    <t>Social security transfers</t>
  </si>
  <si>
    <t>Prava iz oblasti socijalne zaštite</t>
  </si>
  <si>
    <t>Social security related rights</t>
  </si>
  <si>
    <t>Sredstva za tehnološke viškove</t>
  </si>
  <si>
    <t>Funds for redundant labor</t>
  </si>
  <si>
    <t>Prava iz oblasti penzijskog i invalidskog osiguranja</t>
  </si>
  <si>
    <t>Pension and disability insurance rights</t>
  </si>
  <si>
    <t>Ostala prava iz oblasti zdravstvene zaštite</t>
  </si>
  <si>
    <t>Other rights related to health care</t>
  </si>
  <si>
    <t>Ostala prava iz oblasti zdravstvenog osiguranja</t>
  </si>
  <si>
    <t>Other rights related to health care insurance</t>
  </si>
  <si>
    <t>Transferi inst. pojedinicima NVO i javnom sektoru</t>
  </si>
  <si>
    <t>Transferi institucijama pojedinicima nevladinom i javnom sektoru</t>
  </si>
  <si>
    <t xml:space="preserve">Transfers to institutions, individuals, NGO and public sector </t>
  </si>
  <si>
    <t>Transferi javnim institucijama</t>
  </si>
  <si>
    <t>Transfers to public institutions</t>
  </si>
  <si>
    <t>Transferi nevladinim organizacijama</t>
  </si>
  <si>
    <t>Transfers to NGOs</t>
  </si>
  <si>
    <t>Transferi pojedincima</t>
  </si>
  <si>
    <t>Transfers to individuals</t>
  </si>
  <si>
    <t>Transferi opštinama</t>
  </si>
  <si>
    <t>Transferi javnim preduzećima</t>
  </si>
  <si>
    <t>Kapitalni budžet CG</t>
  </si>
  <si>
    <t>Pozajmice i krediti</t>
  </si>
  <si>
    <t>Loans and credits</t>
  </si>
  <si>
    <t>Otplata garancija</t>
  </si>
  <si>
    <t>Repayment of guarantees</t>
  </si>
  <si>
    <t>Otplata neizmirenih obaveza iz prethodnog perioda</t>
  </si>
  <si>
    <t>Otplata obaveza iz prethodnog perioda</t>
  </si>
  <si>
    <t>Repayment of liabilities from previous years</t>
  </si>
  <si>
    <t>Rezerve</t>
  </si>
  <si>
    <t>Reserves</t>
  </si>
  <si>
    <t>Deficit</t>
  </si>
  <si>
    <t>Finansiranje</t>
  </si>
  <si>
    <t>Pozajmice i krediti iz inostranih izvora</t>
  </si>
  <si>
    <t>Donacije</t>
  </si>
  <si>
    <t>Prihodi od privatizacije i prodaje imovine</t>
  </si>
  <si>
    <t>Povećanje/smanjenje depozita</t>
  </si>
  <si>
    <t>Tekuća budžetska potrošnja</t>
  </si>
  <si>
    <t>Budžet Crne Gore</t>
  </si>
  <si>
    <t>Izvorni prihodi</t>
  </si>
  <si>
    <t>Prirez na porez na dohodak</t>
  </si>
  <si>
    <t>Kapitalni izdaci u tekućem budžetu</t>
  </si>
  <si>
    <t>Kapitalni budžet</t>
  </si>
  <si>
    <t>Suficit/ Deficit</t>
  </si>
  <si>
    <t>Primarni deficit</t>
  </si>
  <si>
    <t>Repayment of debt</t>
  </si>
  <si>
    <t>Otplata duga rezidentima</t>
  </si>
  <si>
    <t>Repayment of principal to residents</t>
  </si>
  <si>
    <t>Otplata duga nerezidentima</t>
  </si>
  <si>
    <t>Repayment of principal to nonresidents</t>
  </si>
  <si>
    <t>Repayment of Arrears</t>
  </si>
  <si>
    <t>Repayment of Garantees</t>
  </si>
  <si>
    <t>Nedostajuća sredstva</t>
  </si>
  <si>
    <t>Financing needs</t>
  </si>
  <si>
    <t xml:space="preserve">Financing </t>
  </si>
  <si>
    <t>Pozajmice i krediti iz domaćih izvora</t>
  </si>
  <si>
    <t>Borrowings and credits from domestic sources</t>
  </si>
  <si>
    <t>Borrowings and credits from foreign sources</t>
  </si>
  <si>
    <t>Grants</t>
  </si>
  <si>
    <t>Privatisation revenues</t>
  </si>
  <si>
    <t>Increase/Decrease of deposits</t>
  </si>
  <si>
    <t>% BDP</t>
  </si>
  <si>
    <t>Current maintenace</t>
  </si>
  <si>
    <t>Neto povećanje obaveza</t>
  </si>
  <si>
    <t xml:space="preserve"> % BDP</t>
  </si>
  <si>
    <t>Opštinski prirez</t>
  </si>
  <si>
    <t>Kapitalni izdaci Tekućeg budžeta i Državnih fondova</t>
  </si>
  <si>
    <t>Transferi instit. pojed. NVO i javnom sektoru</t>
  </si>
  <si>
    <t>Kapitalni budžet lokalne samouprave</t>
  </si>
  <si>
    <t>Otplata glavnice rezidentima</t>
  </si>
  <si>
    <t>Otplata glavnice nerezidentima</t>
  </si>
  <si>
    <t>Otplata  obaveza iz prethodnog perioda</t>
  </si>
  <si>
    <t>Korišćenje depozita države</t>
  </si>
  <si>
    <t>Naknade za komunalno opremanje građevinskog zemljišta</t>
  </si>
  <si>
    <t>Kapitalni budzet lokalne samouprave</t>
  </si>
  <si>
    <t>Korišćenje depozita lokalne samouprave</t>
  </si>
  <si>
    <t>Transferi iz budžeta CG</t>
  </si>
  <si>
    <t>% GDP</t>
  </si>
  <si>
    <t>Taxes</t>
  </si>
  <si>
    <t>Fees</t>
  </si>
  <si>
    <t xml:space="preserve">Road fees </t>
  </si>
  <si>
    <t>Current budget expenditures</t>
  </si>
  <si>
    <t>Crnogorski</t>
  </si>
  <si>
    <t>English</t>
  </si>
  <si>
    <t>Transfers to municipalities</t>
  </si>
  <si>
    <t>Transfers to public enterprises</t>
  </si>
  <si>
    <t>Administrative duties</t>
  </si>
  <si>
    <t>Capital budget of Montenegro</t>
  </si>
  <si>
    <t xml:space="preserve">Net increse of liabilities </t>
  </si>
  <si>
    <t>Primary deficit</t>
  </si>
  <si>
    <t>Surtax on PIT</t>
  </si>
  <si>
    <t>Capital outlows of current budget</t>
  </si>
  <si>
    <t>Macroeconomic indicators</t>
  </si>
  <si>
    <t>GDP nominal growth</t>
  </si>
  <si>
    <t>GDP real growth</t>
  </si>
  <si>
    <t>Inflation</t>
  </si>
  <si>
    <t>Import</t>
  </si>
  <si>
    <t>Export</t>
  </si>
  <si>
    <t>Other</t>
  </si>
  <si>
    <t>Current account deficit</t>
  </si>
  <si>
    <t>Domestic loans</t>
  </si>
  <si>
    <t>Fiscal indicators</t>
  </si>
  <si>
    <t>Current public revenues</t>
  </si>
  <si>
    <t>Public expenditure</t>
  </si>
  <si>
    <t>Interest</t>
  </si>
  <si>
    <t>Primary deficit/surplus</t>
  </si>
  <si>
    <t>Government debt</t>
  </si>
  <si>
    <t>Welcome tab</t>
  </si>
  <si>
    <t>MONTENEGRO</t>
  </si>
  <si>
    <t>MINISTRY OF FINANCE</t>
  </si>
  <si>
    <t>CRNA GORA</t>
  </si>
  <si>
    <t>MINISTARSTVO FINANSIJA</t>
  </si>
  <si>
    <t xml:space="preserve">   Javni dug (% BDP)</t>
  </si>
  <si>
    <t xml:space="preserve">   Public debt (% GDP)</t>
  </si>
  <si>
    <t xml:space="preserve">   Javna potrošnja (% BDP)</t>
  </si>
  <si>
    <t>Ažurirano:</t>
  </si>
  <si>
    <t>Updated:</t>
  </si>
  <si>
    <t>Broj stanovnika (Popis 2011)</t>
  </si>
  <si>
    <t>Population (Census 2011)</t>
  </si>
  <si>
    <t>Površina (km²)</t>
  </si>
  <si>
    <t xml:space="preserve">   Inflacija (%)</t>
  </si>
  <si>
    <t xml:space="preserve">   Inflation (%)</t>
  </si>
  <si>
    <t>BDP (mil. €)*</t>
  </si>
  <si>
    <t>Royal Capital</t>
  </si>
  <si>
    <t>Glavni grad</t>
  </si>
  <si>
    <t>Prijestonica</t>
  </si>
  <si>
    <t>Capital</t>
  </si>
  <si>
    <t>Valuta</t>
  </si>
  <si>
    <t>Currency</t>
  </si>
  <si>
    <t>Notice: The information is provided in English and in Montenegrin language</t>
  </si>
  <si>
    <t>Napomena: Informacija je urađena je na engleskom i crnogorskom jeziku</t>
  </si>
  <si>
    <t>*data represent Ministry of Finance forecast</t>
  </si>
  <si>
    <t>Izvor: ZZZ, Monstat, Ministarstvo finansija</t>
  </si>
  <si>
    <t>Source: Employment Office, Monstat, Ministry of Finance</t>
  </si>
  <si>
    <t>Makroekonomski pokazatelji</t>
  </si>
  <si>
    <t>Nominalni rast BDP-a</t>
  </si>
  <si>
    <t>Realni rast BDP-a</t>
  </si>
  <si>
    <t>Inflacija</t>
  </si>
  <si>
    <t xml:space="preserve">Uvoz </t>
  </si>
  <si>
    <t>Izvoz</t>
  </si>
  <si>
    <t>Ostalo</t>
  </si>
  <si>
    <t>Deficit tekućeg računa</t>
  </si>
  <si>
    <t>Neto strane direktne investicije</t>
  </si>
  <si>
    <t>Domaći krediti</t>
  </si>
  <si>
    <t>Fiskalni pokazatelji</t>
  </si>
  <si>
    <t>Izvorni javni prihodi</t>
  </si>
  <si>
    <t>Javna potrošnja</t>
  </si>
  <si>
    <t>Deficit/Suficit</t>
  </si>
  <si>
    <t>Primarni deficit/suficit</t>
  </si>
  <si>
    <t>Državni dug</t>
  </si>
  <si>
    <t>Makroekonomski i fiskalni okvir  (u % BDP-a)</t>
  </si>
  <si>
    <t>Ostvarenje</t>
  </si>
  <si>
    <t>Procjena</t>
  </si>
  <si>
    <t>Osnovni scenario</t>
  </si>
  <si>
    <t>Scenario nižeg rasta</t>
  </si>
  <si>
    <t>Core data tab</t>
  </si>
  <si>
    <t>Macroeconomic and Fiscal Framework (in %GDP)</t>
  </si>
  <si>
    <t>Net foreign investments</t>
  </si>
  <si>
    <t>Actual data</t>
  </si>
  <si>
    <t>Estimate</t>
  </si>
  <si>
    <t>Base scenario</t>
  </si>
  <si>
    <t>Low-growth scenario</t>
  </si>
  <si>
    <t>1 - engleski</t>
  </si>
  <si>
    <t>Central budget tab</t>
  </si>
  <si>
    <t>Central Budget of Montenegro</t>
  </si>
  <si>
    <t>Tax on Profits of Legal Person</t>
  </si>
  <si>
    <t>Primici od otplate kredita i sredstva prenijeta iz prethodne godine</t>
  </si>
  <si>
    <t>Local Government tab</t>
  </si>
  <si>
    <t xml:space="preserve"> % GDP</t>
  </si>
  <si>
    <t>Local Government</t>
  </si>
  <si>
    <t>Lokalna samouprava</t>
  </si>
  <si>
    <t>Current revenues and grants</t>
  </si>
  <si>
    <t>Izvorni prihodi i donacije</t>
  </si>
  <si>
    <t>Tekuća potrošnja lokalne samouprave</t>
  </si>
  <si>
    <t>mil. €</t>
  </si>
  <si>
    <t>Local Taxes</t>
  </si>
  <si>
    <t>Suficit/deficit</t>
  </si>
  <si>
    <t>Izvor: Ministarstvo finansija Crne Gore</t>
  </si>
  <si>
    <t>Source: Ministry of Finance of Montenegro</t>
  </si>
  <si>
    <t>Residential duties</t>
  </si>
  <si>
    <t>Local road fees</t>
  </si>
  <si>
    <t>Current local government expenditure</t>
  </si>
  <si>
    <t>Surtaxe on PIT</t>
  </si>
  <si>
    <t>Current maintenance</t>
  </si>
  <si>
    <t>Lolacl utility duties</t>
  </si>
  <si>
    <t>Sourse: Ministry of Finance of Montenegro</t>
  </si>
  <si>
    <t>Deposits of local government</t>
  </si>
  <si>
    <t>Transfers from the Central Budget</t>
  </si>
  <si>
    <t>Fees for usage of construction land</t>
  </si>
  <si>
    <t>Fees for municipal residental land</t>
  </si>
  <si>
    <t>Public expenditure tab</t>
  </si>
  <si>
    <t>Tekuća javna potrošnja</t>
  </si>
  <si>
    <t>Kapitalni izdaci</t>
  </si>
  <si>
    <t>Local taxes</t>
  </si>
  <si>
    <t>Public expenditures</t>
  </si>
  <si>
    <t>Current public expenditures</t>
  </si>
  <si>
    <t>Capital Budget of Montenegro</t>
  </si>
  <si>
    <t>Capital Budget of Local Government</t>
  </si>
  <si>
    <t>Surplus/deficit</t>
  </si>
  <si>
    <t>Financing</t>
  </si>
  <si>
    <t>Privatisation revenues or selling property</t>
  </si>
  <si>
    <t xml:space="preserve">   Public expenditure (% GDP)</t>
  </si>
  <si>
    <t>Stopa nezaposlenosti (%)</t>
  </si>
  <si>
    <t>Unemployment rate (%)</t>
  </si>
  <si>
    <t>Januar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</si>
  <si>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</si>
  <si>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</si>
  <si>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</si>
  <si>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</si>
  <si>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</si>
  <si>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</si>
  <si>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</si>
  <si>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</si>
  <si>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</si>
  <si>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</si>
  <si>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</si>
  <si>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Porez na imovinu</t>
  </si>
  <si>
    <t xml:space="preserve">Akcize </t>
  </si>
  <si>
    <t>Porez na međ. trgov. i transakcije</t>
  </si>
  <si>
    <t>Doprinosi za PIO</t>
  </si>
  <si>
    <t>Doprinosi za zdravstvo</t>
  </si>
  <si>
    <t>Doprinosi za nezaposlene</t>
  </si>
  <si>
    <t>Naknada za kor. prirodnih dobara</t>
  </si>
  <si>
    <t>Naknade za priređ.  igara na sreću</t>
  </si>
  <si>
    <t>Naknade za puteve</t>
  </si>
  <si>
    <t>Prihodi koje organi ostvaruju vršenjem svoje djel.</t>
  </si>
  <si>
    <t>Monthly plan tab</t>
  </si>
  <si>
    <t>January</t>
  </si>
  <si>
    <t>February</t>
  </si>
  <si>
    <t>March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</si>
  <si>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</si>
  <si>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</si>
  <si>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</si>
  <si>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</si>
  <si>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</si>
  <si>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</si>
  <si>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</si>
  <si>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</si>
  <si>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Izvršenje budžeta, po mjesecima</t>
  </si>
  <si>
    <t>Nakn. za koriš. dob. od opš. int.</t>
  </si>
  <si>
    <t>Prihodi od privatizacije</t>
  </si>
  <si>
    <t>Analitics tab</t>
  </si>
  <si>
    <t>*podaci su procjena Ministarstva finansija</t>
  </si>
  <si>
    <t>Source: Ministry of Finance, Central Bank, Monstat</t>
  </si>
  <si>
    <t>Izvor: Ministarstvo finansija, Centralna banka, Monstat</t>
  </si>
  <si>
    <t>Budget execution, by months</t>
  </si>
  <si>
    <t>Analitika ostvarenja</t>
  </si>
  <si>
    <t>Execution analitics</t>
  </si>
  <si>
    <t>preliminarni podaci</t>
  </si>
  <si>
    <t>preliminary data</t>
  </si>
  <si>
    <t>Execution</t>
  </si>
  <si>
    <t>Expenditures</t>
  </si>
  <si>
    <t>Current expenditures</t>
  </si>
  <si>
    <t>Other expenditures</t>
  </si>
  <si>
    <t>Capital expenditures</t>
  </si>
  <si>
    <t>Capital expenditures of Current Budget and State Funds</t>
  </si>
  <si>
    <t>Public debt</t>
  </si>
  <si>
    <t>Ukupno javni dug</t>
  </si>
  <si>
    <t>Dug prema rezidentima</t>
  </si>
  <si>
    <t>Dug prema nerezidentima</t>
  </si>
  <si>
    <t>I kvartal</t>
  </si>
  <si>
    <t>II kvartal</t>
  </si>
  <si>
    <t>III kvartal</t>
  </si>
  <si>
    <t>IV kvartal</t>
  </si>
  <si>
    <t>Stanje javnog duga, na kraju perioda</t>
  </si>
  <si>
    <t>Public debt, at the end of the period</t>
  </si>
  <si>
    <t>Debt to residents</t>
  </si>
  <si>
    <t>Debt to nonresidents</t>
  </si>
  <si>
    <t>Stanje javnog duga, kvartalno</t>
  </si>
  <si>
    <t xml:space="preserve">Public debt, quaterly </t>
  </si>
  <si>
    <t>I quater</t>
  </si>
  <si>
    <t>II quater</t>
  </si>
  <si>
    <t>III quater</t>
  </si>
  <si>
    <t>IV quater</t>
  </si>
  <si>
    <t>Stanje javnog duga, po mjesecima</t>
  </si>
  <si>
    <t>Public debt, monthly</t>
  </si>
  <si>
    <t>Area (km²)</t>
  </si>
  <si>
    <t>GDP (mil. €)*</t>
  </si>
  <si>
    <r>
      <t xml:space="preserve">BDP </t>
    </r>
    <r>
      <rPr>
        <i/>
        <sz val="10"/>
        <rFont val="Calibri"/>
        <family val="2"/>
        <charset val="238"/>
        <scheme val="minor"/>
      </rPr>
      <t>per capita (</t>
    </r>
    <r>
      <rPr>
        <sz val="10"/>
        <rFont val="Calibri"/>
        <family val="2"/>
        <charset val="238"/>
        <scheme val="minor"/>
      </rPr>
      <t>€</t>
    </r>
    <r>
      <rPr>
        <i/>
        <sz val="10"/>
        <rFont val="Calibri"/>
        <family val="2"/>
        <charset val="238"/>
        <scheme val="minor"/>
      </rPr>
      <t>)*</t>
    </r>
  </si>
  <si>
    <r>
      <t xml:space="preserve">GDP </t>
    </r>
    <r>
      <rPr>
        <i/>
        <sz val="10"/>
        <rFont val="Calibri"/>
        <family val="2"/>
        <charset val="238"/>
        <scheme val="minor"/>
      </rPr>
      <t>per capita (</t>
    </r>
    <r>
      <rPr>
        <sz val="10"/>
        <rFont val="Calibri"/>
        <family val="2"/>
        <charset val="238"/>
        <scheme val="minor"/>
      </rPr>
      <t>€</t>
    </r>
    <r>
      <rPr>
        <i/>
        <sz val="10"/>
        <rFont val="Calibri"/>
        <family val="2"/>
        <charset val="238"/>
        <scheme val="minor"/>
      </rPr>
      <t>)*</t>
    </r>
  </si>
  <si>
    <t>Prosječna neto zarada (€)</t>
  </si>
  <si>
    <t>Average net wage (€)</t>
  </si>
  <si>
    <t>BDP (u mil. €)</t>
  </si>
  <si>
    <t>GDP (mil. €)</t>
  </si>
  <si>
    <t>Capital ouflows and capital budget</t>
  </si>
  <si>
    <t>Deficit/Surplus</t>
  </si>
  <si>
    <t>Deficit/Suficit (bez garancija)</t>
  </si>
  <si>
    <t>Primarni deficit/suficit (bez garancija)</t>
  </si>
  <si>
    <t>Deficit/Surplus (without Guarantees)</t>
  </si>
  <si>
    <t>Primary deficit/surplus (without Guarantees)</t>
  </si>
  <si>
    <t>Bankarski depoziti (domaći)</t>
  </si>
  <si>
    <t>Bank deposits (domestic)</t>
  </si>
  <si>
    <t>Plan according to Budget Law for 2013</t>
  </si>
  <si>
    <t>Plan prema Zakonu o Budžetu za 2013. godinu</t>
  </si>
  <si>
    <t>Plan for 2013</t>
  </si>
  <si>
    <t>Plan 2013</t>
  </si>
  <si>
    <t>Mjesečni plan za 2013. godinu</t>
  </si>
  <si>
    <t>Plan for 2013, by months</t>
  </si>
  <si>
    <t>Execution for 2013</t>
  </si>
  <si>
    <t>Jan - Dec 2013</t>
  </si>
  <si>
    <t>Jan - Feb 2013</t>
  </si>
  <si>
    <t>April 2013</t>
  </si>
  <si>
    <t>Maj 2013</t>
  </si>
  <si>
    <t>Maj 2014</t>
  </si>
  <si>
    <t>Plan 2014</t>
  </si>
  <si>
    <t>Ekonomska klasifikacija</t>
  </si>
  <si>
    <t>O   P   I   S</t>
  </si>
  <si>
    <t>Iznos u €</t>
  </si>
  <si>
    <t>Ako je 0 sve je OK!</t>
  </si>
  <si>
    <t>PRIMICI</t>
  </si>
  <si>
    <t>Tekući prihodi</t>
  </si>
  <si>
    <t>Naknada za korišćenje prirodnih dobara</t>
  </si>
  <si>
    <t>Primici od prodaje  imovine</t>
  </si>
  <si>
    <t>Primici od prodaje imovine</t>
  </si>
  <si>
    <t>Primici od prodaje nefinansijske imovine</t>
  </si>
  <si>
    <t>Primici od prodaje nepokretnosti</t>
  </si>
  <si>
    <t>Primici od prodaje zaliha</t>
  </si>
  <si>
    <t>Primici od prodaje finansijske imovine</t>
  </si>
  <si>
    <t>Prodaja akcija</t>
  </si>
  <si>
    <t>Prodaja ostalih HOV</t>
  </si>
  <si>
    <t xml:space="preserve">Primici od otplate kredita </t>
  </si>
  <si>
    <t>Primici od otplate kredita datih drugim nivoima vlasti</t>
  </si>
  <si>
    <t>Primici od otplate kredita datih javnim preduzećima</t>
  </si>
  <si>
    <t>Primici od otplate kredita datih drugim institucijama</t>
  </si>
  <si>
    <t>Primici od otplate kredita datih fizičkim licima</t>
  </si>
  <si>
    <t xml:space="preserve"> Sredstva prenesena iz prethodne godine</t>
  </si>
  <si>
    <t>Sredstva prenesena iz prethodne godine</t>
  </si>
  <si>
    <t>Donacije i transferi</t>
  </si>
  <si>
    <t>Tekuće donacije</t>
  </si>
  <si>
    <t>IZVORNI PRIHODI</t>
  </si>
  <si>
    <t>Porezi i doprinosi</t>
  </si>
  <si>
    <t xml:space="preserve"> IZDACI</t>
  </si>
  <si>
    <t xml:space="preserve"> Kapitalni budžet CG</t>
  </si>
  <si>
    <t xml:space="preserve"> SUFICIT / DEFICIT</t>
  </si>
  <si>
    <t>PRIMARNI SUFICIT</t>
  </si>
  <si>
    <t>OTPLATA DUGA</t>
  </si>
  <si>
    <t>NEDOSTAJUĆA SREDSTVA</t>
  </si>
  <si>
    <t>FINANSIRANJE</t>
  </si>
  <si>
    <t>Procjena 2014</t>
  </si>
  <si>
    <t xml:space="preserve"> </t>
  </si>
  <si>
    <t>Rashodi za materijal</t>
  </si>
  <si>
    <t>Rashodi za usluge</t>
  </si>
  <si>
    <t>Rashodi za tekuće održavanje</t>
  </si>
  <si>
    <t>Ostala prava iz zdravstvenog osiguranja</t>
  </si>
  <si>
    <t xml:space="preserve">Transferi institucijama, pojedincima, nevladinom i javnom sektoru </t>
  </si>
  <si>
    <t xml:space="preserve">Ostali transferi </t>
  </si>
  <si>
    <t>Registracione takse</t>
  </si>
  <si>
    <t xml:space="preserve">Naknade za izgradnju i održavanje lokalnih puteva i drugih javnih objekata od opštinskog značaja </t>
  </si>
  <si>
    <t>PLAN 2015</t>
  </si>
  <si>
    <t>Mjesečni plan prihoda 2014</t>
  </si>
  <si>
    <t>Mjesečna procjena prihoda 2014</t>
  </si>
  <si>
    <t>Ostvarenje prihoda 2013</t>
  </si>
  <si>
    <t>Razlike</t>
  </si>
  <si>
    <t>%</t>
  </si>
  <si>
    <t>Deficit - osnovni scenario</t>
  </si>
  <si>
    <t>Deficit - scenario sa auto putem</t>
  </si>
  <si>
    <t>2014 - procjena</t>
  </si>
  <si>
    <t>2014 - ostvarenje</t>
  </si>
  <si>
    <t>2013 - Ostvarenje</t>
  </si>
  <si>
    <t>2014 - plan</t>
  </si>
  <si>
    <t>2013 - ostvarenje</t>
  </si>
  <si>
    <t>Naknada za komunalno opremanje građevinskog zemljišta</t>
  </si>
  <si>
    <t>Prihodi</t>
  </si>
  <si>
    <t>Rashodi</t>
  </si>
  <si>
    <t>Suficit / deficit</t>
  </si>
  <si>
    <t>PDV</t>
  </si>
  <si>
    <t>Odstupanje</t>
  </si>
  <si>
    <t>Tekući budžetski izdaci</t>
  </si>
  <si>
    <t>Otplata obaveza iz prethodnih godina</t>
  </si>
  <si>
    <t>4630a</t>
  </si>
  <si>
    <t>4630b</t>
  </si>
  <si>
    <t>Primarni bilans</t>
  </si>
  <si>
    <t>Otplata dugova</t>
  </si>
  <si>
    <t>Otplata hartija od vrijednosti i kredita rezidentima</t>
  </si>
  <si>
    <t>Otplata hartija od vrijednosti i kredita nerezidentima</t>
  </si>
  <si>
    <t>Pozajmice i krediti od domaćih izvora</t>
  </si>
  <si>
    <t>Pozajmice i krediti od inostranih izvora</t>
  </si>
  <si>
    <t>Povećanje / smanjenje depozita</t>
  </si>
  <si>
    <t>Transferi iz Centralnog budžeta</t>
  </si>
  <si>
    <t>podaci po završnom</t>
  </si>
  <si>
    <t>konačni rezultat</t>
  </si>
  <si>
    <t>sa konačnim podacima lokalne samouprave</t>
  </si>
  <si>
    <t>Budžetski izdaci</t>
  </si>
  <si>
    <t>preliminarni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</si>
</sst>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\ &quot;€&quot;_-;\-* #,##0.00\ &quot;€&quot;_-;_-* &quot;-&quot;??\ &quot;€&quot;_-;_-@_-"/>
    <numFmt numFmtId="165" formatCode="0.00,,"/>
    <numFmt numFmtId="166" formatCode="0.0,,"/>
    <numFmt numFmtId="167" formatCode="#,##0.0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[&gt;0.05]#,##0.0;[&lt;-0.05]\-#,##0.0;\-\-&quot; &quot;;"/>
    <numFmt numFmtId="173" formatCode="[&gt;0.5]#,##0;[&lt;-0.5]\-#,##0;\-\-&quot; &quot;;"/>
    <numFmt numFmtId="174" formatCode="[Black]#,##0.0;[Black]\-#,##0.0;;"/>
    <numFmt numFmtId="175" formatCode="#,##0.0,,"/>
    <numFmt numFmtId="176" formatCode="0.0000"/>
  </numFmts>
  <fonts count="4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entury Gothic"/>
      <family val="2"/>
    </font>
    <font>
      <sz val="10"/>
      <name val="Century Gothic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name val="Century Gothic"/>
      <family val="2"/>
    </font>
    <font>
      <sz val="11"/>
      <color rgb="FFFF0000"/>
      <name val="Calibri"/>
      <family val="2"/>
      <scheme val="minor"/>
    </font>
    <font>
      <sz val="8"/>
      <name val="Century Gothic"/>
      <family val="2"/>
    </font>
    <font>
      <b/>
      <sz val="11"/>
      <color rgb="FFFF0000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1"/>
      <name val="Century Gothic"/>
      <family val="2"/>
    </font>
    <font>
      <b/>
      <sz val="9"/>
      <name val="Century Gothic"/>
      <family val="2"/>
    </font>
    <font>
      <b/>
      <sz val="8"/>
      <name val="Century Gothic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i/>
      <sz val="10"/>
      <name val="Calibri"/>
      <family val="2"/>
      <scheme val="minor"/>
    </font>
    <font>
      <sz val="10"/>
      <color indexed="18"/>
      <name val="Calibri"/>
      <family val="2"/>
      <scheme val="minor"/>
    </font>
    <font>
      <i/>
      <sz val="10"/>
      <color indexed="18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  <charset val="238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i/>
      <sz val="9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i/>
      <sz val="10"/>
      <color indexed="18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40">
    <xf numFmtId="0" fontId="0" fillId="0" borderId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8" fillId="0" borderId="0" applyProtection="0"/>
    <xf numFmtId="0" fontId="9" fillId="0" borderId="0">
      <protection locked="0"/>
    </xf>
    <xf numFmtId="0" fontId="9" fillId="0" borderId="0">
      <protection locked="0"/>
    </xf>
    <xf numFmtId="0" fontId="10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0" fillId="0" borderId="0">
      <protection locked="0"/>
    </xf>
    <xf numFmtId="2" fontId="8" fillId="0" borderId="0" applyProtection="0"/>
    <xf numFmtId="0" fontId="8" fillId="0" borderId="0" applyNumberFormat="0" applyFont="0" applyFill="0" applyBorder="0" applyAlignment="0" applyProtection="0"/>
    <xf numFmtId="0" fontId="11" fillId="0" borderId="0" applyProtection="0"/>
    <xf numFmtId="172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7" fontId="12" fillId="0" borderId="0"/>
    <xf numFmtId="0" fontId="13" fillId="0" borderId="0"/>
    <xf numFmtId="0" fontId="14" fillId="0" borderId="0"/>
    <xf numFmtId="0" fontId="14" fillId="0" borderId="0"/>
    <xf numFmtId="0" fontId="7" fillId="0" borderId="0"/>
    <xf numFmtId="0" fontId="6" fillId="0" borderId="0"/>
    <xf numFmtId="174" fontId="7" fillId="0" borderId="0" applyFont="0" applyFill="0" applyBorder="0" applyAlignment="0" applyProtection="0"/>
    <xf numFmtId="0" fontId="15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2" fillId="0" borderId="0"/>
    <xf numFmtId="9" fontId="35" fillId="0" borderId="0" applyFont="0" applyFill="0" applyBorder="0" applyAlignment="0" applyProtection="0"/>
    <xf numFmtId="0" fontId="6" fillId="0" borderId="0"/>
  </cellStyleXfs>
  <cellXfs count="358">
    <xf numFmtId="0" fontId="0" fillId="0" borderId="0" xfId="0"/>
    <xf numFmtId="0" fontId="6" fillId="0" borderId="0" xfId="0" applyFont="1"/>
    <xf numFmtId="0" fontId="16" fillId="0" borderId="0" xfId="0" applyFont="1" applyFill="1" applyAlignment="1">
      <alignment horizontal="center" vertical="center"/>
    </xf>
    <xf numFmtId="0" fontId="6" fillId="0" borderId="0" xfId="22" applyFont="1" applyFill="1" applyBorder="1" applyAlignment="1">
      <alignment horizontal="center" vertical="center" wrapText="1"/>
    </xf>
    <xf numFmtId="0" fontId="16" fillId="0" borderId="0" xfId="22" applyFont="1" applyFill="1" applyBorder="1" applyAlignment="1">
      <alignment vertical="center"/>
    </xf>
    <xf numFmtId="0" fontId="16" fillId="0" borderId="0" xfId="22" applyFont="1" applyFill="1" applyAlignment="1">
      <alignment vertical="center"/>
    </xf>
    <xf numFmtId="0" fontId="16" fillId="0" borderId="0" xfId="22" applyFont="1" applyFill="1" applyBorder="1" applyAlignment="1">
      <alignment horizontal="center" vertical="center"/>
    </xf>
    <xf numFmtId="2" fontId="16" fillId="0" borderId="0" xfId="22" applyNumberFormat="1" applyFont="1" applyFill="1" applyBorder="1" applyAlignment="1">
      <alignment vertical="center"/>
    </xf>
    <xf numFmtId="2" fontId="16" fillId="0" borderId="0" xfId="22" applyNumberFormat="1" applyFont="1" applyFill="1" applyBorder="1" applyAlignment="1">
      <alignment horizontal="left" vertical="center"/>
    </xf>
    <xf numFmtId="49" fontId="16" fillId="0" borderId="0" xfId="22" applyNumberFormat="1" applyFont="1" applyFill="1" applyBorder="1" applyAlignment="1">
      <alignment vertical="center"/>
    </xf>
    <xf numFmtId="0" fontId="16" fillId="3" borderId="0" xfId="0" applyFont="1" applyFill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6" fillId="0" borderId="0" xfId="22" applyFont="1" applyAlignment="1">
      <alignment vertical="center"/>
    </xf>
    <xf numFmtId="1" fontId="16" fillId="0" borderId="0" xfId="0" applyNumberFormat="1" applyFont="1" applyFill="1" applyBorder="1" applyAlignment="1">
      <alignment horizontal="center" vertical="center"/>
    </xf>
    <xf numFmtId="1" fontId="16" fillId="0" borderId="0" xfId="0" applyNumberFormat="1" applyFont="1" applyFill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16" fontId="16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vertical="center"/>
    </xf>
    <xf numFmtId="16" fontId="16" fillId="0" borderId="0" xfId="0" applyNumberFormat="1" applyFont="1" applyFill="1" applyBorder="1" applyAlignment="1">
      <alignment horizontal="left" vertical="center"/>
    </xf>
    <xf numFmtId="17" fontId="16" fillId="0" borderId="0" xfId="0" applyNumberFormat="1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17" fontId="16" fillId="0" borderId="0" xfId="0" applyNumberFormat="1" applyFont="1" applyFill="1" applyAlignment="1">
      <alignment vertical="center"/>
    </xf>
    <xf numFmtId="4" fontId="16" fillId="0" borderId="0" xfId="22" applyNumberFormat="1" applyFont="1" applyFill="1" applyBorder="1" applyAlignment="1">
      <alignment vertical="center"/>
    </xf>
    <xf numFmtId="165" fontId="16" fillId="0" borderId="0" xfId="22" applyNumberFormat="1" applyFont="1" applyFill="1" applyBorder="1" applyAlignment="1">
      <alignment vertical="center"/>
    </xf>
    <xf numFmtId="4" fontId="17" fillId="0" borderId="0" xfId="22" applyNumberFormat="1" applyFont="1" applyFill="1" applyBorder="1" applyAlignment="1">
      <alignment vertical="center"/>
    </xf>
    <xf numFmtId="165" fontId="17" fillId="0" borderId="0" xfId="22" applyNumberFormat="1" applyFont="1" applyFill="1" applyBorder="1" applyAlignment="1">
      <alignment vertical="center"/>
    </xf>
    <xf numFmtId="49" fontId="16" fillId="0" borderId="0" xfId="22" applyNumberFormat="1" applyFont="1" applyAlignment="1">
      <alignment vertical="center"/>
    </xf>
    <xf numFmtId="49" fontId="16" fillId="0" borderId="0" xfId="0" applyNumberFormat="1" applyFont="1" applyAlignment="1">
      <alignment vertical="center"/>
    </xf>
    <xf numFmtId="17" fontId="6" fillId="0" borderId="0" xfId="0" applyNumberFormat="1" applyFont="1"/>
    <xf numFmtId="0" fontId="2" fillId="0" borderId="0" xfId="37"/>
    <xf numFmtId="0" fontId="21" fillId="0" borderId="5" xfId="37" applyFont="1" applyBorder="1" applyAlignment="1">
      <alignment horizontal="center" vertical="center" wrapText="1"/>
    </xf>
    <xf numFmtId="0" fontId="5" fillId="0" borderId="38" xfId="37" applyFont="1" applyBorder="1" applyAlignment="1">
      <alignment horizontal="center" vertical="center" wrapText="1"/>
    </xf>
    <xf numFmtId="0" fontId="5" fillId="0" borderId="10" xfId="37" applyFont="1" applyBorder="1" applyAlignment="1">
      <alignment horizontal="center" vertical="center" wrapText="1"/>
    </xf>
    <xf numFmtId="0" fontId="4" fillId="0" borderId="5" xfId="37" applyFont="1" applyBorder="1" applyAlignment="1">
      <alignment horizontal="left"/>
    </xf>
    <xf numFmtId="0" fontId="4" fillId="0" borderId="38" xfId="37" applyFont="1" applyBorder="1" applyAlignment="1">
      <alignment wrapText="1"/>
    </xf>
    <xf numFmtId="4" fontId="4" fillId="0" borderId="10" xfId="37" applyNumberFormat="1" applyFont="1" applyBorder="1"/>
    <xf numFmtId="4" fontId="23" fillId="3" borderId="0" xfId="37" applyNumberFormat="1" applyFont="1" applyFill="1"/>
    <xf numFmtId="0" fontId="4" fillId="0" borderId="15" xfId="37" applyFont="1" applyBorder="1" applyAlignment="1">
      <alignment horizontal="left"/>
    </xf>
    <xf numFmtId="0" fontId="4" fillId="0" borderId="31" xfId="37" applyFont="1" applyBorder="1" applyAlignment="1">
      <alignment wrapText="1"/>
    </xf>
    <xf numFmtId="4" fontId="4" fillId="0" borderId="7" xfId="37" applyNumberFormat="1" applyFont="1" applyBorder="1"/>
    <xf numFmtId="4" fontId="2" fillId="0" borderId="0" xfId="37" applyNumberFormat="1"/>
    <xf numFmtId="0" fontId="4" fillId="0" borderId="44" xfId="37" applyFont="1" applyBorder="1" applyAlignment="1">
      <alignment horizontal="center"/>
    </xf>
    <xf numFmtId="0" fontId="4" fillId="0" borderId="3" xfId="37" applyFont="1" applyBorder="1" applyAlignment="1">
      <alignment vertical="center" wrapText="1"/>
    </xf>
    <xf numFmtId="4" fontId="4" fillId="0" borderId="8" xfId="37" applyNumberFormat="1" applyFont="1" applyBorder="1"/>
    <xf numFmtId="0" fontId="5" fillId="0" borderId="44" xfId="37" applyFont="1" applyBorder="1"/>
    <xf numFmtId="0" fontId="5" fillId="0" borderId="3" xfId="37" applyFont="1" applyBorder="1" applyAlignment="1">
      <alignment vertical="center" wrapText="1"/>
    </xf>
    <xf numFmtId="4" fontId="5" fillId="0" borderId="8" xfId="37" applyNumberFormat="1" applyFont="1" applyBorder="1"/>
    <xf numFmtId="0" fontId="5" fillId="0" borderId="3" xfId="37" applyFont="1" applyBorder="1" applyAlignment="1">
      <alignment horizontal="left" wrapText="1"/>
    </xf>
    <xf numFmtId="0" fontId="5" fillId="0" borderId="3" xfId="37" applyFont="1" applyBorder="1" applyAlignment="1">
      <alignment wrapText="1"/>
    </xf>
    <xf numFmtId="0" fontId="4" fillId="0" borderId="44" xfId="37" applyFont="1" applyBorder="1" applyAlignment="1">
      <alignment horizontal="left"/>
    </xf>
    <xf numFmtId="0" fontId="4" fillId="0" borderId="3" xfId="37" applyFont="1" applyBorder="1" applyAlignment="1">
      <alignment wrapText="1"/>
    </xf>
    <xf numFmtId="0" fontId="5" fillId="0" borderId="44" xfId="37" applyFont="1" applyBorder="1" applyAlignment="1">
      <alignment horizontal="right"/>
    </xf>
    <xf numFmtId="0" fontId="5" fillId="0" borderId="44" xfId="37" applyFont="1" applyBorder="1" applyAlignment="1">
      <alignment horizontal="center"/>
    </xf>
    <xf numFmtId="0" fontId="5" fillId="0" borderId="45" xfId="37" applyFont="1" applyBorder="1" applyAlignment="1">
      <alignment horizontal="center"/>
    </xf>
    <xf numFmtId="0" fontId="5" fillId="0" borderId="39" xfId="37" applyFont="1" applyBorder="1" applyAlignment="1">
      <alignment wrapText="1"/>
    </xf>
    <xf numFmtId="4" fontId="5" fillId="0" borderId="9" xfId="37" applyNumberFormat="1" applyFont="1" applyBorder="1"/>
    <xf numFmtId="0" fontId="5" fillId="0" borderId="1" xfId="37" applyFont="1" applyBorder="1"/>
    <xf numFmtId="0" fontId="5" fillId="0" borderId="41" xfId="37" applyFont="1" applyBorder="1" applyAlignment="1">
      <alignment wrapText="1"/>
    </xf>
    <xf numFmtId="4" fontId="5" fillId="0" borderId="40" xfId="37" applyNumberFormat="1" applyFont="1" applyBorder="1"/>
    <xf numFmtId="0" fontId="24" fillId="0" borderId="10" xfId="37" applyFont="1" applyBorder="1" applyAlignment="1">
      <alignment horizontal="center"/>
    </xf>
    <xf numFmtId="4" fontId="4" fillId="0" borderId="24" xfId="37" applyNumberFormat="1" applyFont="1" applyBorder="1" applyAlignment="1">
      <alignment horizontal="center" wrapText="1"/>
    </xf>
    <xf numFmtId="0" fontId="25" fillId="0" borderId="17" xfId="37" applyFont="1" applyBorder="1" applyAlignment="1">
      <alignment wrapText="1"/>
    </xf>
    <xf numFmtId="4" fontId="4" fillId="0" borderId="19" xfId="37" applyNumberFormat="1" applyFont="1" applyBorder="1" applyAlignment="1">
      <alignment horizontal="right"/>
    </xf>
    <xf numFmtId="4" fontId="20" fillId="0" borderId="0" xfId="37" applyNumberFormat="1" applyFont="1"/>
    <xf numFmtId="4" fontId="5" fillId="0" borderId="47" xfId="37" applyNumberFormat="1" applyFont="1" applyBorder="1" applyAlignment="1">
      <alignment horizontal="right"/>
    </xf>
    <xf numFmtId="0" fontId="20" fillId="0" borderId="0" xfId="37" applyFont="1"/>
    <xf numFmtId="0" fontId="25" fillId="0" borderId="17" xfId="37" applyFont="1" applyBorder="1"/>
    <xf numFmtId="0" fontId="26" fillId="0" borderId="17" xfId="37" applyFont="1" applyBorder="1" applyAlignment="1">
      <alignment wrapText="1"/>
    </xf>
    <xf numFmtId="0" fontId="5" fillId="0" borderId="46" xfId="37" applyFont="1" applyBorder="1" applyAlignment="1">
      <alignment wrapText="1"/>
    </xf>
    <xf numFmtId="165" fontId="20" fillId="0" borderId="0" xfId="37" applyNumberFormat="1" applyFont="1"/>
    <xf numFmtId="4" fontId="22" fillId="10" borderId="0" xfId="37" applyNumberFormat="1" applyFont="1" applyFill="1"/>
    <xf numFmtId="0" fontId="19" fillId="0" borderId="43" xfId="37" applyFont="1" applyBorder="1" applyAlignment="1">
      <alignment wrapText="1"/>
    </xf>
    <xf numFmtId="4" fontId="5" fillId="0" borderId="42" xfId="37" applyNumberFormat="1" applyFont="1" applyBorder="1" applyAlignment="1">
      <alignment horizontal="right"/>
    </xf>
    <xf numFmtId="0" fontId="19" fillId="0" borderId="40" xfId="37" applyFont="1" applyBorder="1" applyAlignment="1">
      <alignment wrapText="1"/>
    </xf>
    <xf numFmtId="4" fontId="5" fillId="0" borderId="25" xfId="37" applyNumberFormat="1" applyFont="1" applyBorder="1" applyAlignment="1">
      <alignment horizontal="right"/>
    </xf>
    <xf numFmtId="0" fontId="19" fillId="0" borderId="43" xfId="37" applyFont="1" applyBorder="1"/>
    <xf numFmtId="0" fontId="5" fillId="0" borderId="43" xfId="37" applyFont="1" applyBorder="1" applyAlignment="1">
      <alignment wrapText="1"/>
    </xf>
    <xf numFmtId="0" fontId="5" fillId="0" borderId="8" xfId="37" applyFont="1" applyBorder="1" applyAlignment="1">
      <alignment wrapText="1"/>
    </xf>
    <xf numFmtId="0" fontId="5" fillId="0" borderId="40" xfId="37" applyFont="1" applyBorder="1" applyAlignment="1">
      <alignment wrapText="1"/>
    </xf>
    <xf numFmtId="4" fontId="5" fillId="0" borderId="40" xfId="37" applyNumberFormat="1" applyFont="1" applyBorder="1" applyAlignment="1">
      <alignment horizontal="right"/>
    </xf>
    <xf numFmtId="0" fontId="27" fillId="2" borderId="0" xfId="22" applyFont="1" applyFill="1"/>
    <xf numFmtId="0" fontId="27" fillId="2" borderId="0" xfId="22" applyFont="1" applyFill="1" applyBorder="1"/>
    <xf numFmtId="166" fontId="27" fillId="2" borderId="0" xfId="0" applyNumberFormat="1" applyFont="1" applyFill="1" applyBorder="1" applyAlignment="1" applyProtection="1">
      <protection hidden="1"/>
    </xf>
    <xf numFmtId="166" fontId="27" fillId="2" borderId="21" xfId="0" applyNumberFormat="1" applyFont="1" applyFill="1" applyBorder="1" applyAlignment="1" applyProtection="1">
      <protection hidden="1"/>
    </xf>
    <xf numFmtId="0" fontId="27" fillId="2" borderId="0" xfId="36" applyFont="1" applyFill="1" applyBorder="1"/>
    <xf numFmtId="0" fontId="27" fillId="2" borderId="0" xfId="22" applyFont="1" applyFill="1" applyProtection="1"/>
    <xf numFmtId="0" fontId="27" fillId="2" borderId="0" xfId="22" applyFont="1" applyFill="1" applyBorder="1" applyAlignment="1">
      <alignment vertical="center"/>
    </xf>
    <xf numFmtId="0" fontId="27" fillId="2" borderId="0" xfId="22" applyFont="1" applyFill="1" applyProtection="1">
      <protection locked="0"/>
    </xf>
    <xf numFmtId="0" fontId="29" fillId="5" borderId="33" xfId="36" applyFont="1" applyFill="1" applyBorder="1" applyAlignment="1">
      <alignment horizontal="center" vertical="center" wrapText="1"/>
    </xf>
    <xf numFmtId="0" fontId="29" fillId="5" borderId="19" xfId="36" applyFont="1" applyFill="1" applyBorder="1" applyAlignment="1">
      <alignment horizontal="center" vertical="center" wrapText="1"/>
    </xf>
    <xf numFmtId="2" fontId="29" fillId="5" borderId="6" xfId="22" applyNumberFormat="1" applyFont="1" applyFill="1" applyBorder="1" applyAlignment="1">
      <alignment vertical="center"/>
    </xf>
    <xf numFmtId="165" fontId="29" fillId="5" borderId="5" xfId="22" applyNumberFormat="1" applyFont="1" applyFill="1" applyBorder="1" applyAlignment="1">
      <alignment vertical="center"/>
    </xf>
    <xf numFmtId="4" fontId="29" fillId="5" borderId="24" xfId="22" applyNumberFormat="1" applyFont="1" applyFill="1" applyBorder="1" applyAlignment="1">
      <alignment vertical="center"/>
    </xf>
    <xf numFmtId="2" fontId="29" fillId="2" borderId="16" xfId="22" applyNumberFormat="1" applyFont="1" applyFill="1" applyBorder="1" applyAlignment="1">
      <alignment vertical="center"/>
    </xf>
    <xf numFmtId="165" fontId="29" fillId="2" borderId="30" xfId="22" applyNumberFormat="1" applyFont="1" applyFill="1" applyBorder="1" applyAlignment="1">
      <alignment vertical="center"/>
    </xf>
    <xf numFmtId="4" fontId="29" fillId="2" borderId="0" xfId="22" applyNumberFormat="1" applyFont="1" applyFill="1" applyBorder="1" applyAlignment="1">
      <alignment vertical="center"/>
    </xf>
    <xf numFmtId="4" fontId="29" fillId="2" borderId="14" xfId="22" applyNumberFormat="1" applyFont="1" applyFill="1" applyBorder="1" applyAlignment="1">
      <alignment vertical="center"/>
    </xf>
    <xf numFmtId="2" fontId="27" fillId="2" borderId="16" xfId="22" applyNumberFormat="1" applyFont="1" applyFill="1" applyBorder="1" applyAlignment="1">
      <alignment vertical="center"/>
    </xf>
    <xf numFmtId="4" fontId="27" fillId="2" borderId="14" xfId="22" applyNumberFormat="1" applyFont="1" applyFill="1" applyBorder="1" applyAlignment="1">
      <alignment vertical="center"/>
    </xf>
    <xf numFmtId="4" fontId="27" fillId="2" borderId="0" xfId="22" applyNumberFormat="1" applyFont="1" applyFill="1" applyBorder="1"/>
    <xf numFmtId="4" fontId="27" fillId="2" borderId="0" xfId="22" applyNumberFormat="1" applyFont="1" applyFill="1"/>
    <xf numFmtId="2" fontId="29" fillId="2" borderId="16" xfId="22" applyNumberFormat="1" applyFont="1" applyFill="1" applyBorder="1" applyAlignment="1">
      <alignment vertical="center" wrapText="1"/>
    </xf>
    <xf numFmtId="165" fontId="27" fillId="2" borderId="0" xfId="22" applyNumberFormat="1" applyFont="1" applyFill="1"/>
    <xf numFmtId="2" fontId="27" fillId="0" borderId="16" xfId="22" applyNumberFormat="1" applyFont="1" applyFill="1" applyBorder="1" applyAlignment="1">
      <alignment vertical="center"/>
    </xf>
    <xf numFmtId="4" fontId="27" fillId="0" borderId="14" xfId="22" applyNumberFormat="1" applyFont="1" applyFill="1" applyBorder="1" applyAlignment="1">
      <alignment vertical="center"/>
    </xf>
    <xf numFmtId="49" fontId="27" fillId="2" borderId="0" xfId="22" applyNumberFormat="1" applyFont="1" applyFill="1" applyBorder="1" applyAlignment="1">
      <alignment wrapText="1"/>
    </xf>
    <xf numFmtId="2" fontId="34" fillId="2" borderId="0" xfId="22" applyNumberFormat="1" applyFont="1" applyFill="1" applyBorder="1" applyAlignment="1">
      <alignment vertical="center"/>
    </xf>
    <xf numFmtId="2" fontId="27" fillId="2" borderId="0" xfId="22" applyNumberFormat="1" applyFont="1" applyFill="1" applyBorder="1" applyAlignment="1">
      <alignment wrapText="1"/>
    </xf>
    <xf numFmtId="0" fontId="27" fillId="2" borderId="0" xfId="0" applyNumberFormat="1" applyFont="1" applyFill="1" applyBorder="1" applyAlignment="1" applyProtection="1">
      <protection hidden="1"/>
    </xf>
    <xf numFmtId="166" fontId="27" fillId="11" borderId="48" xfId="0" applyNumberFormat="1" applyFont="1" applyFill="1" applyBorder="1" applyAlignment="1" applyProtection="1">
      <protection hidden="1"/>
    </xf>
    <xf numFmtId="2" fontId="27" fillId="11" borderId="0" xfId="0" applyNumberFormat="1" applyFont="1" applyFill="1" applyBorder="1" applyAlignment="1" applyProtection="1">
      <alignment horizontal="center" vertical="center"/>
      <protection hidden="1"/>
    </xf>
    <xf numFmtId="2" fontId="27" fillId="11" borderId="28" xfId="0" applyNumberFormat="1" applyFont="1" applyFill="1" applyBorder="1" applyAlignment="1" applyProtection="1">
      <alignment horizontal="center" vertical="center"/>
      <protection hidden="1"/>
    </xf>
    <xf numFmtId="0" fontId="27" fillId="11" borderId="0" xfId="0" applyNumberFormat="1" applyFont="1" applyFill="1" applyBorder="1" applyAlignment="1" applyProtection="1">
      <alignment horizontal="left" vertical="center"/>
      <protection hidden="1"/>
    </xf>
    <xf numFmtId="166" fontId="27" fillId="11" borderId="0" xfId="0" applyNumberFormat="1" applyFont="1" applyFill="1" applyBorder="1" applyAlignment="1" applyProtection="1">
      <protection hidden="1"/>
    </xf>
    <xf numFmtId="0" fontId="27" fillId="11" borderId="28" xfId="22" applyFont="1" applyFill="1" applyBorder="1"/>
    <xf numFmtId="166" fontId="27" fillId="11" borderId="50" xfId="0" applyNumberFormat="1" applyFont="1" applyFill="1" applyBorder="1" applyAlignment="1" applyProtection="1">
      <protection hidden="1"/>
    </xf>
    <xf numFmtId="0" fontId="27" fillId="11" borderId="48" xfId="0" applyNumberFormat="1" applyFont="1" applyFill="1" applyBorder="1" applyAlignment="1" applyProtection="1">
      <protection hidden="1"/>
    </xf>
    <xf numFmtId="0" fontId="27" fillId="11" borderId="48" xfId="0" applyNumberFormat="1" applyFont="1" applyFill="1" applyBorder="1" applyAlignment="1" applyProtection="1">
      <alignment vertical="center"/>
      <protection hidden="1"/>
    </xf>
    <xf numFmtId="2" fontId="27" fillId="11" borderId="48" xfId="0" applyNumberFormat="1" applyFont="1" applyFill="1" applyBorder="1" applyAlignment="1" applyProtection="1">
      <alignment horizontal="center" vertical="center"/>
      <protection hidden="1"/>
    </xf>
    <xf numFmtId="2" fontId="27" fillId="11" borderId="49" xfId="0" applyNumberFormat="1" applyFont="1" applyFill="1" applyBorder="1" applyAlignment="1" applyProtection="1">
      <alignment horizontal="center" vertical="center"/>
      <protection hidden="1"/>
    </xf>
    <xf numFmtId="0" fontId="27" fillId="11" borderId="50" xfId="0" applyNumberFormat="1" applyFont="1" applyFill="1" applyBorder="1" applyAlignment="1" applyProtection="1">
      <alignment horizontal="left" vertical="center"/>
      <protection hidden="1"/>
    </xf>
    <xf numFmtId="2" fontId="27" fillId="11" borderId="50" xfId="0" applyNumberFormat="1" applyFont="1" applyFill="1" applyBorder="1" applyAlignment="1" applyProtection="1">
      <alignment horizontal="center" vertical="center"/>
      <protection hidden="1"/>
    </xf>
    <xf numFmtId="166" fontId="27" fillId="11" borderId="4" xfId="0" applyNumberFormat="1" applyFont="1" applyFill="1" applyBorder="1" applyAlignment="1" applyProtection="1">
      <protection hidden="1"/>
    </xf>
    <xf numFmtId="0" fontId="29" fillId="11" borderId="48" xfId="0" applyNumberFormat="1" applyFont="1" applyFill="1" applyBorder="1" applyAlignment="1" applyProtection="1">
      <alignment horizontal="center"/>
      <protection hidden="1"/>
    </xf>
    <xf numFmtId="0" fontId="29" fillId="11" borderId="49" xfId="22" applyNumberFormat="1" applyFont="1" applyFill="1" applyBorder="1" applyAlignment="1">
      <alignment horizontal="center"/>
    </xf>
    <xf numFmtId="2" fontId="27" fillId="11" borderId="48" xfId="0" applyNumberFormat="1" applyFont="1" applyFill="1" applyBorder="1" applyAlignment="1" applyProtection="1">
      <protection hidden="1"/>
    </xf>
    <xf numFmtId="2" fontId="27" fillId="11" borderId="50" xfId="0" applyNumberFormat="1" applyFont="1" applyFill="1" applyBorder="1" applyAlignment="1" applyProtection="1">
      <protection hidden="1"/>
    </xf>
    <xf numFmtId="2" fontId="27" fillId="11" borderId="49" xfId="0" applyNumberFormat="1" applyFont="1" applyFill="1" applyBorder="1" applyAlignment="1" applyProtection="1">
      <protection hidden="1"/>
    </xf>
    <xf numFmtId="2" fontId="27" fillId="11" borderId="32" xfId="0" applyNumberFormat="1" applyFont="1" applyFill="1" applyBorder="1" applyAlignment="1" applyProtection="1">
      <protection hidden="1"/>
    </xf>
    <xf numFmtId="0" fontId="29" fillId="5" borderId="36" xfId="36" applyFont="1" applyFill="1" applyBorder="1" applyAlignment="1">
      <alignment horizontal="center" vertical="center" wrapText="1"/>
    </xf>
    <xf numFmtId="10" fontId="27" fillId="2" borderId="2" xfId="38" applyNumberFormat="1" applyFont="1" applyFill="1" applyBorder="1" applyAlignment="1" applyProtection="1">
      <alignment vertical="center"/>
      <protection hidden="1"/>
    </xf>
    <xf numFmtId="2" fontId="27" fillId="11" borderId="32" xfId="22" applyNumberFormat="1" applyFont="1" applyFill="1" applyBorder="1" applyAlignment="1">
      <alignment horizontal="center" vertical="center"/>
    </xf>
    <xf numFmtId="0" fontId="27" fillId="2" borderId="0" xfId="22" applyNumberFormat="1" applyFont="1" applyFill="1" applyBorder="1"/>
    <xf numFmtId="49" fontId="27" fillId="2" borderId="0" xfId="22" applyNumberFormat="1" applyFont="1" applyFill="1" applyAlignment="1"/>
    <xf numFmtId="49" fontId="27" fillId="2" borderId="0" xfId="22" applyNumberFormat="1" applyFont="1" applyFill="1" applyAlignment="1">
      <alignment wrapText="1"/>
    </xf>
    <xf numFmtId="0" fontId="27" fillId="2" borderId="0" xfId="22" applyNumberFormat="1" applyFont="1" applyFill="1"/>
    <xf numFmtId="164" fontId="27" fillId="2" borderId="0" xfId="22" applyNumberFormat="1" applyFont="1" applyFill="1" applyBorder="1" applyAlignment="1">
      <alignment vertical="center"/>
    </xf>
    <xf numFmtId="0" fontId="27" fillId="2" borderId="0" xfId="22" applyFont="1" applyFill="1" applyBorder="1" applyAlignment="1"/>
    <xf numFmtId="0" fontId="27" fillId="2" borderId="0" xfId="22" applyFont="1" applyFill="1" applyBorder="1" applyAlignment="1">
      <alignment wrapText="1"/>
    </xf>
    <xf numFmtId="0" fontId="27" fillId="2" borderId="0" xfId="22" applyFont="1" applyFill="1" applyBorder="1" applyAlignment="1">
      <alignment horizontal="center" wrapText="1"/>
    </xf>
    <xf numFmtId="0" fontId="27" fillId="2" borderId="0" xfId="22" applyFont="1" applyFill="1" applyBorder="1" applyAlignment="1">
      <alignment horizontal="right"/>
    </xf>
    <xf numFmtId="0" fontId="32" fillId="2" borderId="0" xfId="22" applyFont="1" applyFill="1" applyBorder="1" applyAlignment="1"/>
    <xf numFmtId="0" fontId="27" fillId="2" borderId="0" xfId="22" applyFont="1" applyFill="1" applyAlignment="1">
      <alignment wrapText="1"/>
    </xf>
    <xf numFmtId="0" fontId="32" fillId="2" borderId="0" xfId="22" applyFont="1" applyFill="1" applyBorder="1" applyAlignment="1">
      <alignment horizontal="center" wrapText="1"/>
    </xf>
    <xf numFmtId="0" fontId="32" fillId="2" borderId="0" xfId="22" applyFont="1" applyFill="1" applyBorder="1" applyAlignment="1">
      <alignment horizontal="center"/>
    </xf>
    <xf numFmtId="2" fontId="27" fillId="2" borderId="0" xfId="22" applyNumberFormat="1" applyFont="1" applyFill="1" applyBorder="1" applyAlignment="1">
      <alignment horizontal="right"/>
    </xf>
    <xf numFmtId="0" fontId="33" fillId="2" borderId="0" xfId="22" applyFont="1" applyFill="1" applyBorder="1"/>
    <xf numFmtId="0" fontId="27" fillId="2" borderId="35" xfId="22" applyFont="1" applyFill="1" applyBorder="1"/>
    <xf numFmtId="2" fontId="29" fillId="2" borderId="6" xfId="22" applyNumberFormat="1" applyFont="1" applyFill="1" applyBorder="1" applyAlignment="1">
      <alignment vertical="center"/>
    </xf>
    <xf numFmtId="165" fontId="29" fillId="2" borderId="5" xfId="22" applyNumberFormat="1" applyFont="1" applyFill="1" applyBorder="1" applyAlignment="1">
      <alignment vertical="center"/>
    </xf>
    <xf numFmtId="4" fontId="29" fillId="2" borderId="24" xfId="22" applyNumberFormat="1" applyFont="1" applyFill="1" applyBorder="1" applyAlignment="1">
      <alignment vertical="center"/>
    </xf>
    <xf numFmtId="0" fontId="28" fillId="12" borderId="6" xfId="22" applyFont="1" applyFill="1" applyBorder="1" applyAlignment="1">
      <alignment vertical="center"/>
    </xf>
    <xf numFmtId="0" fontId="29" fillId="8" borderId="33" xfId="22" applyFont="1" applyFill="1" applyBorder="1" applyAlignment="1">
      <alignment horizontal="center" vertical="center" wrapText="1"/>
    </xf>
    <xf numFmtId="2" fontId="29" fillId="8" borderId="6" xfId="22" applyNumberFormat="1" applyFont="1" applyFill="1" applyBorder="1" applyAlignment="1">
      <alignment vertical="center"/>
    </xf>
    <xf numFmtId="165" fontId="29" fillId="2" borderId="30" xfId="36" applyNumberFormat="1" applyFont="1" applyFill="1" applyBorder="1" applyAlignment="1">
      <alignment vertical="center"/>
    </xf>
    <xf numFmtId="165" fontId="27" fillId="0" borderId="30" xfId="36" applyNumberFormat="1" applyFont="1" applyFill="1" applyBorder="1" applyAlignment="1">
      <alignment vertical="center"/>
    </xf>
    <xf numFmtId="165" fontId="27" fillId="2" borderId="30" xfId="36" applyNumberFormat="1" applyFont="1" applyFill="1" applyBorder="1" applyAlignment="1">
      <alignment vertical="center"/>
    </xf>
    <xf numFmtId="2" fontId="27" fillId="2" borderId="16" xfId="22" applyNumberFormat="1" applyFont="1" applyFill="1" applyBorder="1" applyAlignment="1">
      <alignment vertical="center" wrapText="1"/>
    </xf>
    <xf numFmtId="0" fontId="27" fillId="2" borderId="0" xfId="22" applyFont="1" applyFill="1" applyAlignment="1">
      <alignment vertical="center"/>
    </xf>
    <xf numFmtId="0" fontId="29" fillId="8" borderId="36" xfId="22" applyFont="1" applyFill="1" applyBorder="1" applyAlignment="1">
      <alignment horizontal="center" vertical="center" wrapText="1"/>
    </xf>
    <xf numFmtId="4" fontId="29" fillId="2" borderId="14" xfId="36" applyNumberFormat="1" applyFont="1" applyFill="1" applyBorder="1" applyAlignment="1">
      <alignment vertical="center"/>
    </xf>
    <xf numFmtId="0" fontId="31" fillId="2" borderId="0" xfId="22" applyFont="1" applyFill="1" applyBorder="1"/>
    <xf numFmtId="165" fontId="29" fillId="5" borderId="5" xfId="36" applyNumberFormat="1" applyFont="1" applyFill="1" applyBorder="1" applyAlignment="1">
      <alignment vertical="center"/>
    </xf>
    <xf numFmtId="165" fontId="29" fillId="2" borderId="5" xfId="36" applyNumberFormat="1" applyFont="1" applyFill="1" applyBorder="1" applyAlignment="1">
      <alignment vertical="center"/>
    </xf>
    <xf numFmtId="0" fontId="31" fillId="2" borderId="22" xfId="36" applyFont="1" applyFill="1" applyBorder="1" applyAlignment="1"/>
    <xf numFmtId="165" fontId="29" fillId="5" borderId="11" xfId="36" applyNumberFormat="1" applyFont="1" applyFill="1" applyBorder="1" applyAlignment="1">
      <alignment vertical="center"/>
    </xf>
    <xf numFmtId="165" fontId="29" fillId="0" borderId="30" xfId="36" applyNumberFormat="1" applyFont="1" applyFill="1" applyBorder="1" applyAlignment="1">
      <alignment vertical="center"/>
    </xf>
    <xf numFmtId="0" fontId="28" fillId="7" borderId="6" xfId="22" applyFont="1" applyFill="1" applyBorder="1" applyAlignment="1">
      <alignment vertical="center"/>
    </xf>
    <xf numFmtId="0" fontId="29" fillId="6" borderId="33" xfId="22" applyFont="1" applyFill="1" applyBorder="1" applyAlignment="1">
      <alignment horizontal="center" vertical="center" wrapText="1"/>
    </xf>
    <xf numFmtId="0" fontId="29" fillId="6" borderId="19" xfId="22" applyFont="1" applyFill="1" applyBorder="1" applyAlignment="1">
      <alignment horizontal="center" vertical="center" wrapText="1"/>
    </xf>
    <xf numFmtId="0" fontId="29" fillId="6" borderId="22" xfId="22" applyFont="1" applyFill="1" applyBorder="1" applyAlignment="1">
      <alignment horizontal="center" vertical="center" wrapText="1"/>
    </xf>
    <xf numFmtId="0" fontId="29" fillId="6" borderId="37" xfId="22" applyFont="1" applyFill="1" applyBorder="1" applyAlignment="1">
      <alignment horizontal="center" vertical="center" wrapText="1"/>
    </xf>
    <xf numFmtId="0" fontId="29" fillId="6" borderId="18" xfId="22" applyFont="1" applyFill="1" applyBorder="1" applyAlignment="1">
      <alignment horizontal="center" vertical="center" wrapText="1"/>
    </xf>
    <xf numFmtId="165" fontId="29" fillId="6" borderId="5" xfId="22" applyNumberFormat="1" applyFont="1" applyFill="1" applyBorder="1" applyAlignment="1">
      <alignment vertical="center"/>
    </xf>
    <xf numFmtId="0" fontId="28" fillId="2" borderId="0" xfId="22" applyFont="1" applyFill="1" applyBorder="1"/>
    <xf numFmtId="0" fontId="28" fillId="2" borderId="0" xfId="22" applyFont="1" applyFill="1" applyBorder="1" applyAlignment="1">
      <alignment vertical="center"/>
    </xf>
    <xf numFmtId="165" fontId="29" fillId="6" borderId="11" xfId="36" applyNumberFormat="1" applyFont="1" applyFill="1" applyBorder="1" applyAlignment="1">
      <alignment vertical="center"/>
    </xf>
    <xf numFmtId="165" fontId="29" fillId="6" borderId="5" xfId="36" applyNumberFormat="1" applyFont="1" applyFill="1" applyBorder="1" applyAlignment="1">
      <alignment vertical="center"/>
    </xf>
    <xf numFmtId="2" fontId="29" fillId="6" borderId="6" xfId="22" applyNumberFormat="1" applyFont="1" applyFill="1" applyBorder="1" applyAlignment="1">
      <alignment vertical="center"/>
    </xf>
    <xf numFmtId="0" fontId="1" fillId="0" borderId="0" xfId="37" applyFont="1"/>
    <xf numFmtId="0" fontId="28" fillId="9" borderId="6" xfId="22" applyFont="1" applyFill="1" applyBorder="1" applyAlignment="1">
      <alignment vertical="center"/>
    </xf>
    <xf numFmtId="0" fontId="37" fillId="0" borderId="0" xfId="0" applyFont="1"/>
    <xf numFmtId="175" fontId="0" fillId="0" borderId="0" xfId="0" applyNumberFormat="1"/>
    <xf numFmtId="0" fontId="27" fillId="2" borderId="35" xfId="22" applyFont="1" applyFill="1" applyBorder="1" applyAlignment="1"/>
    <xf numFmtId="0" fontId="29" fillId="5" borderId="0" xfId="36" applyFont="1" applyFill="1" applyBorder="1" applyAlignment="1">
      <alignment horizontal="center" vertical="center" wrapText="1"/>
    </xf>
    <xf numFmtId="165" fontId="27" fillId="10" borderId="30" xfId="36" applyNumberFormat="1" applyFont="1" applyFill="1" applyBorder="1" applyAlignment="1">
      <alignment vertical="center"/>
    </xf>
    <xf numFmtId="4" fontId="27" fillId="10" borderId="14" xfId="22" applyNumberFormat="1" applyFont="1" applyFill="1" applyBorder="1" applyAlignment="1">
      <alignment vertical="center"/>
    </xf>
    <xf numFmtId="165" fontId="29" fillId="10" borderId="5" xfId="22" applyNumberFormat="1" applyFont="1" applyFill="1" applyBorder="1" applyAlignment="1">
      <alignment vertical="center"/>
    </xf>
    <xf numFmtId="4" fontId="29" fillId="10" borderId="24" xfId="22" applyNumberFormat="1" applyFont="1" applyFill="1" applyBorder="1" applyAlignment="1">
      <alignment vertical="center"/>
    </xf>
    <xf numFmtId="0" fontId="27" fillId="2" borderId="0" xfId="39" applyFont="1" applyFill="1"/>
    <xf numFmtId="2" fontId="34" fillId="2" borderId="0" xfId="39" applyNumberFormat="1" applyFont="1" applyFill="1" applyBorder="1" applyAlignment="1">
      <alignment vertical="center"/>
    </xf>
    <xf numFmtId="0" fontId="27" fillId="2" borderId="0" xfId="39" applyFont="1" applyFill="1" applyBorder="1"/>
    <xf numFmtId="49" fontId="27" fillId="2" borderId="0" xfId="39" applyNumberFormat="1" applyFont="1" applyFill="1" applyBorder="1" applyAlignment="1">
      <alignment wrapText="1"/>
    </xf>
    <xf numFmtId="49" fontId="27" fillId="2" borderId="0" xfId="39" applyNumberFormat="1" applyFont="1" applyFill="1" applyAlignment="1">
      <alignment horizontal="right" wrapText="1"/>
    </xf>
    <xf numFmtId="165" fontId="27" fillId="2" borderId="21" xfId="39" applyNumberFormat="1" applyFont="1" applyFill="1" applyBorder="1"/>
    <xf numFmtId="0" fontId="27" fillId="2" borderId="21" xfId="39" applyFont="1" applyFill="1" applyBorder="1"/>
    <xf numFmtId="165" fontId="27" fillId="2" borderId="0" xfId="39" applyNumberFormat="1" applyFont="1" applyFill="1" applyBorder="1" applyAlignment="1">
      <alignment vertical="center"/>
    </xf>
    <xf numFmtId="2" fontId="29" fillId="2" borderId="10" xfId="22" applyNumberFormat="1" applyFont="1" applyFill="1" applyBorder="1" applyAlignment="1">
      <alignment vertical="center"/>
    </xf>
    <xf numFmtId="0" fontId="27" fillId="2" borderId="10" xfId="22" applyFont="1" applyFill="1" applyBorder="1"/>
    <xf numFmtId="165" fontId="27" fillId="2" borderId="0" xfId="39" applyNumberFormat="1" applyFont="1" applyFill="1" applyBorder="1"/>
    <xf numFmtId="4" fontId="27" fillId="2" borderId="0" xfId="39" applyNumberFormat="1" applyFont="1" applyFill="1" applyBorder="1"/>
    <xf numFmtId="0" fontId="27" fillId="2" borderId="16" xfId="22" applyFont="1" applyFill="1" applyBorder="1"/>
    <xf numFmtId="0" fontId="29" fillId="5" borderId="22" xfId="36" applyFont="1" applyFill="1" applyBorder="1" applyAlignment="1">
      <alignment horizontal="center" vertical="center" wrapText="1"/>
    </xf>
    <xf numFmtId="0" fontId="29" fillId="5" borderId="37" xfId="36" applyFont="1" applyFill="1" applyBorder="1" applyAlignment="1">
      <alignment horizontal="center" vertical="center" wrapText="1"/>
    </xf>
    <xf numFmtId="0" fontId="29" fillId="5" borderId="11" xfId="36" applyFont="1" applyFill="1" applyBorder="1" applyAlignment="1">
      <alignment horizontal="center" vertical="center" wrapText="1"/>
    </xf>
    <xf numFmtId="166" fontId="30" fillId="2" borderId="0" xfId="0" applyNumberFormat="1" applyFont="1" applyFill="1" applyBorder="1" applyAlignment="1" applyProtection="1">
      <alignment vertical="center"/>
      <protection hidden="1"/>
    </xf>
    <xf numFmtId="166" fontId="27" fillId="2" borderId="0" xfId="0" applyNumberFormat="1" applyFont="1" applyFill="1" applyBorder="1" applyAlignment="1" applyProtection="1">
      <alignment vertical="center"/>
      <protection hidden="1"/>
    </xf>
    <xf numFmtId="165" fontId="29" fillId="14" borderId="30" xfId="22" applyNumberFormat="1" applyFont="1" applyFill="1" applyBorder="1" applyAlignment="1">
      <alignment vertical="center"/>
    </xf>
    <xf numFmtId="165" fontId="29" fillId="14" borderId="5" xfId="22" applyNumberFormat="1" applyFont="1" applyFill="1" applyBorder="1" applyAlignment="1">
      <alignment vertical="center"/>
    </xf>
    <xf numFmtId="165" fontId="29" fillId="14" borderId="30" xfId="36" applyNumberFormat="1" applyFont="1" applyFill="1" applyBorder="1" applyAlignment="1">
      <alignment vertical="center"/>
    </xf>
    <xf numFmtId="165" fontId="27" fillId="14" borderId="30" xfId="36" applyNumberFormat="1" applyFont="1" applyFill="1" applyBorder="1" applyAlignment="1">
      <alignment vertical="center"/>
    </xf>
    <xf numFmtId="165" fontId="29" fillId="14" borderId="5" xfId="36" applyNumberFormat="1" applyFont="1" applyFill="1" applyBorder="1" applyAlignment="1">
      <alignment vertical="center"/>
    </xf>
    <xf numFmtId="165" fontId="27" fillId="2" borderId="0" xfId="22" applyNumberFormat="1" applyFont="1" applyFill="1" applyBorder="1"/>
    <xf numFmtId="165" fontId="27" fillId="2" borderId="0" xfId="22" applyNumberFormat="1" applyFont="1" applyFill="1" applyBorder="1" applyAlignment="1"/>
    <xf numFmtId="165" fontId="27" fillId="2" borderId="0" xfId="22" applyNumberFormat="1" applyFont="1" applyFill="1" applyBorder="1" applyAlignment="1">
      <alignment wrapText="1"/>
    </xf>
    <xf numFmtId="2" fontId="27" fillId="2" borderId="0" xfId="22" applyNumberFormat="1" applyFont="1" applyFill="1" applyBorder="1"/>
    <xf numFmtId="176" fontId="27" fillId="2" borderId="0" xfId="22" applyNumberFormat="1" applyFont="1" applyFill="1"/>
    <xf numFmtId="2" fontId="27" fillId="2" borderId="6" xfId="22" applyNumberFormat="1" applyFont="1" applyFill="1" applyBorder="1" applyAlignment="1">
      <alignment vertical="center"/>
    </xf>
    <xf numFmtId="165" fontId="27" fillId="2" borderId="5" xfId="36" applyNumberFormat="1" applyFont="1" applyFill="1" applyBorder="1" applyAlignment="1">
      <alignment vertical="center"/>
    </xf>
    <xf numFmtId="165" fontId="27" fillId="14" borderId="5" xfId="36" applyNumberFormat="1" applyFont="1" applyFill="1" applyBorder="1" applyAlignment="1">
      <alignment vertical="center"/>
    </xf>
    <xf numFmtId="2" fontId="27" fillId="2" borderId="0" xfId="22" applyNumberFormat="1" applyFont="1" applyFill="1"/>
    <xf numFmtId="165" fontId="29" fillId="8" borderId="5" xfId="0" applyNumberFormat="1" applyFont="1" applyFill="1" applyBorder="1"/>
    <xf numFmtId="165" fontId="29" fillId="2" borderId="29" xfId="0" applyNumberFormat="1" applyFont="1" applyFill="1" applyBorder="1"/>
    <xf numFmtId="165" fontId="29" fillId="14" borderId="29" xfId="0" applyNumberFormat="1" applyFont="1" applyFill="1" applyBorder="1"/>
    <xf numFmtId="165" fontId="27" fillId="2" borderId="30" xfId="0" applyNumberFormat="1" applyFont="1" applyFill="1" applyBorder="1"/>
    <xf numFmtId="165" fontId="27" fillId="14" borderId="30" xfId="0" applyNumberFormat="1" applyFont="1" applyFill="1" applyBorder="1"/>
    <xf numFmtId="165" fontId="27" fillId="2" borderId="30" xfId="0" applyNumberFormat="1" applyFont="1" applyFill="1" applyBorder="1" applyAlignment="1">
      <alignment vertical="center"/>
    </xf>
    <xf numFmtId="165" fontId="27" fillId="14" borderId="30" xfId="0" applyNumberFormat="1" applyFont="1" applyFill="1" applyBorder="1" applyAlignment="1">
      <alignment vertical="center"/>
    </xf>
    <xf numFmtId="165" fontId="27" fillId="2" borderId="30" xfId="22" applyNumberFormat="1" applyFont="1" applyFill="1" applyBorder="1" applyAlignment="1">
      <alignment vertical="center"/>
    </xf>
    <xf numFmtId="165" fontId="27" fillId="14" borderId="30" xfId="22" applyNumberFormat="1" applyFont="1" applyFill="1" applyBorder="1" applyAlignment="1">
      <alignment vertical="center"/>
    </xf>
    <xf numFmtId="165" fontId="29" fillId="2" borderId="30" xfId="0" applyNumberFormat="1" applyFont="1" applyFill="1" applyBorder="1"/>
    <xf numFmtId="165" fontId="29" fillId="14" borderId="30" xfId="0" applyNumberFormat="1" applyFont="1" applyFill="1" applyBorder="1"/>
    <xf numFmtId="165" fontId="29" fillId="8" borderId="5" xfId="22" applyNumberFormat="1" applyFont="1" applyFill="1" applyBorder="1" applyAlignment="1">
      <alignment vertical="center"/>
    </xf>
    <xf numFmtId="165" fontId="29" fillId="8" borderId="5" xfId="36" applyNumberFormat="1" applyFont="1" applyFill="1" applyBorder="1" applyAlignment="1">
      <alignment vertical="center"/>
    </xf>
    <xf numFmtId="165" fontId="29" fillId="2" borderId="11" xfId="0" applyNumberFormat="1" applyFont="1" applyFill="1" applyBorder="1"/>
    <xf numFmtId="165" fontId="29" fillId="14" borderId="11" xfId="0" applyNumberFormat="1" applyFont="1" applyFill="1" applyBorder="1"/>
    <xf numFmtId="165" fontId="29" fillId="2" borderId="15" xfId="0" applyNumberFormat="1" applyFont="1" applyFill="1" applyBorder="1"/>
    <xf numFmtId="165" fontId="29" fillId="14" borderId="15" xfId="0" applyNumberFormat="1" applyFont="1" applyFill="1" applyBorder="1"/>
    <xf numFmtId="165" fontId="29" fillId="2" borderId="5" xfId="0" applyNumberFormat="1" applyFont="1" applyFill="1" applyBorder="1"/>
    <xf numFmtId="165" fontId="29" fillId="14" borderId="5" xfId="0" applyNumberFormat="1" applyFont="1" applyFill="1" applyBorder="1"/>
    <xf numFmtId="165" fontId="27" fillId="2" borderId="29" xfId="36" applyNumberFormat="1" applyFont="1" applyFill="1" applyBorder="1"/>
    <xf numFmtId="165" fontId="27" fillId="14" borderId="29" xfId="0" applyNumberFormat="1" applyFont="1" applyFill="1" applyBorder="1"/>
    <xf numFmtId="165" fontId="27" fillId="2" borderId="30" xfId="36" applyNumberFormat="1" applyFont="1" applyFill="1" applyBorder="1"/>
    <xf numFmtId="0" fontId="39" fillId="2" borderId="22" xfId="36" applyFont="1" applyFill="1" applyBorder="1" applyAlignment="1"/>
    <xf numFmtId="165" fontId="27" fillId="2" borderId="21" xfId="36" applyNumberFormat="1" applyFont="1" applyFill="1" applyBorder="1" applyAlignment="1">
      <alignment horizontal="center" wrapText="1"/>
    </xf>
    <xf numFmtId="0" fontId="16" fillId="2" borderId="0" xfId="22" applyFont="1" applyFill="1"/>
    <xf numFmtId="2" fontId="16" fillId="2" borderId="16" xfId="22" applyNumberFormat="1" applyFont="1" applyFill="1" applyBorder="1" applyAlignment="1">
      <alignment vertical="center"/>
    </xf>
    <xf numFmtId="165" fontId="16" fillId="2" borderId="30" xfId="22" applyNumberFormat="1" applyFont="1" applyFill="1" applyBorder="1" applyAlignment="1">
      <alignment vertical="center"/>
    </xf>
    <xf numFmtId="165" fontId="16" fillId="2" borderId="30" xfId="36" applyNumberFormat="1" applyFont="1" applyFill="1" applyBorder="1" applyAlignment="1">
      <alignment vertical="center"/>
    </xf>
    <xf numFmtId="0" fontId="16" fillId="2" borderId="0" xfId="22" applyFont="1" applyFill="1" applyBorder="1"/>
    <xf numFmtId="0" fontId="42" fillId="2" borderId="0" xfId="22" applyFont="1" applyFill="1" applyBorder="1"/>
    <xf numFmtId="2" fontId="16" fillId="2" borderId="0" xfId="22" applyNumberFormat="1" applyFont="1" applyFill="1" applyBorder="1" applyAlignment="1">
      <alignment horizontal="right"/>
    </xf>
    <xf numFmtId="0" fontId="16" fillId="2" borderId="0" xfId="22" applyFont="1" applyFill="1" applyAlignment="1">
      <alignment wrapText="1"/>
    </xf>
    <xf numFmtId="165" fontId="29" fillId="2" borderId="16" xfId="22" applyNumberFormat="1" applyFont="1" applyFill="1" applyBorder="1" applyAlignment="1">
      <alignment vertical="center"/>
    </xf>
    <xf numFmtId="0" fontId="29" fillId="5" borderId="26" xfId="36" applyFont="1" applyFill="1" applyBorder="1" applyAlignment="1">
      <alignment horizontal="center" vertical="center"/>
    </xf>
    <xf numFmtId="0" fontId="29" fillId="5" borderId="27" xfId="36" applyFont="1" applyFill="1" applyBorder="1" applyAlignment="1">
      <alignment horizontal="center" vertical="center"/>
    </xf>
    <xf numFmtId="166" fontId="27" fillId="5" borderId="6" xfId="0" applyNumberFormat="1" applyFont="1" applyFill="1" applyBorder="1" applyAlignment="1" applyProtection="1">
      <alignment horizontal="center" vertical="center"/>
      <protection hidden="1"/>
    </xf>
    <xf numFmtId="166" fontId="27" fillId="5" borderId="23" xfId="0" applyNumberFormat="1" applyFont="1" applyFill="1" applyBorder="1" applyAlignment="1" applyProtection="1">
      <alignment horizontal="center" vertical="center"/>
      <protection hidden="1"/>
    </xf>
    <xf numFmtId="166" fontId="27" fillId="5" borderId="24" xfId="0" applyNumberFormat="1" applyFont="1" applyFill="1" applyBorder="1" applyAlignment="1" applyProtection="1">
      <alignment horizontal="center" vertical="center"/>
      <protection hidden="1"/>
    </xf>
    <xf numFmtId="0" fontId="36" fillId="13" borderId="20" xfId="22" applyFont="1" applyFill="1" applyBorder="1" applyAlignment="1">
      <alignment horizontal="center" vertical="center"/>
    </xf>
    <xf numFmtId="0" fontId="36" fillId="13" borderId="18" xfId="22" applyFont="1" applyFill="1" applyBorder="1" applyAlignment="1">
      <alignment horizontal="center" vertical="center"/>
    </xf>
    <xf numFmtId="166" fontId="27" fillId="0" borderId="16" xfId="0" applyNumberFormat="1" applyFont="1" applyFill="1" applyBorder="1" applyAlignment="1" applyProtection="1">
      <alignment horizontal="center" vertical="center"/>
      <protection hidden="1"/>
    </xf>
    <xf numFmtId="166" fontId="27" fillId="0" borderId="0" xfId="0" applyNumberFormat="1" applyFont="1" applyFill="1" applyBorder="1" applyAlignment="1" applyProtection="1">
      <alignment horizontal="center" vertical="center"/>
      <protection hidden="1"/>
    </xf>
    <xf numFmtId="166" fontId="27" fillId="5" borderId="10" xfId="0" applyNumberFormat="1" applyFont="1" applyFill="1" applyBorder="1" applyAlignment="1" applyProtection="1">
      <alignment horizontal="center" vertical="center"/>
      <protection hidden="1"/>
    </xf>
    <xf numFmtId="0" fontId="29" fillId="5" borderId="51" xfId="36" applyFont="1" applyFill="1" applyBorder="1" applyAlignment="1">
      <alignment horizontal="center" vertical="center"/>
    </xf>
    <xf numFmtId="0" fontId="29" fillId="5" borderId="52" xfId="36" applyFont="1" applyFill="1" applyBorder="1" applyAlignment="1">
      <alignment horizontal="center" vertical="center"/>
    </xf>
    <xf numFmtId="166" fontId="27" fillId="0" borderId="14" xfId="0" applyNumberFormat="1" applyFont="1" applyFill="1" applyBorder="1" applyAlignment="1" applyProtection="1">
      <alignment horizontal="center" vertical="center"/>
      <protection hidden="1"/>
    </xf>
    <xf numFmtId="0" fontId="38" fillId="2" borderId="22" xfId="36" applyFont="1" applyFill="1" applyBorder="1" applyAlignment="1">
      <alignment horizontal="center" wrapText="1"/>
    </xf>
    <xf numFmtId="165" fontId="38" fillId="2" borderId="22" xfId="36" applyNumberFormat="1" applyFont="1" applyFill="1" applyBorder="1" applyAlignment="1">
      <alignment horizontal="center" wrapText="1"/>
    </xf>
    <xf numFmtId="0" fontId="29" fillId="8" borderId="51" xfId="22" applyFont="1" applyFill="1" applyBorder="1" applyAlignment="1">
      <alignment horizontal="center" vertical="center"/>
    </xf>
    <xf numFmtId="0" fontId="29" fillId="8" borderId="52" xfId="22" applyFont="1" applyFill="1" applyBorder="1" applyAlignment="1">
      <alignment horizontal="center" vertical="center"/>
    </xf>
    <xf numFmtId="166" fontId="27" fillId="0" borderId="16" xfId="0" applyNumberFormat="1" applyFont="1" applyFill="1" applyBorder="1" applyAlignment="1">
      <alignment horizontal="center" vertical="center"/>
    </xf>
    <xf numFmtId="166" fontId="27" fillId="0" borderId="14" xfId="0" applyNumberFormat="1" applyFont="1" applyFill="1" applyBorder="1" applyAlignment="1">
      <alignment horizontal="center" vertical="center"/>
    </xf>
    <xf numFmtId="166" fontId="27" fillId="8" borderId="6" xfId="0" applyNumberFormat="1" applyFont="1" applyFill="1" applyBorder="1" applyAlignment="1">
      <alignment horizontal="center" vertical="center"/>
    </xf>
    <xf numFmtId="166" fontId="27" fillId="8" borderId="24" xfId="0" applyNumberFormat="1" applyFont="1" applyFill="1" applyBorder="1" applyAlignment="1">
      <alignment horizontal="center" vertical="center"/>
    </xf>
    <xf numFmtId="166" fontId="27" fillId="0" borderId="0" xfId="0" applyNumberFormat="1" applyFont="1" applyFill="1" applyBorder="1" applyAlignment="1">
      <alignment horizontal="center" vertical="center"/>
    </xf>
    <xf numFmtId="166" fontId="27" fillId="8" borderId="6" xfId="0" applyNumberFormat="1" applyFont="1" applyFill="1" applyBorder="1" applyAlignment="1" applyProtection="1">
      <alignment horizontal="center" vertical="center"/>
      <protection hidden="1"/>
    </xf>
    <xf numFmtId="166" fontId="27" fillId="8" borderId="23" xfId="0" applyNumberFormat="1" applyFont="1" applyFill="1" applyBorder="1" applyAlignment="1" applyProtection="1">
      <alignment horizontal="center" vertical="center"/>
      <protection hidden="1"/>
    </xf>
    <xf numFmtId="166" fontId="27" fillId="8" borderId="24" xfId="0" applyNumberFormat="1" applyFont="1" applyFill="1" applyBorder="1" applyAlignment="1" applyProtection="1">
      <alignment horizontal="center" vertical="center"/>
      <protection hidden="1"/>
    </xf>
    <xf numFmtId="0" fontId="40" fillId="2" borderId="22" xfId="22" applyFont="1" applyFill="1" applyBorder="1" applyAlignment="1">
      <alignment horizontal="center"/>
    </xf>
    <xf numFmtId="0" fontId="36" fillId="12" borderId="20" xfId="22" applyFont="1" applyFill="1" applyBorder="1" applyAlignment="1">
      <alignment horizontal="center" vertical="center"/>
    </xf>
    <xf numFmtId="0" fontId="36" fillId="12" borderId="18" xfId="22" applyFont="1" applyFill="1" applyBorder="1" applyAlignment="1">
      <alignment horizontal="center" vertical="center"/>
    </xf>
    <xf numFmtId="166" fontId="27" fillId="6" borderId="6" xfId="0" applyNumberFormat="1" applyFont="1" applyFill="1" applyBorder="1" applyAlignment="1">
      <alignment horizontal="center" vertical="center"/>
    </xf>
    <xf numFmtId="166" fontId="27" fillId="6" borderId="24" xfId="0" applyNumberFormat="1" applyFont="1" applyFill="1" applyBorder="1" applyAlignment="1">
      <alignment horizontal="center" vertical="center"/>
    </xf>
    <xf numFmtId="166" fontId="27" fillId="6" borderId="6" xfId="0" applyNumberFormat="1" applyFont="1" applyFill="1" applyBorder="1" applyAlignment="1" applyProtection="1">
      <alignment horizontal="center" vertical="center"/>
      <protection hidden="1"/>
    </xf>
    <xf numFmtId="166" fontId="27" fillId="6" borderId="23" xfId="0" applyNumberFormat="1" applyFont="1" applyFill="1" applyBorder="1" applyAlignment="1" applyProtection="1">
      <alignment horizontal="center" vertical="center"/>
      <protection hidden="1"/>
    </xf>
    <xf numFmtId="166" fontId="27" fillId="6" borderId="24" xfId="0" applyNumberFormat="1" applyFont="1" applyFill="1" applyBorder="1" applyAlignment="1" applyProtection="1">
      <alignment horizontal="center" vertical="center"/>
      <protection hidden="1"/>
    </xf>
    <xf numFmtId="0" fontId="36" fillId="7" borderId="20" xfId="22" applyFont="1" applyFill="1" applyBorder="1" applyAlignment="1">
      <alignment horizontal="center" vertical="center"/>
    </xf>
    <xf numFmtId="0" fontId="36" fillId="7" borderId="18" xfId="22" applyFont="1" applyFill="1" applyBorder="1" applyAlignment="1">
      <alignment horizontal="center" vertical="center"/>
    </xf>
    <xf numFmtId="0" fontId="29" fillId="6" borderId="26" xfId="22" applyFont="1" applyFill="1" applyBorder="1" applyAlignment="1">
      <alignment horizontal="center" vertical="center"/>
    </xf>
    <xf numFmtId="0" fontId="29" fillId="6" borderId="27" xfId="22" applyFont="1" applyFill="1" applyBorder="1" applyAlignment="1">
      <alignment horizontal="center" vertical="center"/>
    </xf>
    <xf numFmtId="0" fontId="41" fillId="2" borderId="22" xfId="22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 textRotation="45"/>
    </xf>
    <xf numFmtId="0" fontId="16" fillId="0" borderId="0" xfId="0" applyFont="1" applyFill="1" applyAlignment="1">
      <alignment horizontal="center" vertical="center" textRotation="45"/>
    </xf>
    <xf numFmtId="0" fontId="16" fillId="0" borderId="0" xfId="0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6" fontId="16" fillId="0" borderId="0" xfId="0" applyNumberFormat="1" applyFont="1" applyFill="1" applyAlignment="1">
      <alignment horizontal="center" vertical="center"/>
    </xf>
    <xf numFmtId="167" fontId="29" fillId="5" borderId="36" xfId="22" applyNumberFormat="1" applyFont="1" applyFill="1" applyBorder="1" applyAlignment="1">
      <alignment vertical="center"/>
    </xf>
    <xf numFmtId="167" fontId="29" fillId="2" borderId="12" xfId="22" applyNumberFormat="1" applyFont="1" applyFill="1" applyBorder="1" applyAlignment="1">
      <alignment vertical="center"/>
    </xf>
    <xf numFmtId="167" fontId="27" fillId="2" borderId="12" xfId="22" applyNumberFormat="1" applyFont="1" applyFill="1" applyBorder="1" applyAlignment="1">
      <alignment vertical="center"/>
    </xf>
    <xf numFmtId="167" fontId="29" fillId="5" borderId="13" xfId="22" applyNumberFormat="1" applyFont="1" applyFill="1" applyBorder="1" applyAlignment="1">
      <alignment vertical="center"/>
    </xf>
    <xf numFmtId="167" fontId="29" fillId="2" borderId="12" xfId="36" applyNumberFormat="1" applyFont="1" applyFill="1" applyBorder="1" applyAlignment="1">
      <alignment vertical="center"/>
    </xf>
    <xf numFmtId="167" fontId="29" fillId="2" borderId="13" xfId="22" applyNumberFormat="1" applyFont="1" applyFill="1" applyBorder="1" applyAlignment="1">
      <alignment vertical="center"/>
    </xf>
    <xf numFmtId="167" fontId="27" fillId="2" borderId="13" xfId="22" applyNumberFormat="1" applyFont="1" applyFill="1" applyBorder="1" applyAlignment="1">
      <alignment vertical="center"/>
    </xf>
    <xf numFmtId="167" fontId="27" fillId="0" borderId="12" xfId="22" applyNumberFormat="1" applyFont="1" applyFill="1" applyBorder="1" applyAlignment="1">
      <alignment vertical="center"/>
    </xf>
    <xf numFmtId="167" fontId="29" fillId="5" borderId="24" xfId="36" applyNumberFormat="1" applyFont="1" applyFill="1" applyBorder="1" applyAlignment="1">
      <alignment vertical="center"/>
    </xf>
    <xf numFmtId="167" fontId="29" fillId="2" borderId="14" xfId="36" applyNumberFormat="1" applyFont="1" applyFill="1" applyBorder="1" applyAlignment="1">
      <alignment vertical="center"/>
    </xf>
    <xf numFmtId="167" fontId="27" fillId="2" borderId="14" xfId="36" applyNumberFormat="1" applyFont="1" applyFill="1" applyBorder="1" applyAlignment="1">
      <alignment vertical="center"/>
    </xf>
    <xf numFmtId="167" fontId="29" fillId="2" borderId="24" xfId="36" applyNumberFormat="1" applyFont="1" applyFill="1" applyBorder="1" applyAlignment="1">
      <alignment vertical="center"/>
    </xf>
    <xf numFmtId="167" fontId="27" fillId="2" borderId="24" xfId="36" applyNumberFormat="1" applyFont="1" applyFill="1" applyBorder="1" applyAlignment="1">
      <alignment vertical="center"/>
    </xf>
    <xf numFmtId="167" fontId="27" fillId="0" borderId="14" xfId="36" applyNumberFormat="1" applyFont="1" applyFill="1" applyBorder="1" applyAlignment="1">
      <alignment vertical="center"/>
    </xf>
    <xf numFmtId="167" fontId="29" fillId="14" borderId="12" xfId="22" applyNumberFormat="1" applyFont="1" applyFill="1" applyBorder="1" applyAlignment="1">
      <alignment vertical="center"/>
    </xf>
    <xf numFmtId="167" fontId="27" fillId="14" borderId="12" xfId="22" applyNumberFormat="1" applyFont="1" applyFill="1" applyBorder="1" applyAlignment="1">
      <alignment vertical="center"/>
    </xf>
    <xf numFmtId="167" fontId="29" fillId="14" borderId="12" xfId="36" applyNumberFormat="1" applyFont="1" applyFill="1" applyBorder="1" applyAlignment="1">
      <alignment vertical="center"/>
    </xf>
    <xf numFmtId="167" fontId="29" fillId="14" borderId="13" xfId="22" applyNumberFormat="1" applyFont="1" applyFill="1" applyBorder="1" applyAlignment="1">
      <alignment horizontal="center" vertical="center"/>
    </xf>
    <xf numFmtId="167" fontId="27" fillId="14" borderId="13" xfId="22" applyNumberFormat="1" applyFont="1" applyFill="1" applyBorder="1" applyAlignment="1">
      <alignment horizontal="center" vertical="center"/>
    </xf>
    <xf numFmtId="167" fontId="29" fillId="14" borderId="12" xfId="22" applyNumberFormat="1" applyFont="1" applyFill="1" applyBorder="1" applyAlignment="1">
      <alignment horizontal="center" vertical="center"/>
    </xf>
    <xf numFmtId="167" fontId="29" fillId="14" borderId="13" xfId="22" applyNumberFormat="1" applyFont="1" applyFill="1" applyBorder="1" applyAlignment="1">
      <alignment vertical="center"/>
    </xf>
    <xf numFmtId="167" fontId="27" fillId="14" borderId="13" xfId="22" applyNumberFormat="1" applyFont="1" applyFill="1" applyBorder="1" applyAlignment="1">
      <alignment vertical="center"/>
    </xf>
    <xf numFmtId="167" fontId="29" fillId="8" borderId="13" xfId="0" applyNumberFormat="1" applyFont="1" applyFill="1" applyBorder="1"/>
    <xf numFmtId="167" fontId="29" fillId="2" borderId="34" xfId="0" applyNumberFormat="1" applyFont="1" applyFill="1" applyBorder="1"/>
    <xf numFmtId="167" fontId="27" fillId="2" borderId="12" xfId="0" applyNumberFormat="1" applyFont="1" applyFill="1" applyBorder="1"/>
    <xf numFmtId="167" fontId="27" fillId="2" borderId="12" xfId="0" applyNumberFormat="1" applyFont="1" applyFill="1" applyBorder="1" applyAlignment="1">
      <alignment vertical="center"/>
    </xf>
    <xf numFmtId="167" fontId="29" fillId="2" borderId="12" xfId="0" applyNumberFormat="1" applyFont="1" applyFill="1" applyBorder="1"/>
    <xf numFmtId="167" fontId="29" fillId="8" borderId="13" xfId="22" applyNumberFormat="1" applyFont="1" applyFill="1" applyBorder="1" applyAlignment="1">
      <alignment vertical="center"/>
    </xf>
    <xf numFmtId="167" fontId="16" fillId="2" borderId="12" xfId="22" applyNumberFormat="1" applyFont="1" applyFill="1" applyBorder="1" applyAlignment="1">
      <alignment vertical="center"/>
    </xf>
    <xf numFmtId="167" fontId="29" fillId="2" borderId="36" xfId="0" applyNumberFormat="1" applyFont="1" applyFill="1" applyBorder="1"/>
    <xf numFmtId="167" fontId="29" fillId="2" borderId="53" xfId="0" applyNumberFormat="1" applyFont="1" applyFill="1" applyBorder="1"/>
    <xf numFmtId="167" fontId="29" fillId="2" borderId="13" xfId="0" applyNumberFormat="1" applyFont="1" applyFill="1" applyBorder="1"/>
    <xf numFmtId="167" fontId="27" fillId="2" borderId="34" xfId="0" applyNumberFormat="1" applyFont="1" applyFill="1" applyBorder="1"/>
    <xf numFmtId="167" fontId="29" fillId="14" borderId="34" xfId="0" applyNumberFormat="1" applyFont="1" applyFill="1" applyBorder="1"/>
    <xf numFmtId="167" fontId="27" fillId="14" borderId="12" xfId="0" applyNumberFormat="1" applyFont="1" applyFill="1" applyBorder="1"/>
    <xf numFmtId="167" fontId="27" fillId="14" borderId="12" xfId="0" applyNumberFormat="1" applyFont="1" applyFill="1" applyBorder="1" applyAlignment="1">
      <alignment vertical="center"/>
    </xf>
    <xf numFmtId="167" fontId="29" fillId="14" borderId="12" xfId="0" applyNumberFormat="1" applyFont="1" applyFill="1" applyBorder="1"/>
    <xf numFmtId="167" fontId="29" fillId="14" borderId="36" xfId="0" applyNumberFormat="1" applyFont="1" applyFill="1" applyBorder="1"/>
    <xf numFmtId="167" fontId="29" fillId="14" borderId="53" xfId="0" applyNumberFormat="1" applyFont="1" applyFill="1" applyBorder="1"/>
    <xf numFmtId="167" fontId="29" fillId="14" borderId="13" xfId="0" applyNumberFormat="1" applyFont="1" applyFill="1" applyBorder="1"/>
    <xf numFmtId="167" fontId="27" fillId="14" borderId="34" xfId="0" applyNumberFormat="1" applyFont="1" applyFill="1" applyBorder="1"/>
    <xf numFmtId="167" fontId="27" fillId="14" borderId="12" xfId="0" applyNumberFormat="1" applyFont="1" applyFill="1" applyBorder="1" applyAlignment="1">
      <alignment horizontal="center"/>
    </xf>
    <xf numFmtId="167" fontId="27" fillId="2" borderId="12" xfId="36" applyNumberFormat="1" applyFont="1" applyFill="1" applyBorder="1" applyAlignment="1">
      <alignment vertical="center"/>
    </xf>
    <xf numFmtId="167" fontId="29" fillId="8" borderId="13" xfId="36" applyNumberFormat="1" applyFont="1" applyFill="1" applyBorder="1" applyAlignment="1">
      <alignment vertical="center"/>
    </xf>
    <xf numFmtId="167" fontId="16" fillId="2" borderId="12" xfId="36" applyNumberFormat="1" applyFont="1" applyFill="1" applyBorder="1" applyAlignment="1">
      <alignment vertical="center"/>
    </xf>
    <xf numFmtId="167" fontId="29" fillId="2" borderId="13" xfId="36" applyNumberFormat="1" applyFont="1" applyFill="1" applyBorder="1" applyAlignment="1">
      <alignment vertical="center"/>
    </xf>
    <xf numFmtId="167" fontId="29" fillId="6" borderId="24" xfId="22" applyNumberFormat="1" applyFont="1" applyFill="1" applyBorder="1" applyAlignment="1">
      <alignment vertical="center"/>
    </xf>
    <xf numFmtId="167" fontId="29" fillId="2" borderId="0" xfId="22" applyNumberFormat="1" applyFont="1" applyFill="1" applyBorder="1" applyAlignment="1">
      <alignment vertical="center"/>
    </xf>
    <xf numFmtId="167" fontId="27" fillId="2" borderId="14" xfId="22" applyNumberFormat="1" applyFont="1" applyFill="1" applyBorder="1" applyAlignment="1">
      <alignment vertical="center"/>
    </xf>
    <xf numFmtId="167" fontId="29" fillId="2" borderId="14" xfId="22" applyNumberFormat="1" applyFont="1" applyFill="1" applyBorder="1" applyAlignment="1">
      <alignment vertical="center"/>
    </xf>
    <xf numFmtId="167" fontId="29" fillId="2" borderId="24" xfId="22" applyNumberFormat="1" applyFont="1" applyFill="1" applyBorder="1" applyAlignment="1">
      <alignment vertical="center"/>
    </xf>
    <xf numFmtId="167" fontId="27" fillId="2" borderId="24" xfId="22" applyNumberFormat="1" applyFont="1" applyFill="1" applyBorder="1" applyAlignment="1">
      <alignment vertical="center"/>
    </xf>
    <xf numFmtId="167" fontId="27" fillId="0" borderId="14" xfId="22" applyNumberFormat="1" applyFont="1" applyFill="1" applyBorder="1" applyAlignment="1">
      <alignment vertical="center"/>
    </xf>
    <xf numFmtId="167" fontId="29" fillId="14" borderId="0" xfId="22" applyNumberFormat="1" applyFont="1" applyFill="1" applyBorder="1" applyAlignment="1">
      <alignment vertical="center"/>
    </xf>
    <xf numFmtId="167" fontId="27" fillId="14" borderId="14" xfId="22" applyNumberFormat="1" applyFont="1" applyFill="1" applyBorder="1" applyAlignment="1">
      <alignment vertical="center"/>
    </xf>
    <xf numFmtId="167" fontId="29" fillId="14" borderId="14" xfId="22" applyNumberFormat="1" applyFont="1" applyFill="1" applyBorder="1" applyAlignment="1">
      <alignment vertical="center"/>
    </xf>
    <xf numFmtId="167" fontId="29" fillId="14" borderId="24" xfId="22" applyNumberFormat="1" applyFont="1" applyFill="1" applyBorder="1" applyAlignment="1">
      <alignment vertical="center"/>
    </xf>
    <xf numFmtId="167" fontId="27" fillId="14" borderId="24" xfId="22" applyNumberFormat="1" applyFont="1" applyFill="1" applyBorder="1" applyAlignment="1">
      <alignment vertical="center"/>
    </xf>
  </cellXfs>
  <cellStyles count="40">
    <cellStyle name="1 indent" xfId="1"/>
    <cellStyle name="2 indents" xfId="2"/>
    <cellStyle name="3 indents" xfId="3"/>
    <cellStyle name="4 indents" xfId="4"/>
    <cellStyle name="Date" xfId="5"/>
    <cellStyle name="F2" xfId="6"/>
    <cellStyle name="F3" xfId="7"/>
    <cellStyle name="F4" xfId="8"/>
    <cellStyle name="F5" xfId="9"/>
    <cellStyle name="F6" xfId="10"/>
    <cellStyle name="F7" xfId="11"/>
    <cellStyle name="F8" xfId="12"/>
    <cellStyle name="Fixed" xfId="13"/>
    <cellStyle name="HEADING1" xfId="14"/>
    <cellStyle name="HEADING2" xfId="15"/>
    <cellStyle name="imf-one decimal" xfId="16"/>
    <cellStyle name="imf-zero decimal" xfId="17"/>
    <cellStyle name="Label" xfId="18"/>
    <cellStyle name="Normal" xfId="0" builtinId="0"/>
    <cellStyle name="Normal - Style1" xfId="19"/>
    <cellStyle name="Normal - Style2" xfId="20"/>
    <cellStyle name="Normal - Style3" xfId="21"/>
    <cellStyle name="Normal 10" xfId="33"/>
    <cellStyle name="Normal 11" xfId="34"/>
    <cellStyle name="Normal 12" xfId="35"/>
    <cellStyle name="Normal 2" xfId="22"/>
    <cellStyle name="Normal 2 2" xfId="36"/>
    <cellStyle name="Normal 2 2 2" xfId="39"/>
    <cellStyle name="Normal 3" xfId="26"/>
    <cellStyle name="Normal 4" xfId="27"/>
    <cellStyle name="Normal 4 2" xfId="37"/>
    <cellStyle name="Normal 5" xfId="28"/>
    <cellStyle name="Normal 6" xfId="29"/>
    <cellStyle name="Normal 7" xfId="30"/>
    <cellStyle name="Normal 8" xfId="31"/>
    <cellStyle name="Normal 9" xfId="32"/>
    <cellStyle name="Obično_KnjigaZIKS i Min pomorstva i saobracaja" xfId="23"/>
    <cellStyle name="Percent" xfId="38" builtinId="5"/>
    <cellStyle name="percentage difference" xfId="24"/>
    <cellStyle name="Publication" xfId="25"/>
  </cellStyles>
  <dxfs count="0"/>
  <tableStyles count="0" defaultTableStyle="TableStyleMedium9" defaultPivotStyle="PivotStyleLight16"/>
  <colors>
    <mruColors>
      <color rgb="FF7E0000"/>
      <color rgb="FFCCECFF"/>
      <color rgb="FFCCFFFF"/>
      <color rgb="FFFFFFCC"/>
      <color rgb="FF910000"/>
      <color rgb="FF820000"/>
      <color rgb="FF5A0000"/>
      <color rgb="FF640000"/>
      <color rgb="FF6E0000"/>
      <color rgb="FF73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ME" sz="1100"/>
              <a:t>Izvorni prihodi budžeta - I kvartal 2014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11081714785651793"/>
          <c:y val="0.17171296296296373"/>
          <c:w val="0.85862729658792925"/>
          <c:h val="0.744035797608635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'Cental Budget'!$O$20</c:f>
              <c:strCache>
                <c:ptCount val="1"/>
                <c:pt idx="0">
                  <c:v>2014 - ostvarenje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'Cental Budget'!$P$19:$R$19</c:f>
              <c:strCache>
                <c:ptCount val="3"/>
                <c:pt idx="0">
                  <c:v>PDV</c:v>
                </c:pt>
                <c:pt idx="1">
                  <c:v>Akcize</c:v>
                </c:pt>
                <c:pt idx="2">
                  <c:v>Doprinosi</c:v>
                </c:pt>
              </c:strCache>
            </c:strRef>
          </c:cat>
          <c:val>
            <c:numRef>
              <c:f>'Cental Budget'!$P$20:$R$20</c:f>
              <c:numCache>
                <c:formatCode>0.00,,</c:formatCode>
                <c:ptCount val="3"/>
                <c:pt idx="0">
                  <c:v>497589192.80000001</c:v>
                </c:pt>
                <c:pt idx="1">
                  <c:v>156466946.75</c:v>
                </c:pt>
                <c:pt idx="2">
                  <c:v>444303244.55000001</c:v>
                </c:pt>
              </c:numCache>
            </c:numRef>
          </c:val>
        </c:ser>
        <c:ser>
          <c:idx val="1"/>
          <c:order val="1"/>
          <c:tx>
            <c:strRef>
              <c:f>'Cental Budget'!$O$21</c:f>
              <c:strCache>
                <c:ptCount val="1"/>
                <c:pt idx="0">
                  <c:v>2014 - plan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rgbClr val="7E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'Cental Budget'!$P$19:$R$19</c:f>
              <c:strCache>
                <c:ptCount val="3"/>
                <c:pt idx="0">
                  <c:v>PDV</c:v>
                </c:pt>
                <c:pt idx="1">
                  <c:v>Akcize</c:v>
                </c:pt>
                <c:pt idx="2">
                  <c:v>Doprinosi</c:v>
                </c:pt>
              </c:strCache>
            </c:strRef>
          </c:cat>
          <c:val>
            <c:numRef>
              <c:f>'Cental Budget'!$P$21:$R$21</c:f>
              <c:numCache>
                <c:formatCode>0.00,,</c:formatCode>
                <c:ptCount val="3"/>
                <c:pt idx="0">
                  <c:v>455945630.52919102</c:v>
                </c:pt>
                <c:pt idx="1">
                  <c:v>171111988.52539012</c:v>
                </c:pt>
                <c:pt idx="2">
                  <c:v>397823173.70918262</c:v>
                </c:pt>
              </c:numCache>
            </c:numRef>
          </c:val>
        </c:ser>
        <c:ser>
          <c:idx val="2"/>
          <c:order val="2"/>
          <c:tx>
            <c:strRef>
              <c:f>'Cental Budget'!$O$22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7E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'Cental Budget'!$P$19:$R$19</c:f>
              <c:strCache>
                <c:ptCount val="3"/>
                <c:pt idx="0">
                  <c:v>PDV</c:v>
                </c:pt>
                <c:pt idx="1">
                  <c:v>Akcize</c:v>
                </c:pt>
                <c:pt idx="2">
                  <c:v>Doprinosi</c:v>
                </c:pt>
              </c:strCache>
            </c:strRef>
          </c:cat>
          <c:val>
            <c:numRef>
              <c:f>'Cental Budget'!$P$22:$R$22</c:f>
              <c:numCache>
                <c:formatCode>0.00,,</c:formatCode>
                <c:ptCount val="3"/>
                <c:pt idx="0">
                  <c:v>429195069.32999998</c:v>
                </c:pt>
                <c:pt idx="1">
                  <c:v>161445470.17000002</c:v>
                </c:pt>
                <c:pt idx="2">
                  <c:v>398494284.19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6248576"/>
        <c:axId val="706249136"/>
      </c:barChart>
      <c:catAx>
        <c:axId val="70624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06249136"/>
        <c:crosses val="autoZero"/>
        <c:auto val="1"/>
        <c:lblAlgn val="ctr"/>
        <c:lblOffset val="100"/>
        <c:noMultiLvlLbl val="0"/>
      </c:catAx>
      <c:valAx>
        <c:axId val="70624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,,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06248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304724409448826"/>
          <c:y val="0.19965223097112891"/>
          <c:w val="0.50834995625546864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ME"/>
              <a:t>Pregled javne potrošnje - III kvartal 2014.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'Public Expenditure'!$Q$17</c:f>
              <c:strCache>
                <c:ptCount val="1"/>
                <c:pt idx="0">
                  <c:v>2014 - ostvarenje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'Public Expenditure'!$R$16:$T$16</c:f>
              <c:strCache>
                <c:ptCount val="3"/>
                <c:pt idx="0">
                  <c:v>Prihodi</c:v>
                </c:pt>
                <c:pt idx="1">
                  <c:v>Rashodi</c:v>
                </c:pt>
                <c:pt idx="2">
                  <c:v>Suficit / deficit</c:v>
                </c:pt>
              </c:strCache>
            </c:strRef>
          </c:cat>
          <c:val>
            <c:numRef>
              <c:f>'Public Expenditure'!$R$17:$T$17</c:f>
              <c:numCache>
                <c:formatCode>0.00,,</c:formatCode>
                <c:ptCount val="3"/>
                <c:pt idx="0">
                  <c:v>1560505175.3500001</c:v>
                </c:pt>
                <c:pt idx="1">
                  <c:v>1606646291.71</c:v>
                </c:pt>
                <c:pt idx="2">
                  <c:v>-46141116.359999895</c:v>
                </c:pt>
              </c:numCache>
            </c:numRef>
          </c:val>
        </c:ser>
        <c:ser>
          <c:idx val="1"/>
          <c:order val="1"/>
          <c:tx>
            <c:strRef>
              <c:f>'Public Expenditure'!$Q$18</c:f>
              <c:strCache>
                <c:ptCount val="1"/>
                <c:pt idx="0">
                  <c:v>2014 - plan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rgbClr val="7E0000"/>
              </a:solidFill>
            </a:ln>
            <a:effectLst/>
          </c:spPr>
          <c:invertIfNegative val="0"/>
          <c:cat>
            <c:strRef>
              <c:f>'Public Expenditure'!$R$16:$T$16</c:f>
              <c:strCache>
                <c:ptCount val="3"/>
                <c:pt idx="0">
                  <c:v>Prihodi</c:v>
                </c:pt>
                <c:pt idx="1">
                  <c:v>Rashodi</c:v>
                </c:pt>
                <c:pt idx="2">
                  <c:v>Suficit / deficit</c:v>
                </c:pt>
              </c:strCache>
            </c:strRef>
          </c:cat>
          <c:val>
            <c:numRef>
              <c:f>'Public Expenditure'!$R$18:$T$18</c:f>
              <c:numCache>
                <c:formatCode>0.00,,</c:formatCode>
                <c:ptCount val="3"/>
                <c:pt idx="0">
                  <c:v>1442160125.022548</c:v>
                </c:pt>
                <c:pt idx="1">
                  <c:v>1464813209.7363348</c:v>
                </c:pt>
                <c:pt idx="2">
                  <c:v>-22653084.71378684</c:v>
                </c:pt>
              </c:numCache>
            </c:numRef>
          </c:val>
        </c:ser>
        <c:ser>
          <c:idx val="2"/>
          <c:order val="2"/>
          <c:tx>
            <c:strRef>
              <c:f>'Public Expenditure'!$Q$19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7E0000"/>
            </a:solidFill>
            <a:ln>
              <a:solidFill>
                <a:srgbClr val="7E0000"/>
              </a:solidFill>
            </a:ln>
            <a:effectLst/>
          </c:spPr>
          <c:invertIfNegative val="0"/>
          <c:cat>
            <c:strRef>
              <c:f>'Public Expenditure'!$R$16:$T$16</c:f>
              <c:strCache>
                <c:ptCount val="3"/>
                <c:pt idx="0">
                  <c:v>Prihodi</c:v>
                </c:pt>
                <c:pt idx="1">
                  <c:v>Rashodi</c:v>
                </c:pt>
                <c:pt idx="2">
                  <c:v>Suficit / deficit</c:v>
                </c:pt>
              </c:strCache>
            </c:strRef>
          </c:cat>
          <c:val>
            <c:numRef>
              <c:f>'Public Expenditure'!$R$19:$T$19</c:f>
              <c:numCache>
                <c:formatCode>0.00,,</c:formatCode>
                <c:ptCount val="3"/>
                <c:pt idx="0">
                  <c:v>1441892798.1699998</c:v>
                </c:pt>
                <c:pt idx="1">
                  <c:v>1587943694.3399999</c:v>
                </c:pt>
                <c:pt idx="2">
                  <c:v>-160489001.39730006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9742704"/>
        <c:axId val="709743264"/>
      </c:barChart>
      <c:catAx>
        <c:axId val="70974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09743264"/>
        <c:crosses val="autoZero"/>
        <c:auto val="1"/>
        <c:lblAlgn val="ctr"/>
        <c:lblOffset val="100"/>
        <c:noMultiLvlLbl val="0"/>
      </c:catAx>
      <c:valAx>
        <c:axId val="70974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,,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09742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630087378318533E-2"/>
          <c:y val="9.3067220764072062E-2"/>
          <c:w val="0.91423489152463533"/>
          <c:h val="0.80647637795275096"/>
        </c:manualLayout>
      </c:layout>
      <c:lineChart>
        <c:grouping val="standard"/>
        <c:varyColors val="0"/>
        <c:ser>
          <c:idx val="0"/>
          <c:order val="0"/>
          <c:tx>
            <c:strRef>
              <c:f>Sheet1!$C$5</c:f>
              <c:strCache>
                <c:ptCount val="1"/>
                <c:pt idx="0">
                  <c:v>Mjesečni plan prihoda 2014</c:v>
                </c:pt>
              </c:strCache>
            </c:strRef>
          </c:tx>
          <c:spPr>
            <a:ln>
              <a:solidFill>
                <a:srgbClr val="910000"/>
              </a:solidFill>
              <a:prstDash val="sysDash"/>
            </a:ln>
          </c:spPr>
          <c:marker>
            <c:symbol val="none"/>
          </c:marker>
          <c:cat>
            <c:strRef>
              <c:f>Sheet1!$D$4:$O$4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Mart</c:v>
                </c:pt>
                <c:pt idx="3">
                  <c:v>April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Avgust</c:v>
                </c:pt>
                <c:pt idx="8">
                  <c:v>Septembar</c:v>
                </c:pt>
                <c:pt idx="9">
                  <c:v>Oktobar</c:v>
                </c:pt>
                <c:pt idx="10">
                  <c:v>Novembar</c:v>
                </c:pt>
                <c:pt idx="11">
                  <c:v>Decembar</c:v>
                </c:pt>
              </c:strCache>
            </c:strRef>
          </c:cat>
          <c:val>
            <c:numRef>
              <c:f>Sheet1!$D$5:$O$5</c:f>
              <c:numCache>
                <c:formatCode>#,##0.0,,</c:formatCode>
                <c:ptCount val="12"/>
                <c:pt idx="0">
                  <c:v>62425293.156965584</c:v>
                </c:pt>
                <c:pt idx="1">
                  <c:v>79762187.59852089</c:v>
                </c:pt>
                <c:pt idx="2">
                  <c:v>89318688.151918903</c:v>
                </c:pt>
                <c:pt idx="3">
                  <c:v>106294081.27535464</c:v>
                </c:pt>
                <c:pt idx="4">
                  <c:v>97189661.825924918</c:v>
                </c:pt>
                <c:pt idx="5">
                  <c:v>105191801.34506513</c:v>
                </c:pt>
                <c:pt idx="6">
                  <c:v>123272889.17858437</c:v>
                </c:pt>
                <c:pt idx="7">
                  <c:v>125579133.65326507</c:v>
                </c:pt>
                <c:pt idx="8">
                  <c:v>121047897.33843082</c:v>
                </c:pt>
                <c:pt idx="9">
                  <c:v>114789505.85515907</c:v>
                </c:pt>
                <c:pt idx="10">
                  <c:v>97406301.479715049</c:v>
                </c:pt>
                <c:pt idx="11">
                  <c:v>145778958.57826602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Sheet1!$C$6</c:f>
              <c:strCache>
                <c:ptCount val="1"/>
                <c:pt idx="0">
                  <c:v>Mjesečna procjena prihoda 2014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spPr>
              <a:ln>
                <a:solidFill>
                  <a:schemeClr val="tx1"/>
                </a:solidFill>
                <a:prstDash val="solid"/>
              </a:ln>
            </c:spPr>
          </c:dPt>
          <c:dPt>
            <c:idx val="2"/>
            <c:bubble3D val="0"/>
            <c:spPr>
              <a:ln>
                <a:solidFill>
                  <a:schemeClr val="tx1"/>
                </a:solidFill>
                <a:prstDash val="solid"/>
              </a:ln>
            </c:spPr>
          </c:dPt>
          <c:cat>
            <c:strRef>
              <c:f>Sheet1!$D$4:$O$4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Mart</c:v>
                </c:pt>
                <c:pt idx="3">
                  <c:v>April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Avgust</c:v>
                </c:pt>
                <c:pt idx="8">
                  <c:v>Septembar</c:v>
                </c:pt>
                <c:pt idx="9">
                  <c:v>Oktobar</c:v>
                </c:pt>
                <c:pt idx="10">
                  <c:v>Novembar</c:v>
                </c:pt>
                <c:pt idx="11">
                  <c:v>Decembar</c:v>
                </c:pt>
              </c:strCache>
            </c:strRef>
          </c:cat>
          <c:val>
            <c:numRef>
              <c:f>Sheet1!$D$6:$O$6</c:f>
              <c:numCache>
                <c:formatCode>#,##0.0,,</c:formatCode>
                <c:ptCount val="12"/>
                <c:pt idx="0">
                  <c:v>70632268.589999989</c:v>
                </c:pt>
                <c:pt idx="1">
                  <c:v>81381758.450000018</c:v>
                </c:pt>
                <c:pt idx="2">
                  <c:v>100495765.61000001</c:v>
                </c:pt>
                <c:pt idx="3">
                  <c:v>107356417.33534782</c:v>
                </c:pt>
                <c:pt idx="4">
                  <c:v>98816734.644163221</c:v>
                </c:pt>
                <c:pt idx="5">
                  <c:v>107147051.5707173</c:v>
                </c:pt>
                <c:pt idx="6">
                  <c:v>125666748.8575906</c:v>
                </c:pt>
                <c:pt idx="7">
                  <c:v>127890096.38694921</c:v>
                </c:pt>
                <c:pt idx="8">
                  <c:v>123465322.33433203</c:v>
                </c:pt>
                <c:pt idx="9">
                  <c:v>117130344.73943919</c:v>
                </c:pt>
                <c:pt idx="10">
                  <c:v>99294843.070796907</c:v>
                </c:pt>
                <c:pt idx="11">
                  <c:v>149056317.49743444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Sheet1!$C$7</c:f>
              <c:strCache>
                <c:ptCount val="1"/>
                <c:pt idx="0">
                  <c:v>Ostvarenje prihoda 2013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Sheet1!$D$4:$O$4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Mart</c:v>
                </c:pt>
                <c:pt idx="3">
                  <c:v>April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Avgust</c:v>
                </c:pt>
                <c:pt idx="8">
                  <c:v>Septembar</c:v>
                </c:pt>
                <c:pt idx="9">
                  <c:v>Oktobar</c:v>
                </c:pt>
                <c:pt idx="10">
                  <c:v>Novembar</c:v>
                </c:pt>
                <c:pt idx="11">
                  <c:v>Decembar</c:v>
                </c:pt>
              </c:strCache>
            </c:strRef>
          </c:cat>
          <c:val>
            <c:numRef>
              <c:f>Sheet1!$D$7:$O$7</c:f>
              <c:numCache>
                <c:formatCode>#,##0.0,,</c:formatCode>
                <c:ptCount val="12"/>
                <c:pt idx="0">
                  <c:v>54757461.979999989</c:v>
                </c:pt>
                <c:pt idx="1">
                  <c:v>75673443.909999996</c:v>
                </c:pt>
                <c:pt idx="2">
                  <c:v>88296245.580000013</c:v>
                </c:pt>
                <c:pt idx="3">
                  <c:v>103948239.19999999</c:v>
                </c:pt>
                <c:pt idx="4">
                  <c:v>93997829.679999992</c:v>
                </c:pt>
                <c:pt idx="5">
                  <c:v>99561632.659999996</c:v>
                </c:pt>
                <c:pt idx="6">
                  <c:v>122021331.04999998</c:v>
                </c:pt>
                <c:pt idx="7">
                  <c:v>125053427.64999999</c:v>
                </c:pt>
                <c:pt idx="8">
                  <c:v>116342017.78000002</c:v>
                </c:pt>
                <c:pt idx="9">
                  <c:v>117283627.60000001</c:v>
                </c:pt>
                <c:pt idx="10">
                  <c:v>95781753.159999996</c:v>
                </c:pt>
                <c:pt idx="11">
                  <c:v>142429369.22999999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9747744"/>
        <c:axId val="709748304"/>
      </c:lineChart>
      <c:catAx>
        <c:axId val="709747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sr-Latn-RS"/>
          </a:p>
        </c:txPr>
        <c:crossAx val="709748304"/>
        <c:crosses val="autoZero"/>
        <c:auto val="1"/>
        <c:lblAlgn val="ctr"/>
        <c:lblOffset val="100"/>
        <c:noMultiLvlLbl val="0"/>
      </c:catAx>
      <c:valAx>
        <c:axId val="709748304"/>
        <c:scaling>
          <c:orientation val="minMax"/>
          <c:max val="130000000"/>
          <c:min val="50000000"/>
        </c:scaling>
        <c:delete val="0"/>
        <c:axPos val="l"/>
        <c:numFmt formatCode="#,##0.0,,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sr-Latn-RS"/>
          </a:p>
        </c:txPr>
        <c:crossAx val="7097477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719831223629192"/>
          <c:y val="0.63831291921843114"/>
          <c:w val="0.24343466560350838"/>
          <c:h val="0.21760170603674542"/>
        </c:manualLayout>
      </c:layout>
      <c:overlay val="0"/>
      <c:txPr>
        <a:bodyPr/>
        <a:lstStyle/>
        <a:p>
          <a:pPr>
            <a:defRPr sz="800"/>
          </a:pPr>
          <a:endParaRPr lang="sr-Latn-RS"/>
        </a:p>
      </c:txPr>
    </c:legend>
    <c:plotVisOnly val="1"/>
    <c:dispBlanksAs val="gap"/>
    <c:showDLblsOverMax val="0"/>
  </c:chart>
  <c:printSettings>
    <c:headerFooter/>
    <c:pageMargins b="0.750000000000004" l="0.70000000000000062" r="0.70000000000000062" t="0.75000000000000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vi-VN" sz="1000"/>
              <a:t>Poređenje scenarija - sa i bez autoputa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2878743296101454E-2"/>
          <c:y val="5.6030183727034118E-2"/>
          <c:w val="0.88495509810152662"/>
          <c:h val="0.89719889180519163"/>
        </c:manualLayout>
      </c:layout>
      <c:lineChart>
        <c:grouping val="standard"/>
        <c:varyColors val="0"/>
        <c:ser>
          <c:idx val="0"/>
          <c:order val="0"/>
          <c:tx>
            <c:strRef>
              <c:f>Sheet3!$C$5</c:f>
              <c:strCache>
                <c:ptCount val="1"/>
                <c:pt idx="0">
                  <c:v>Deficit - osnovni scenario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Sheet3!$D$4:$G$4</c:f>
              <c:strCache>
                <c:ptCount val="4"/>
                <c:pt idx="0">
                  <c:v>2014 - procjena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strCache>
            </c:strRef>
          </c:cat>
          <c:val>
            <c:numRef>
              <c:f>Sheet3!$D$5:$G$5</c:f>
              <c:numCache>
                <c:formatCode>#,##0.0,,</c:formatCode>
                <c:ptCount val="4"/>
                <c:pt idx="0">
                  <c:v>-26424601.993229389</c:v>
                </c:pt>
                <c:pt idx="1">
                  <c:v>-24569497.372829676</c:v>
                </c:pt>
                <c:pt idx="2">
                  <c:v>33498994.005818129</c:v>
                </c:pt>
                <c:pt idx="3">
                  <c:v>103834080.12588143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Sheet3!$C$6</c:f>
              <c:strCache>
                <c:ptCount val="1"/>
                <c:pt idx="0">
                  <c:v>Deficit - scenario sa auto putem</c:v>
                </c:pt>
              </c:strCache>
            </c:strRef>
          </c:tx>
          <c:spPr>
            <a:ln>
              <a:solidFill>
                <a:srgbClr val="910000"/>
              </a:solidFill>
              <a:prstDash val="sysDot"/>
            </a:ln>
          </c:spPr>
          <c:marker>
            <c:symbol val="none"/>
          </c:marker>
          <c:cat>
            <c:strRef>
              <c:f>Sheet3!$D$4:$G$4</c:f>
              <c:strCache>
                <c:ptCount val="4"/>
                <c:pt idx="0">
                  <c:v>2014 - procjena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strCache>
            </c:strRef>
          </c:cat>
          <c:val>
            <c:numRef>
              <c:f>Sheet3!$D$6:$G$6</c:f>
              <c:numCache>
                <c:formatCode>#,##0.0,,</c:formatCode>
                <c:ptCount val="4"/>
                <c:pt idx="0">
                  <c:v>-51424601.993229389</c:v>
                </c:pt>
                <c:pt idx="1">
                  <c:v>-149569497.37282968</c:v>
                </c:pt>
                <c:pt idx="2">
                  <c:v>-191501005.99418187</c:v>
                </c:pt>
                <c:pt idx="3">
                  <c:v>-221165919.87411857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9751664"/>
        <c:axId val="709752224"/>
      </c:lineChart>
      <c:catAx>
        <c:axId val="709751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sr-Latn-RS"/>
          </a:p>
        </c:txPr>
        <c:crossAx val="709752224"/>
        <c:crosses val="autoZero"/>
        <c:auto val="1"/>
        <c:lblAlgn val="ctr"/>
        <c:lblOffset val="100"/>
        <c:noMultiLvlLbl val="0"/>
      </c:catAx>
      <c:valAx>
        <c:axId val="709752224"/>
        <c:scaling>
          <c:orientation val="minMax"/>
        </c:scaling>
        <c:delete val="0"/>
        <c:axPos val="l"/>
        <c:numFmt formatCode="#,##0.0,,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sr-Latn-RS"/>
          </a:p>
        </c:txPr>
        <c:crossAx val="709751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491661075997865"/>
          <c:y val="0.55478783902012263"/>
          <c:w val="0.28062788115611131"/>
          <c:h val="0.14506780402449823"/>
        </c:manualLayout>
      </c:layout>
      <c:overlay val="0"/>
      <c:txPr>
        <a:bodyPr/>
        <a:lstStyle/>
        <a:p>
          <a:pPr>
            <a:defRPr sz="800"/>
          </a:pPr>
          <a:endParaRPr lang="sr-Latn-RS"/>
        </a:p>
      </c:txPr>
    </c:legend>
    <c:plotVisOnly val="1"/>
    <c:dispBlanksAs val="gap"/>
    <c:showDLblsOverMax val="0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2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3.xml><?xml version="1.0" encoding="utf-8"?>
<formControlPr xmlns="http://schemas.microsoft.com/office/spreadsheetml/2009/9/main" objectType="List" dx="16" fmlaLink="MasterSheet!$A$1" fmlaRange="MasterSheet!$B$27:$B$28" noThreeD="1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347381</xdr:colOff>
      <xdr:row>23</xdr:row>
      <xdr:rowOff>100853</xdr:rowOff>
    </xdr:from>
    <xdr:to>
      <xdr:col>23</xdr:col>
      <xdr:colOff>493058</xdr:colOff>
      <xdr:row>35</xdr:row>
      <xdr:rowOff>156882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0</xdr:rowOff>
        </xdr:from>
        <xdr:to>
          <xdr:col>2</xdr:col>
          <xdr:colOff>1247775</xdr:colOff>
          <xdr:row>9</xdr:row>
          <xdr:rowOff>104775</xdr:rowOff>
        </xdr:to>
        <xdr:sp macro="" textlink="">
          <xdr:nvSpPr>
            <xdr:cNvPr id="37896" name="List Box 8" hidden="1">
              <a:extLst>
                <a:ext uri="{63B3BB69-23CF-44E3-9099-C40C66FF867C}">
                  <a14:compatExt spid="_x0000_s37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0</xdr:rowOff>
        </xdr:from>
        <xdr:to>
          <xdr:col>2</xdr:col>
          <xdr:colOff>1247775</xdr:colOff>
          <xdr:row>9</xdr:row>
          <xdr:rowOff>104775</xdr:rowOff>
        </xdr:to>
        <xdr:sp macro="" textlink="">
          <xdr:nvSpPr>
            <xdr:cNvPr id="43009" name="List Box 1" hidden="1">
              <a:extLst>
                <a:ext uri="{63B3BB69-23CF-44E3-9099-C40C66FF867C}">
                  <a14:compatExt spid="_x0000_s43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458109</xdr:colOff>
      <xdr:row>21</xdr:row>
      <xdr:rowOff>95702</xdr:rowOff>
    </xdr:from>
    <xdr:to>
      <xdr:col>24</xdr:col>
      <xdr:colOff>529166</xdr:colOff>
      <xdr:row>42</xdr:row>
      <xdr:rowOff>120953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0</xdr:rowOff>
        </xdr:from>
        <xdr:to>
          <xdr:col>2</xdr:col>
          <xdr:colOff>1247775</xdr:colOff>
          <xdr:row>9</xdr:row>
          <xdr:rowOff>104775</xdr:rowOff>
        </xdr:to>
        <xdr:sp macro="" textlink="">
          <xdr:nvSpPr>
            <xdr:cNvPr id="46081" name="List Box 1" hidden="1">
              <a:extLst>
                <a:ext uri="{63B3BB69-23CF-44E3-9099-C40C66FF867C}">
                  <a14:compatExt spid="_x0000_s46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342900</xdr:colOff>
      <xdr:row>2</xdr:row>
      <xdr:rowOff>19050</xdr:rowOff>
    </xdr:from>
    <xdr:ext cx="3943350" cy="264560"/>
    <xdr:sp macro="" textlink="">
      <xdr:nvSpPr>
        <xdr:cNvPr id="2" name="TextBox 1"/>
        <xdr:cNvSpPr txBox="1"/>
      </xdr:nvSpPr>
      <xdr:spPr>
        <a:xfrm>
          <a:off x="9972675" y="342900"/>
          <a:ext cx="3943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22</xdr:col>
      <xdr:colOff>57150</xdr:colOff>
      <xdr:row>2</xdr:row>
      <xdr:rowOff>19050</xdr:rowOff>
    </xdr:from>
    <xdr:ext cx="2621230" cy="953466"/>
    <xdr:sp macro="" textlink="">
      <xdr:nvSpPr>
        <xdr:cNvPr id="3" name="TextBox 2"/>
        <xdr:cNvSpPr txBox="1"/>
      </xdr:nvSpPr>
      <xdr:spPr>
        <a:xfrm>
          <a:off x="1276350" y="342900"/>
          <a:ext cx="2621230" cy="95346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Porez na dohodak fizičkih lica  11%</a:t>
          </a:r>
          <a:r>
            <a:rPr lang="en-US"/>
            <a:t> </a:t>
          </a:r>
          <a:endParaRPr lang="x-none"/>
        </a:p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Porez na promet nepokretnosti  10%</a:t>
          </a:r>
          <a:r>
            <a:rPr lang="en-US"/>
            <a:t> </a:t>
          </a:r>
          <a:endParaRPr lang="x-none"/>
        </a:p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Porez na upotrebu motornih vozila   100%</a:t>
          </a:r>
          <a:r>
            <a:rPr lang="en-US"/>
            <a:t> </a:t>
          </a:r>
          <a:endParaRPr lang="x-none"/>
        </a:p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Naknade za igre na sreću   40%</a:t>
          </a:r>
          <a:r>
            <a:rPr lang="en-US"/>
            <a:t> </a:t>
          </a:r>
          <a:endParaRPr lang="x-none"/>
        </a:p>
        <a:p>
          <a:r>
            <a:rPr lang="en-US" sz="11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UKUPNO</a:t>
          </a:r>
          <a:r>
            <a:rPr lang="en-US"/>
            <a:t> </a:t>
          </a:r>
          <a:endParaRPr 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15</xdr:row>
      <xdr:rowOff>85725</xdr:rowOff>
    </xdr:from>
    <xdr:to>
      <xdr:col>15</xdr:col>
      <xdr:colOff>200025</xdr:colOff>
      <xdr:row>32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0.02785</cdr:x>
      <cdr:y>0.42708</cdr:y>
    </cdr:from>
    <cdr:to>
      <cdr:x>0.1962</cdr:x>
      <cdr:y>0.56597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9550" y="1171575"/>
          <a:ext cx="1266826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sr-Latn-ME" sz="800" i="1"/>
            <a:t>Ostvarenje</a:t>
          </a:r>
          <a:r>
            <a:rPr lang="sr-Latn-ME" sz="800" i="1" baseline="0"/>
            <a:t> prihoda </a:t>
          </a:r>
        </a:p>
        <a:p xmlns:a="http://schemas.openxmlformats.org/drawingml/2006/main">
          <a:pPr algn="r"/>
          <a:r>
            <a:rPr lang="sr-Latn-ME" sz="800" i="1" baseline="0"/>
            <a:t>u prvom kvartalu 2014.</a:t>
          </a:r>
          <a:endParaRPr lang="en-US" sz="800" i="1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9</xdr:row>
      <xdr:rowOff>142875</xdr:rowOff>
    </xdr:from>
    <xdr:to>
      <xdr:col>10</xdr:col>
      <xdr:colOff>438150</xdr:colOff>
      <xdr:row>26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os.popovic/Dropbox/MINISTARSTVO%20FINANSIJA/SEP/05_Zavrsni%202013/Smjernice%202014-04-04%20sa%20projekcijama%20dug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tal Budget"/>
      <sheetName val="Cental Budget - hwy"/>
      <sheetName val="Local Government"/>
      <sheetName val="Public Expenditure"/>
      <sheetName val="Public Expenditure -hwy"/>
      <sheetName val="PRIMICI"/>
      <sheetName val="DEFICIT Tabela"/>
      <sheetName val="MasterShee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>
            <v>2</v>
          </cell>
        </row>
        <row r="151">
          <cell r="B151" t="str">
            <v>Izvor: Ministarstvo finansija Crne Gore</v>
          </cell>
          <cell r="C151" t="str">
            <v>Source: Ministry of Finance of Montenegro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CC77"/>
  <sheetViews>
    <sheetView zoomScale="85" zoomScaleNormal="85" workbookViewId="0">
      <selection activeCell="H13" sqref="H13"/>
    </sheetView>
  </sheetViews>
  <sheetFormatPr defaultColWidth="9.140625" defaultRowHeight="12.75"/>
  <cols>
    <col min="1" max="2" width="9.140625" style="80" customWidth="1"/>
    <col min="3" max="3" width="57.28515625" style="80" customWidth="1"/>
    <col min="4" max="13" width="7.85546875" style="80" customWidth="1"/>
    <col min="14" max="73" width="9.140625" style="80" customWidth="1"/>
    <col min="74" max="74" width="9.140625" style="80"/>
    <col min="75" max="75" width="15.42578125" style="80" customWidth="1"/>
    <col min="76" max="76" width="12.7109375" style="80" customWidth="1"/>
    <col min="77" max="77" width="11.85546875" style="80" customWidth="1"/>
    <col min="78" max="16384" width="9.140625" style="80"/>
  </cols>
  <sheetData>
    <row r="1" spans="2:73" ht="15" customHeight="1">
      <c r="C1" s="81"/>
      <c r="D1" s="82"/>
      <c r="E1" s="82"/>
      <c r="F1" s="82"/>
      <c r="G1" s="82"/>
      <c r="H1" s="82"/>
      <c r="I1" s="82"/>
      <c r="J1" s="82"/>
      <c r="K1" s="82"/>
      <c r="L1" s="82"/>
      <c r="M1" s="82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</row>
    <row r="2" spans="2:73" ht="15" hidden="1" customHeight="1">
      <c r="C2" s="81"/>
      <c r="D2" s="116"/>
      <c r="E2" s="116"/>
      <c r="F2" s="116"/>
      <c r="G2" s="123">
        <v>2014</v>
      </c>
      <c r="H2" s="123"/>
      <c r="I2" s="123"/>
      <c r="J2" s="124">
        <v>2017</v>
      </c>
      <c r="L2" s="123"/>
      <c r="M2" s="123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</row>
    <row r="3" spans="2:73" ht="15" hidden="1" customHeight="1">
      <c r="C3" s="81"/>
      <c r="D3" s="117"/>
      <c r="E3" s="117"/>
      <c r="F3" s="117"/>
      <c r="G3" s="118">
        <v>5.4037200000000007</v>
      </c>
      <c r="H3" s="118"/>
      <c r="I3" s="118"/>
      <c r="J3" s="119">
        <v>6.0799999999999965</v>
      </c>
      <c r="L3" s="118"/>
      <c r="M3" s="118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</row>
    <row r="4" spans="2:73" ht="15" hidden="1" customHeight="1">
      <c r="C4" s="81"/>
      <c r="D4" s="112"/>
      <c r="E4" s="112"/>
      <c r="F4" s="112"/>
      <c r="G4" s="110">
        <v>3.54</v>
      </c>
      <c r="H4" s="110"/>
      <c r="I4" s="110"/>
      <c r="J4" s="111">
        <v>4</v>
      </c>
      <c r="L4" s="110"/>
      <c r="M4" s="110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</row>
    <row r="5" spans="2:73" ht="15" hidden="1" customHeight="1">
      <c r="C5" s="81"/>
      <c r="D5" s="120"/>
      <c r="E5" s="120"/>
      <c r="F5" s="120"/>
      <c r="G5" s="121">
        <v>1.8</v>
      </c>
      <c r="H5" s="121"/>
      <c r="I5" s="121"/>
      <c r="J5" s="131">
        <v>2</v>
      </c>
      <c r="L5" s="121"/>
      <c r="M5" s="12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</row>
    <row r="6" spans="2:73" ht="15" hidden="1" customHeight="1">
      <c r="C6" s="81"/>
      <c r="D6" s="122"/>
      <c r="E6" s="122"/>
      <c r="F6" s="122"/>
      <c r="G6" s="130">
        <v>2.3E-2</v>
      </c>
      <c r="H6" s="130"/>
      <c r="I6" s="130"/>
      <c r="J6" s="130">
        <v>5.1999999999999998E-2</v>
      </c>
      <c r="L6" s="130"/>
      <c r="M6" s="13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</row>
    <row r="7" spans="2:73" ht="15" hidden="1" customHeight="1">
      <c r="C7" s="81"/>
      <c r="D7" s="113"/>
      <c r="E7" s="113"/>
      <c r="F7" s="113"/>
      <c r="G7" s="113"/>
      <c r="H7" s="113"/>
      <c r="I7" s="113"/>
      <c r="J7" s="114"/>
      <c r="L7" s="113"/>
      <c r="M7" s="113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</row>
    <row r="8" spans="2:73" ht="15" hidden="1" customHeight="1">
      <c r="C8" s="81"/>
      <c r="D8" s="109"/>
      <c r="E8" s="109"/>
      <c r="F8" s="109"/>
      <c r="G8" s="125">
        <f>+J16/F16*100-100</f>
        <v>-2.5563048201911727</v>
      </c>
      <c r="H8" s="125"/>
      <c r="I8" s="125"/>
      <c r="J8" s="127" t="e">
        <f>+#REF!/#REF!*100-100</f>
        <v>#REF!</v>
      </c>
      <c r="L8" s="125"/>
      <c r="M8" s="125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</row>
    <row r="9" spans="2:73" ht="15" hidden="1" customHeight="1">
      <c r="C9" s="81"/>
      <c r="D9" s="115"/>
      <c r="E9" s="115"/>
      <c r="F9" s="115"/>
      <c r="G9" s="126" t="e">
        <f>+J16/#REF!*100-100</f>
        <v>#REF!</v>
      </c>
      <c r="H9" s="126"/>
      <c r="I9" s="126"/>
      <c r="J9" s="128" t="e">
        <f>+#REF!/#REF!*100-100</f>
        <v>#REF!</v>
      </c>
      <c r="L9" s="126"/>
      <c r="M9" s="126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</row>
    <row r="10" spans="2:73" ht="15" customHeight="1" thickBot="1">
      <c r="C10" s="81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</row>
    <row r="11" spans="2:73" ht="18.75" customHeight="1" thickTop="1" thickBot="1">
      <c r="C11" s="180" t="str">
        <f>IF(MasterSheet!$A$1=1,MasterSheet!B67,MasterSheet!B66)</f>
        <v>BDP (u mil. €)</v>
      </c>
      <c r="D11" s="256">
        <v>3393200615</v>
      </c>
      <c r="E11" s="257"/>
      <c r="F11" s="257"/>
      <c r="G11" s="258"/>
      <c r="H11" s="261"/>
      <c r="I11" s="266"/>
      <c r="J11" s="263">
        <v>3327000000</v>
      </c>
      <c r="K11" s="263">
        <v>0</v>
      </c>
      <c r="L11" s="261"/>
      <c r="M11" s="262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</row>
    <row r="12" spans="2:73" ht="19.5" customHeight="1" thickTop="1">
      <c r="C12" s="81"/>
      <c r="D12" s="244"/>
      <c r="E12" s="244"/>
      <c r="F12" s="83"/>
      <c r="G12" s="83"/>
      <c r="H12" s="82"/>
      <c r="I12" s="82"/>
      <c r="J12" s="82"/>
      <c r="K12" s="82"/>
      <c r="L12" s="82"/>
      <c r="M12" s="82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</row>
    <row r="13" spans="2:73" ht="17.25" customHeight="1" thickBot="1">
      <c r="B13" s="85"/>
      <c r="C13" s="86"/>
      <c r="D13" s="268" t="s">
        <v>337</v>
      </c>
      <c r="E13" s="268"/>
      <c r="F13" s="243"/>
      <c r="G13" s="243"/>
      <c r="H13" s="243"/>
      <c r="I13" s="243"/>
      <c r="J13" s="267" t="s">
        <v>468</v>
      </c>
      <c r="K13" s="267"/>
      <c r="L13" s="164"/>
      <c r="M13" s="164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</row>
    <row r="14" spans="2:73" ht="15.75" customHeight="1" thickTop="1">
      <c r="B14" s="87"/>
      <c r="C14" s="259" t="str">
        <f>IF(MasterSheet!$A$1=1,MasterSheet!B71,MasterSheet!B70)</f>
        <v>Budžet Crne Gore</v>
      </c>
      <c r="D14" s="254" t="s">
        <v>446</v>
      </c>
      <c r="E14" s="255"/>
      <c r="F14" s="254" t="s">
        <v>393</v>
      </c>
      <c r="G14" s="255"/>
      <c r="H14" s="254" t="s">
        <v>455</v>
      </c>
      <c r="I14" s="255"/>
      <c r="J14" s="254" t="s">
        <v>447</v>
      </c>
      <c r="K14" s="255"/>
      <c r="L14" s="264" t="str">
        <f>+H14</f>
        <v>Odstupanje</v>
      </c>
      <c r="M14" s="265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</row>
    <row r="15" spans="2:73" ht="15" customHeight="1" thickBot="1">
      <c r="C15" s="260" t="str">
        <f>IF(MasterSheet!$A$1=1,MasterSheet!B71,MasterSheet!B70)</f>
        <v>Budžet Crne Gore</v>
      </c>
      <c r="D15" s="88" t="str">
        <f>+F15</f>
        <v>mil. €</v>
      </c>
      <c r="E15" s="203" t="str">
        <f>+G15</f>
        <v>% BDP</v>
      </c>
      <c r="F15" s="88" t="s">
        <v>263</v>
      </c>
      <c r="G15" s="89" t="s">
        <v>150</v>
      </c>
      <c r="H15" s="202" t="s">
        <v>263</v>
      </c>
      <c r="I15" s="202" t="s">
        <v>442</v>
      </c>
      <c r="J15" s="88" t="s">
        <v>263</v>
      </c>
      <c r="K15" s="89" t="s">
        <v>150</v>
      </c>
      <c r="L15" s="204" t="s">
        <v>263</v>
      </c>
      <c r="M15" s="129" t="s">
        <v>442</v>
      </c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</row>
    <row r="16" spans="2:73" ht="15" customHeight="1" thickTop="1" thickBot="1">
      <c r="B16" s="80">
        <v>7</v>
      </c>
      <c r="C16" s="90" t="str">
        <f>IF(MasterSheet!$A$1=1,MasterSheet!C72,MasterSheet!B72)</f>
        <v>Izvorni prihodi</v>
      </c>
      <c r="D16" s="165">
        <f>+D17+D25+SUM(D30:D34)</f>
        <v>1351853176.5900002</v>
      </c>
      <c r="E16" s="300">
        <f>+D16/$D$11*100</f>
        <v>39.840060461323482</v>
      </c>
      <c r="F16" s="165">
        <f>+F17+F25+SUM(F30:F34)</f>
        <v>1276056399.4371703</v>
      </c>
      <c r="G16" s="300">
        <f>+F16/$D$11*100</f>
        <v>37.606276322013763</v>
      </c>
      <c r="H16" s="165">
        <f>+D16-F16</f>
        <v>75796777.152829885</v>
      </c>
      <c r="I16" s="303">
        <f>+IF(ISNUMBER(D16/F16*100-100),D16/F16*100-100,"...")</f>
        <v>5.939923751509852</v>
      </c>
      <c r="J16" s="165">
        <f>+J17+J25+SUM(J30:J34)</f>
        <v>1243436508.1900001</v>
      </c>
      <c r="K16" s="300">
        <f>+J16/$J$11*100</f>
        <v>37.374106047189663</v>
      </c>
      <c r="L16" s="165">
        <f>+D16-J16</f>
        <v>108416668.4000001</v>
      </c>
      <c r="M16" s="300">
        <f>+D16/J16*100-100</f>
        <v>8.7191157478411156</v>
      </c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</row>
    <row r="17" spans="2:80" ht="15" customHeight="1" thickTop="1">
      <c r="B17" s="80">
        <v>711</v>
      </c>
      <c r="C17" s="93" t="str">
        <f>IF(MasterSheet!$A$1=1,MasterSheet!C73,MasterSheet!B73)</f>
        <v>Porezi</v>
      </c>
      <c r="D17" s="154">
        <f>+SUM(D18:D24)</f>
        <v>833203582.5200001</v>
      </c>
      <c r="E17" s="301">
        <f t="shared" ref="E17:E72" si="0">+D17/$D$11*100</f>
        <v>24.555093466526444</v>
      </c>
      <c r="F17" s="154">
        <v>797828901.35953081</v>
      </c>
      <c r="G17" s="301">
        <f t="shared" ref="G17:G72" si="1">+F17/$D$11*100</f>
        <v>23.512576822974872</v>
      </c>
      <c r="H17" s="209">
        <f t="shared" ref="H17:H65" si="2">+D17-F17</f>
        <v>35374681.160469294</v>
      </c>
      <c r="I17" s="314">
        <f t="shared" ref="I17:I65" si="3">+IF(ISNUMBER(D17/F17*100-100),D17/F17*100-100,"...")</f>
        <v>4.4338681013171453</v>
      </c>
      <c r="J17" s="154">
        <f>+SUM(J18:J24)</f>
        <v>755696459.51000011</v>
      </c>
      <c r="K17" s="301">
        <f t="shared" ref="K17:K65" si="4">+J17/$J$11*100</f>
        <v>22.714050481214308</v>
      </c>
      <c r="L17" s="209">
        <f t="shared" ref="L17:L35" si="5">+D17-J17</f>
        <v>77507123.00999999</v>
      </c>
      <c r="M17" s="314">
        <f t="shared" ref="M17:M35" si="6">+D17/J17*100-100</f>
        <v>10.25638297422438</v>
      </c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</row>
    <row r="18" spans="2:80" ht="15" customHeight="1">
      <c r="B18" s="80">
        <v>7111</v>
      </c>
      <c r="C18" s="97" t="str">
        <f>IF(MasterSheet!$A$1=1,MasterSheet!C74,MasterSheet!B74)</f>
        <v>Porez na dohodak fizičkih lica</v>
      </c>
      <c r="D18" s="155">
        <v>104405821.67</v>
      </c>
      <c r="E18" s="302">
        <f t="shared" si="0"/>
        <v>3.0769127297827041</v>
      </c>
      <c r="F18" s="155">
        <v>96011654.614494905</v>
      </c>
      <c r="G18" s="302">
        <f t="shared" si="1"/>
        <v>2.8295307442202295</v>
      </c>
      <c r="H18" s="210">
        <f t="shared" si="2"/>
        <v>8394167.0555050969</v>
      </c>
      <c r="I18" s="315">
        <f t="shared" si="3"/>
        <v>8.7428626130955394</v>
      </c>
      <c r="J18" s="156">
        <v>95618433.909999996</v>
      </c>
      <c r="K18" s="302">
        <f t="shared" si="4"/>
        <v>2.8740136432221219</v>
      </c>
      <c r="L18" s="210">
        <f t="shared" si="5"/>
        <v>8787387.7600000054</v>
      </c>
      <c r="M18" s="315">
        <f t="shared" si="6"/>
        <v>9.1900561436417689</v>
      </c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</row>
    <row r="19" spans="2:80" ht="15" customHeight="1">
      <c r="B19" s="80">
        <v>7112</v>
      </c>
      <c r="C19" s="97" t="str">
        <f>IF(MasterSheet!$A$1=1,MasterSheet!C75,MasterSheet!B75)</f>
        <v>Porez na dobit pravnih lica</v>
      </c>
      <c r="D19" s="156">
        <v>45020371.5</v>
      </c>
      <c r="E19" s="302">
        <f t="shared" si="0"/>
        <v>1.3267818973326457</v>
      </c>
      <c r="F19" s="156">
        <v>44395641.531501003</v>
      </c>
      <c r="G19" s="302">
        <f t="shared" si="1"/>
        <v>1.3083706673647706</v>
      </c>
      <c r="H19" s="210">
        <f t="shared" si="2"/>
        <v>624729.96849899739</v>
      </c>
      <c r="I19" s="315">
        <f t="shared" si="3"/>
        <v>1.4071876133510131</v>
      </c>
      <c r="J19" s="156">
        <v>40638726.390000008</v>
      </c>
      <c r="K19" s="302">
        <f t="shared" si="4"/>
        <v>1.2214826086564474</v>
      </c>
      <c r="L19" s="210">
        <f t="shared" si="5"/>
        <v>4381645.109999992</v>
      </c>
      <c r="M19" s="315">
        <f t="shared" si="6"/>
        <v>10.7819449555343</v>
      </c>
      <c r="N19" s="138"/>
      <c r="O19" s="81"/>
      <c r="P19" s="81" t="s">
        <v>454</v>
      </c>
      <c r="Q19" s="81" t="s">
        <v>12</v>
      </c>
      <c r="R19" s="81" t="s">
        <v>19</v>
      </c>
      <c r="S19" s="138"/>
      <c r="T19" s="138"/>
      <c r="U19" s="138"/>
      <c r="V19" s="138"/>
      <c r="W19" s="138"/>
      <c r="X19" s="138"/>
      <c r="Y19" s="139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W19" s="81"/>
    </row>
    <row r="20" spans="2:80" ht="15" customHeight="1">
      <c r="B20" s="80">
        <v>7113</v>
      </c>
      <c r="C20" s="97" t="str">
        <f>IF(MasterSheet!$A$1=1,MasterSheet!C76,MasterSheet!B76)</f>
        <v>Porez na promet nepokretnosti</v>
      </c>
      <c r="D20" s="156">
        <v>1479399.88</v>
      </c>
      <c r="E20" s="302">
        <f t="shared" si="0"/>
        <v>4.3598951192574856E-2</v>
      </c>
      <c r="F20" s="156">
        <v>1544536.6728920399</v>
      </c>
      <c r="G20" s="302">
        <f t="shared" si="1"/>
        <v>4.5518578125450446E-2</v>
      </c>
      <c r="H20" s="210">
        <f t="shared" si="2"/>
        <v>-65136.792892039986</v>
      </c>
      <c r="I20" s="315">
        <f t="shared" si="3"/>
        <v>-4.2172383495482677</v>
      </c>
      <c r="J20" s="156">
        <v>1440565.32</v>
      </c>
      <c r="K20" s="302">
        <f t="shared" si="4"/>
        <v>4.3299228133453563E-2</v>
      </c>
      <c r="L20" s="210">
        <f t="shared" si="5"/>
        <v>38834.559999999823</v>
      </c>
      <c r="M20" s="315">
        <f t="shared" si="6"/>
        <v>2.6957861237420104</v>
      </c>
      <c r="N20" s="138"/>
      <c r="O20" s="81" t="s">
        <v>446</v>
      </c>
      <c r="P20" s="212">
        <f>+D21</f>
        <v>497589192.80000001</v>
      </c>
      <c r="Q20" s="212">
        <f>+D22</f>
        <v>156466946.75</v>
      </c>
      <c r="R20" s="212">
        <f>+D25</f>
        <v>444303244.55000001</v>
      </c>
      <c r="S20" s="138"/>
      <c r="T20" s="138"/>
      <c r="U20" s="138"/>
      <c r="V20" s="138"/>
      <c r="W20" s="138"/>
      <c r="X20" s="138"/>
      <c r="Y20" s="139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  <c r="BI20" s="139"/>
      <c r="BJ20" s="138"/>
      <c r="BK20" s="138"/>
      <c r="BL20" s="138"/>
      <c r="BM20" s="138"/>
      <c r="BN20" s="138"/>
      <c r="BO20" s="138"/>
      <c r="BP20" s="138"/>
      <c r="BQ20" s="138"/>
      <c r="BR20" s="138"/>
      <c r="BS20" s="138"/>
      <c r="BT20" s="138"/>
      <c r="BU20" s="138"/>
    </row>
    <row r="21" spans="2:80" ht="15" customHeight="1">
      <c r="B21" s="80">
        <v>7114</v>
      </c>
      <c r="C21" s="97" t="str">
        <f>IF(MasterSheet!$A$1=1,MasterSheet!C77,MasterSheet!B77)</f>
        <v>Porez na dodatu vrijednost</v>
      </c>
      <c r="D21" s="155">
        <v>497589192.80000001</v>
      </c>
      <c r="E21" s="302">
        <f t="shared" si="0"/>
        <v>14.664302210731506</v>
      </c>
      <c r="F21" s="155">
        <v>455945630.52919102</v>
      </c>
      <c r="G21" s="302">
        <f t="shared" si="1"/>
        <v>13.437037247772366</v>
      </c>
      <c r="H21" s="210">
        <f t="shared" si="2"/>
        <v>41643562.270808995</v>
      </c>
      <c r="I21" s="315">
        <f t="shared" si="3"/>
        <v>9.1334491400818081</v>
      </c>
      <c r="J21" s="156">
        <v>429195069.32999998</v>
      </c>
      <c r="K21" s="302">
        <f t="shared" si="4"/>
        <v>12.900362769161406</v>
      </c>
      <c r="L21" s="210">
        <f t="shared" si="5"/>
        <v>68394123.470000029</v>
      </c>
      <c r="M21" s="315">
        <f t="shared" si="6"/>
        <v>15.935440166348485</v>
      </c>
      <c r="O21" s="81" t="s">
        <v>448</v>
      </c>
      <c r="P21" s="212">
        <f>+F21</f>
        <v>455945630.52919102</v>
      </c>
      <c r="Q21" s="212">
        <f>+F22</f>
        <v>171111988.52539012</v>
      </c>
      <c r="R21" s="212">
        <f>+F25</f>
        <v>397823173.70918262</v>
      </c>
    </row>
    <row r="22" spans="2:80" ht="15" customHeight="1">
      <c r="B22" s="80">
        <v>7115</v>
      </c>
      <c r="C22" s="97" t="str">
        <f>IF(MasterSheet!$A$1=1,MasterSheet!C78,MasterSheet!B78)</f>
        <v>Akcize</v>
      </c>
      <c r="D22" s="156">
        <v>156466946.75</v>
      </c>
      <c r="E22" s="302">
        <f t="shared" si="0"/>
        <v>4.6111905691140516</v>
      </c>
      <c r="F22" s="156">
        <v>171111988.52539012</v>
      </c>
      <c r="G22" s="302">
        <f t="shared" si="1"/>
        <v>5.0427902131389342</v>
      </c>
      <c r="H22" s="210">
        <f t="shared" si="2"/>
        <v>-14645041.775390118</v>
      </c>
      <c r="I22" s="315">
        <f t="shared" si="3"/>
        <v>-8.5587467608776251</v>
      </c>
      <c r="J22" s="156">
        <v>161445470.17000002</v>
      </c>
      <c r="K22" s="302">
        <f t="shared" si="4"/>
        <v>4.8525840147279835</v>
      </c>
      <c r="L22" s="210">
        <f t="shared" si="5"/>
        <v>-4978523.4200000167</v>
      </c>
      <c r="M22" s="315">
        <f t="shared" si="6"/>
        <v>-3.0837182453974776</v>
      </c>
      <c r="O22" s="137">
        <v>2013</v>
      </c>
      <c r="P22" s="213">
        <f>+J21</f>
        <v>429195069.32999998</v>
      </c>
      <c r="Q22" s="214">
        <f>+J22</f>
        <v>161445470.17000002</v>
      </c>
      <c r="R22" s="214">
        <f>+J25</f>
        <v>398494284.19</v>
      </c>
    </row>
    <row r="23" spans="2:80" ht="15" customHeight="1">
      <c r="B23" s="80">
        <v>7116</v>
      </c>
      <c r="C23" s="97" t="str">
        <f>IF(MasterSheet!$A$1=1,MasterSheet!C79,MasterSheet!B79)</f>
        <v>Porez na međunarodnu trgovinu i transakcije</v>
      </c>
      <c r="D23" s="156">
        <v>22270229.460000001</v>
      </c>
      <c r="E23" s="302">
        <f t="shared" si="0"/>
        <v>0.65631926864424439</v>
      </c>
      <c r="F23" s="156">
        <v>23735353.696558259</v>
      </c>
      <c r="G23" s="302">
        <f t="shared" si="1"/>
        <v>0.69949750662055266</v>
      </c>
      <c r="H23" s="210">
        <f t="shared" si="2"/>
        <v>-1465124.2365582585</v>
      </c>
      <c r="I23" s="315">
        <f t="shared" si="3"/>
        <v>-6.1727508057767437</v>
      </c>
      <c r="J23" s="156">
        <v>22269382.640000001</v>
      </c>
      <c r="K23" s="302">
        <f t="shared" si="4"/>
        <v>0.66935325037571392</v>
      </c>
      <c r="L23" s="210">
        <f t="shared" si="5"/>
        <v>846.82000000029802</v>
      </c>
      <c r="M23" s="315">
        <f t="shared" si="6"/>
        <v>3.8026200083152162E-3</v>
      </c>
      <c r="BX23" s="140"/>
      <c r="BY23" s="140"/>
      <c r="BZ23" s="81"/>
    </row>
    <row r="24" spans="2:80" ht="15" customHeight="1">
      <c r="B24" s="80">
        <v>7118</v>
      </c>
      <c r="C24" s="97" t="str">
        <f>IF(MasterSheet!$A$1=1,MasterSheet!C80,MasterSheet!B80)</f>
        <v>Ostali republički prihodi</v>
      </c>
      <c r="D24" s="156">
        <v>5971620.4600000009</v>
      </c>
      <c r="E24" s="302">
        <f t="shared" si="0"/>
        <v>0.17598783972871584</v>
      </c>
      <c r="F24" s="156">
        <v>5084095.7895035082</v>
      </c>
      <c r="G24" s="302">
        <f t="shared" si="1"/>
        <v>0.1498318657325691</v>
      </c>
      <c r="H24" s="210">
        <f t="shared" si="2"/>
        <v>887524.67049649265</v>
      </c>
      <c r="I24" s="315">
        <f t="shared" si="3"/>
        <v>17.456883332702986</v>
      </c>
      <c r="J24" s="156">
        <v>5088811.7500000009</v>
      </c>
      <c r="K24" s="302">
        <f t="shared" si="4"/>
        <v>0.15295496693718066</v>
      </c>
      <c r="L24" s="210">
        <f t="shared" si="5"/>
        <v>882808.71</v>
      </c>
      <c r="M24" s="315">
        <f t="shared" si="6"/>
        <v>17.348032377106492</v>
      </c>
      <c r="BX24" s="140"/>
      <c r="BY24" s="140"/>
      <c r="BZ24" s="81"/>
    </row>
    <row r="25" spans="2:80" ht="15" customHeight="1">
      <c r="B25" s="80">
        <v>712</v>
      </c>
      <c r="C25" s="93" t="str">
        <f>IF(MasterSheet!$A$1=1,MasterSheet!C81,MasterSheet!B81)</f>
        <v>Doprinosi</v>
      </c>
      <c r="D25" s="154">
        <f>+SUM(D26:D29)</f>
        <v>444303244.55000001</v>
      </c>
      <c r="E25" s="301">
        <f t="shared" si="0"/>
        <v>13.093927974252711</v>
      </c>
      <c r="F25" s="154">
        <v>397823173.70918262</v>
      </c>
      <c r="G25" s="301">
        <f t="shared" si="1"/>
        <v>11.724127714422879</v>
      </c>
      <c r="H25" s="209">
        <f t="shared" si="2"/>
        <v>46480070.840817392</v>
      </c>
      <c r="I25" s="314">
        <f t="shared" si="3"/>
        <v>11.683600632776447</v>
      </c>
      <c r="J25" s="154">
        <f>+SUM(J26:J29)</f>
        <v>398494284.19</v>
      </c>
      <c r="K25" s="301">
        <f t="shared" si="4"/>
        <v>11.97758593898407</v>
      </c>
      <c r="L25" s="209">
        <f t="shared" si="5"/>
        <v>45808960.360000014</v>
      </c>
      <c r="M25" s="314">
        <f t="shared" si="6"/>
        <v>11.495512527391355</v>
      </c>
      <c r="BX25" s="140"/>
      <c r="BY25" s="140"/>
      <c r="BZ25" s="81"/>
    </row>
    <row r="26" spans="2:80" ht="15" customHeight="1">
      <c r="B26" s="80">
        <v>7121</v>
      </c>
      <c r="C26" s="97" t="str">
        <f>IF(MasterSheet!$A$1=1,MasterSheet!C82,MasterSheet!B82)</f>
        <v>Doprinosi za penzijsko i invalidsko osiguranje</v>
      </c>
      <c r="D26" s="156">
        <v>270120228.04000002</v>
      </c>
      <c r="E26" s="302">
        <f t="shared" si="0"/>
        <v>7.9606324143024487</v>
      </c>
      <c r="F26" s="156">
        <v>234882396.70208701</v>
      </c>
      <c r="G26" s="302">
        <f t="shared" si="1"/>
        <v>6.9221488309227777</v>
      </c>
      <c r="H26" s="210">
        <f t="shared" si="2"/>
        <v>35237831.337913007</v>
      </c>
      <c r="I26" s="315">
        <f t="shared" si="3"/>
        <v>15.002329605230869</v>
      </c>
      <c r="J26" s="156">
        <v>241949355.72999999</v>
      </c>
      <c r="K26" s="302">
        <f t="shared" si="4"/>
        <v>7.2722980381725266</v>
      </c>
      <c r="L26" s="210">
        <f t="shared" si="5"/>
        <v>28170872.310000032</v>
      </c>
      <c r="M26" s="315">
        <f t="shared" si="6"/>
        <v>11.643292963109573</v>
      </c>
      <c r="BX26" s="140"/>
      <c r="BY26" s="140"/>
      <c r="BZ26" s="81"/>
    </row>
    <row r="27" spans="2:80" ht="15" customHeight="1">
      <c r="B27" s="80">
        <v>7122</v>
      </c>
      <c r="C27" s="97" t="str">
        <f>IF(MasterSheet!$A$1=1,MasterSheet!C83,MasterSheet!B83)</f>
        <v>Doprinosi za zdravstveno osiguranje</v>
      </c>
      <c r="D27" s="156">
        <v>151034703.57999998</v>
      </c>
      <c r="E27" s="302">
        <f t="shared" si="0"/>
        <v>4.4510985561046761</v>
      </c>
      <c r="F27" s="156">
        <v>138667298.82084399</v>
      </c>
      <c r="G27" s="302">
        <f t="shared" si="1"/>
        <v>4.0866224710631789</v>
      </c>
      <c r="H27" s="210">
        <f t="shared" si="2"/>
        <v>12367404.759155989</v>
      </c>
      <c r="I27" s="315">
        <f t="shared" si="3"/>
        <v>8.9187608501226237</v>
      </c>
      <c r="J27" s="156">
        <v>134703897.09</v>
      </c>
      <c r="K27" s="302">
        <f t="shared" si="4"/>
        <v>4.0488096510369704</v>
      </c>
      <c r="L27" s="210">
        <f t="shared" si="5"/>
        <v>16330806.48999998</v>
      </c>
      <c r="M27" s="315">
        <f t="shared" si="6"/>
        <v>12.123484800954827</v>
      </c>
      <c r="BX27" s="140"/>
      <c r="BY27" s="140"/>
      <c r="BZ27" s="81"/>
    </row>
    <row r="28" spans="2:80" ht="15" customHeight="1">
      <c r="B28" s="80">
        <v>7123</v>
      </c>
      <c r="C28" s="97" t="str">
        <f>IF(MasterSheet!$A$1=1,MasterSheet!C84,MasterSheet!B84)</f>
        <v>Doprinosi za osiguranje od nezaposlenosti</v>
      </c>
      <c r="D28" s="156">
        <v>12160117.389999999</v>
      </c>
      <c r="E28" s="302">
        <f t="shared" si="0"/>
        <v>0.3583671810103099</v>
      </c>
      <c r="F28" s="156">
        <v>11617385.520490499</v>
      </c>
      <c r="G28" s="302">
        <f t="shared" si="1"/>
        <v>0.34237249248201312</v>
      </c>
      <c r="H28" s="210">
        <f t="shared" si="2"/>
        <v>542731.86950949952</v>
      </c>
      <c r="I28" s="315">
        <f t="shared" si="3"/>
        <v>4.6717212625184885</v>
      </c>
      <c r="J28" s="156">
        <v>10770190.189999999</v>
      </c>
      <c r="K28" s="302">
        <f t="shared" si="4"/>
        <v>0.32372077517282838</v>
      </c>
      <c r="L28" s="210">
        <f t="shared" si="5"/>
        <v>1389927.1999999993</v>
      </c>
      <c r="M28" s="315">
        <f t="shared" si="6"/>
        <v>12.905317134422845</v>
      </c>
      <c r="BX28" s="140"/>
      <c r="BY28" s="140"/>
      <c r="BZ28" s="81"/>
    </row>
    <row r="29" spans="2:80" ht="15" customHeight="1">
      <c r="B29" s="80">
        <v>7124</v>
      </c>
      <c r="C29" s="97" t="str">
        <f>IF(MasterSheet!$A$1=1,MasterSheet!C85,MasterSheet!B85)</f>
        <v>Ostali doprinosi</v>
      </c>
      <c r="D29" s="155">
        <v>10988195.539999999</v>
      </c>
      <c r="E29" s="302">
        <f t="shared" si="0"/>
        <v>0.32382982283527606</v>
      </c>
      <c r="F29" s="155">
        <v>12656092.6657611</v>
      </c>
      <c r="G29" s="302">
        <f t="shared" si="1"/>
        <v>0.37298391995490959</v>
      </c>
      <c r="H29" s="210">
        <f t="shared" si="2"/>
        <v>-1667897.125761101</v>
      </c>
      <c r="I29" s="315">
        <f t="shared" si="3"/>
        <v>-13.178610253647335</v>
      </c>
      <c r="J29" s="156">
        <v>11070841.18</v>
      </c>
      <c r="K29" s="302">
        <f t="shared" si="4"/>
        <v>0.33275747460174332</v>
      </c>
      <c r="L29" s="210">
        <f t="shared" si="5"/>
        <v>-82645.640000000596</v>
      </c>
      <c r="M29" s="315">
        <f t="shared" si="6"/>
        <v>-0.74651635459555621</v>
      </c>
      <c r="BX29" s="81"/>
      <c r="BY29" s="81"/>
      <c r="BZ29" s="81"/>
    </row>
    <row r="30" spans="2:80" ht="15" customHeight="1">
      <c r="B30" s="80">
        <v>713</v>
      </c>
      <c r="C30" s="93" t="str">
        <f>IF(MasterSheet!$A$1=1,MasterSheet!C86,MasterSheet!B86)</f>
        <v>Takse</v>
      </c>
      <c r="D30" s="154">
        <v>15006989.84</v>
      </c>
      <c r="E30" s="301">
        <f t="shared" si="0"/>
        <v>0.44226650713370802</v>
      </c>
      <c r="F30" s="154">
        <v>20923047.198280636</v>
      </c>
      <c r="G30" s="301">
        <f t="shared" si="1"/>
        <v>0.61661686331742682</v>
      </c>
      <c r="H30" s="209">
        <f t="shared" si="2"/>
        <v>-5916057.3582806364</v>
      </c>
      <c r="I30" s="314">
        <f t="shared" si="3"/>
        <v>-28.275314308743674</v>
      </c>
      <c r="J30" s="154">
        <v>27179432.649999999</v>
      </c>
      <c r="K30" s="301">
        <f t="shared" si="4"/>
        <v>0.81693515629696412</v>
      </c>
      <c r="L30" s="209">
        <f t="shared" si="5"/>
        <v>-12172442.809999999</v>
      </c>
      <c r="M30" s="314">
        <f t="shared" si="6"/>
        <v>-44.785492643460309</v>
      </c>
      <c r="BX30" s="81"/>
      <c r="BY30" s="81"/>
      <c r="BZ30" s="81"/>
    </row>
    <row r="31" spans="2:80" ht="15" customHeight="1">
      <c r="B31" s="80">
        <v>714</v>
      </c>
      <c r="C31" s="93" t="str">
        <f>IF(MasterSheet!$A$1=1,MasterSheet!C91,MasterSheet!B91)</f>
        <v>Naknade</v>
      </c>
      <c r="D31" s="154">
        <v>16956990.550000001</v>
      </c>
      <c r="E31" s="301">
        <f t="shared" si="0"/>
        <v>0.49973439457248242</v>
      </c>
      <c r="F31" s="154">
        <v>13024243.76827177</v>
      </c>
      <c r="G31" s="301">
        <f t="shared" si="1"/>
        <v>0.38383359093761599</v>
      </c>
      <c r="H31" s="209">
        <f t="shared" si="2"/>
        <v>3932746.7817282304</v>
      </c>
      <c r="I31" s="314">
        <f t="shared" si="3"/>
        <v>30.195586413306813</v>
      </c>
      <c r="J31" s="154">
        <v>13233490.179999998</v>
      </c>
      <c r="K31" s="301">
        <f t="shared" si="4"/>
        <v>0.39776045025548534</v>
      </c>
      <c r="L31" s="209">
        <f t="shared" si="5"/>
        <v>3723500.3700000029</v>
      </c>
      <c r="M31" s="314">
        <f t="shared" si="6"/>
        <v>28.136948902772417</v>
      </c>
      <c r="BX31" s="140"/>
      <c r="BY31" s="140"/>
      <c r="BZ31" s="140"/>
    </row>
    <row r="32" spans="2:80" ht="15" customHeight="1">
      <c r="B32" s="80">
        <v>715</v>
      </c>
      <c r="C32" s="93" t="str">
        <f>IF(MasterSheet!$A$1=1,MasterSheet!C98,MasterSheet!B98)</f>
        <v>Ostali prihodi</v>
      </c>
      <c r="D32" s="154">
        <v>29530041.649999999</v>
      </c>
      <c r="E32" s="301">
        <f t="shared" si="0"/>
        <v>0.87027102139081747</v>
      </c>
      <c r="F32" s="154">
        <v>31410770.914738216</v>
      </c>
      <c r="G32" s="301">
        <f t="shared" si="1"/>
        <v>0.92569743079391176</v>
      </c>
      <c r="H32" s="209">
        <f t="shared" si="2"/>
        <v>-1880729.264738217</v>
      </c>
      <c r="I32" s="314">
        <f t="shared" si="3"/>
        <v>-5.9875297866559549</v>
      </c>
      <c r="J32" s="154">
        <v>33675751.280000001</v>
      </c>
      <c r="K32" s="301">
        <f t="shared" si="4"/>
        <v>1.0121957102494741</v>
      </c>
      <c r="L32" s="209">
        <f t="shared" si="5"/>
        <v>-4145709.6300000027</v>
      </c>
      <c r="M32" s="314">
        <f t="shared" si="6"/>
        <v>-12.310667089592556</v>
      </c>
      <c r="BX32" s="81"/>
      <c r="BY32" s="81"/>
      <c r="BZ32" s="81"/>
      <c r="CA32" s="81"/>
      <c r="CB32" s="81"/>
    </row>
    <row r="33" spans="1:81">
      <c r="B33" s="80">
        <v>73</v>
      </c>
      <c r="C33" s="101" t="str">
        <f>IF(MasterSheet!$A$1=1,MasterSheet!C103,MasterSheet!B103)</f>
        <v>Primici od otplate kredita i sredstva prenijeta iz prethodne godine</v>
      </c>
      <c r="D33" s="154">
        <v>7382202.0500000007</v>
      </c>
      <c r="E33" s="301">
        <f t="shared" si="0"/>
        <v>0.21755866768873613</v>
      </c>
      <c r="F33" s="154">
        <v>7046262.4871663069</v>
      </c>
      <c r="G33" s="301">
        <f t="shared" si="1"/>
        <v>0.20765829335340691</v>
      </c>
      <c r="H33" s="209">
        <f t="shared" si="2"/>
        <v>335939.56283369381</v>
      </c>
      <c r="I33" s="314">
        <f t="shared" si="3"/>
        <v>4.7676277096624773</v>
      </c>
      <c r="J33" s="154">
        <v>8543082.6699999999</v>
      </c>
      <c r="K33" s="301">
        <f t="shared" si="4"/>
        <v>0.25678036278929967</v>
      </c>
      <c r="L33" s="209">
        <f t="shared" si="5"/>
        <v>-1160880.6199999992</v>
      </c>
      <c r="M33" s="314">
        <f t="shared" si="6"/>
        <v>-13.588544847828317</v>
      </c>
      <c r="BW33" s="100"/>
      <c r="BX33" s="100"/>
      <c r="BY33" s="99"/>
      <c r="BZ33" s="145"/>
      <c r="CA33" s="145"/>
      <c r="CB33" s="145"/>
      <c r="CC33" s="142"/>
    </row>
    <row r="34" spans="1:81" ht="13.5" customHeight="1" thickBot="1">
      <c r="B34" s="80">
        <v>74</v>
      </c>
      <c r="C34" s="93" t="s">
        <v>123</v>
      </c>
      <c r="D34" s="154">
        <v>5470125.4299999997</v>
      </c>
      <c r="E34" s="301">
        <f t="shared" si="0"/>
        <v>0.1612084297585806</v>
      </c>
      <c r="F34" s="154">
        <v>8000000.0000000009</v>
      </c>
      <c r="G34" s="301">
        <f t="shared" si="1"/>
        <v>0.23576560621364856</v>
      </c>
      <c r="H34" s="209">
        <f t="shared" si="2"/>
        <v>-2529874.5700000012</v>
      </c>
      <c r="I34" s="314">
        <f t="shared" si="3"/>
        <v>-31.623432125000022</v>
      </c>
      <c r="J34" s="154">
        <v>6614007.7100000009</v>
      </c>
      <c r="K34" s="301">
        <f t="shared" si="4"/>
        <v>0.19879794740006013</v>
      </c>
      <c r="L34" s="209">
        <f t="shared" si="5"/>
        <v>-1143882.2800000012</v>
      </c>
      <c r="M34" s="314">
        <f t="shared" si="6"/>
        <v>-17.294843461862257</v>
      </c>
      <c r="BX34" s="161"/>
      <c r="BY34" s="161"/>
      <c r="BZ34" s="145"/>
      <c r="CA34" s="145"/>
      <c r="CB34" s="145"/>
      <c r="CC34" s="142"/>
    </row>
    <row r="35" spans="1:81" ht="15" customHeight="1" thickTop="1" thickBot="1">
      <c r="B35" s="102"/>
      <c r="C35" s="90" t="s">
        <v>471</v>
      </c>
      <c r="D35" s="91">
        <f>+D37+D48+SUM(D54:D60)</f>
        <v>1454424592.8400002</v>
      </c>
      <c r="E35" s="303">
        <f t="shared" si="0"/>
        <v>42.862911977870191</v>
      </c>
      <c r="F35" s="91">
        <f>+F37+F48+SUM(F54:F60)</f>
        <v>1327566137.4021852</v>
      </c>
      <c r="G35" s="308">
        <f t="shared" si="1"/>
        <v>39.124304396667256</v>
      </c>
      <c r="H35" s="91">
        <f t="shared" si="2"/>
        <v>126858455.43781495</v>
      </c>
      <c r="I35" s="303">
        <f t="shared" si="3"/>
        <v>9.5557164244980441</v>
      </c>
      <c r="J35" s="91">
        <f>+J37+J48+SUM(J54:J59)</f>
        <v>1444789714.3500004</v>
      </c>
      <c r="K35" s="303">
        <f t="shared" si="4"/>
        <v>43.426201212804337</v>
      </c>
      <c r="L35" s="91">
        <f t="shared" si="5"/>
        <v>9634878.4899997711</v>
      </c>
      <c r="M35" s="303">
        <f t="shared" si="6"/>
        <v>0.66687064520904471</v>
      </c>
      <c r="BX35" s="81"/>
      <c r="BY35" s="81"/>
      <c r="BZ35" s="145"/>
      <c r="CA35" s="145"/>
      <c r="CB35" s="145"/>
      <c r="CC35" s="142"/>
    </row>
    <row r="36" spans="1:81" ht="13.5" customHeight="1" thickTop="1" thickBot="1">
      <c r="C36" s="90" t="s">
        <v>63</v>
      </c>
      <c r="D36" s="91">
        <v>1379272218.5099998</v>
      </c>
      <c r="E36" s="303">
        <f t="shared" si="0"/>
        <v>40.648118841331751</v>
      </c>
      <c r="F36" s="91">
        <v>1237295637.402185</v>
      </c>
      <c r="G36" s="308">
        <f t="shared" si="1"/>
        <v>36.463969502203597</v>
      </c>
      <c r="H36" s="91">
        <f t="shared" si="2"/>
        <v>141976581.10781479</v>
      </c>
      <c r="I36" s="303">
        <f t="shared" si="3"/>
        <v>11.474749996363641</v>
      </c>
      <c r="J36" s="162">
        <v>1367570486.9199996</v>
      </c>
      <c r="K36" s="303">
        <f t="shared" si="4"/>
        <v>41.10521451517883</v>
      </c>
      <c r="L36" s="91">
        <f t="shared" ref="L36:L72" si="7">+D36-J36</f>
        <v>11701731.590000153</v>
      </c>
      <c r="M36" s="303">
        <f t="shared" ref="M36:M72" si="8">+D36/J36*100-100</f>
        <v>0.85565838850139642</v>
      </c>
      <c r="N36" s="220"/>
      <c r="BX36" s="161"/>
      <c r="BY36" s="161"/>
      <c r="BZ36" s="145"/>
      <c r="CA36" s="145"/>
      <c r="CB36" s="145"/>
      <c r="CC36" s="142"/>
    </row>
    <row r="37" spans="1:81" ht="13.5" customHeight="1" thickTop="1">
      <c r="A37" s="80">
        <v>41</v>
      </c>
      <c r="C37" s="93" t="s">
        <v>456</v>
      </c>
      <c r="D37" s="94">
        <f>+SUM(D38:D47)</f>
        <v>691525208.71000016</v>
      </c>
      <c r="E37" s="301">
        <f t="shared" si="0"/>
        <v>20.379732505441623</v>
      </c>
      <c r="F37" s="94">
        <f>+SUM(F38:F47)</f>
        <v>632117541.03999972</v>
      </c>
      <c r="G37" s="309">
        <f t="shared" si="1"/>
        <v>18.628946907697046</v>
      </c>
      <c r="H37" s="207">
        <f t="shared" si="2"/>
        <v>59407667.670000434</v>
      </c>
      <c r="I37" s="314">
        <f t="shared" si="3"/>
        <v>9.3981995140111536</v>
      </c>
      <c r="J37" s="94">
        <f>+SUM(J38:J47)</f>
        <v>605642630.86000013</v>
      </c>
      <c r="K37" s="301">
        <f t="shared" si="4"/>
        <v>18.203866271716265</v>
      </c>
      <c r="L37" s="207">
        <f t="shared" si="7"/>
        <v>85882577.850000024</v>
      </c>
      <c r="M37" s="314">
        <f t="shared" si="8"/>
        <v>14.180404990323822</v>
      </c>
      <c r="BX37" s="161"/>
      <c r="BY37" s="161"/>
      <c r="BZ37" s="145"/>
      <c r="CA37" s="145"/>
      <c r="CB37" s="145"/>
      <c r="CC37" s="142"/>
    </row>
    <row r="38" spans="1:81" ht="13.5" customHeight="1">
      <c r="B38" s="80">
        <v>411</v>
      </c>
      <c r="C38" s="93" t="s">
        <v>64</v>
      </c>
      <c r="D38" s="154">
        <v>387343216.04000008</v>
      </c>
      <c r="E38" s="301">
        <f t="shared" si="0"/>
        <v>11.415276017801856</v>
      </c>
      <c r="F38" s="154">
        <v>386343691.71999985</v>
      </c>
      <c r="G38" s="309">
        <f t="shared" si="1"/>
        <v>11.385819335648089</v>
      </c>
      <c r="H38" s="209">
        <f t="shared" si="2"/>
        <v>999524.32000023127</v>
      </c>
      <c r="I38" s="314">
        <f t="shared" si="3"/>
        <v>0.25871376741012853</v>
      </c>
      <c r="J38" s="154">
        <v>371004370.17000002</v>
      </c>
      <c r="K38" s="301">
        <f t="shared" si="4"/>
        <v>11.151318610459874</v>
      </c>
      <c r="L38" s="209">
        <f t="shared" si="7"/>
        <v>16338845.870000064</v>
      </c>
      <c r="M38" s="314">
        <f t="shared" si="8"/>
        <v>4.4039497061755242</v>
      </c>
      <c r="BX38" s="161"/>
      <c r="BY38" s="161"/>
      <c r="BZ38" s="145"/>
      <c r="CA38" s="145"/>
      <c r="CB38" s="145"/>
      <c r="CC38" s="142"/>
    </row>
    <row r="39" spans="1:81" ht="13.5" customHeight="1">
      <c r="B39" s="80">
        <v>412</v>
      </c>
      <c r="C39" s="93" t="s">
        <v>75</v>
      </c>
      <c r="D39" s="154">
        <v>11826015.559999991</v>
      </c>
      <c r="E39" s="301">
        <f t="shared" si="0"/>
        <v>0.34852096594942977</v>
      </c>
      <c r="F39" s="154">
        <v>11478163.960000001</v>
      </c>
      <c r="G39" s="309">
        <f t="shared" si="1"/>
        <v>0.33826953553113159</v>
      </c>
      <c r="H39" s="209">
        <f t="shared" si="2"/>
        <v>347851.59999999031</v>
      </c>
      <c r="I39" s="314">
        <f t="shared" si="3"/>
        <v>3.0305508896040436</v>
      </c>
      <c r="J39" s="154">
        <v>12022159.040000001</v>
      </c>
      <c r="K39" s="301">
        <f t="shared" si="4"/>
        <v>0.36135133874361286</v>
      </c>
      <c r="L39" s="209">
        <f t="shared" si="7"/>
        <v>-196143.48000000976</v>
      </c>
      <c r="M39" s="314">
        <f t="shared" si="8"/>
        <v>-1.6315162638208704</v>
      </c>
      <c r="BX39" s="161"/>
      <c r="BY39" s="161"/>
      <c r="BZ39" s="145"/>
      <c r="CA39" s="145"/>
      <c r="CB39" s="145"/>
      <c r="CC39" s="142"/>
    </row>
    <row r="40" spans="1:81" ht="13.5" customHeight="1">
      <c r="B40" s="80">
        <v>413</v>
      </c>
      <c r="C40" s="93" t="s">
        <v>429</v>
      </c>
      <c r="D40" s="154">
        <v>28585285.350000001</v>
      </c>
      <c r="E40" s="301">
        <f t="shared" si="0"/>
        <v>0.84242839116660961</v>
      </c>
      <c r="F40" s="154">
        <v>30804729.912925873</v>
      </c>
      <c r="G40" s="309">
        <f t="shared" si="1"/>
        <v>0.90783697777108519</v>
      </c>
      <c r="H40" s="209">
        <f t="shared" si="2"/>
        <v>-2219444.5629258715</v>
      </c>
      <c r="I40" s="314">
        <f t="shared" si="3"/>
        <v>-7.2048823969548152</v>
      </c>
      <c r="J40" s="154">
        <v>27269260.95000001</v>
      </c>
      <c r="K40" s="301">
        <f t="shared" si="4"/>
        <v>0.81963513525698861</v>
      </c>
      <c r="L40" s="209">
        <f t="shared" si="7"/>
        <v>1316024.3999999911</v>
      </c>
      <c r="M40" s="314">
        <f t="shared" si="8"/>
        <v>4.8260361819596511</v>
      </c>
      <c r="BX40" s="161"/>
      <c r="BY40" s="161"/>
      <c r="BZ40" s="145"/>
      <c r="CA40" s="145"/>
      <c r="CB40" s="145"/>
      <c r="CC40" s="142"/>
    </row>
    <row r="41" spans="1:81" ht="13.5" customHeight="1">
      <c r="B41" s="80">
        <v>414</v>
      </c>
      <c r="C41" s="93" t="s">
        <v>430</v>
      </c>
      <c r="D41" s="154">
        <v>51906870.649999976</v>
      </c>
      <c r="E41" s="301">
        <f t="shared" si="0"/>
        <v>1.5297318531813355</v>
      </c>
      <c r="F41" s="154">
        <v>42662529.431537472</v>
      </c>
      <c r="G41" s="309">
        <f t="shared" si="1"/>
        <v>1.2572946392542568</v>
      </c>
      <c r="H41" s="209">
        <f t="shared" si="2"/>
        <v>9244341.2184625044</v>
      </c>
      <c r="I41" s="314">
        <f t="shared" si="3"/>
        <v>21.668525850764013</v>
      </c>
      <c r="J41" s="154">
        <v>47503423.43999999</v>
      </c>
      <c r="K41" s="301">
        <f t="shared" si="4"/>
        <v>1.427815552750225</v>
      </c>
      <c r="L41" s="209">
        <f t="shared" si="7"/>
        <v>4403447.209999986</v>
      </c>
      <c r="M41" s="314">
        <f t="shared" si="8"/>
        <v>9.2697470858323214</v>
      </c>
      <c r="BX41" s="161"/>
      <c r="BY41" s="161"/>
      <c r="BZ41" s="145"/>
      <c r="CA41" s="145"/>
      <c r="CB41" s="145"/>
      <c r="CC41" s="142"/>
    </row>
    <row r="42" spans="1:81" ht="13.5" customHeight="1">
      <c r="B42" s="80">
        <v>415</v>
      </c>
      <c r="C42" s="93" t="s">
        <v>431</v>
      </c>
      <c r="D42" s="154">
        <v>21275343.770000003</v>
      </c>
      <c r="E42" s="301">
        <f t="shared" si="0"/>
        <v>0.62699929016722766</v>
      </c>
      <c r="F42" s="154">
        <v>21654903.199999999</v>
      </c>
      <c r="G42" s="309">
        <f t="shared" si="1"/>
        <v>0.6381851725557347</v>
      </c>
      <c r="H42" s="209">
        <f t="shared" si="2"/>
        <v>-379559.42999999598</v>
      </c>
      <c r="I42" s="314">
        <f t="shared" si="3"/>
        <v>-1.7527643808631552</v>
      </c>
      <c r="J42" s="154">
        <v>20415784.169999998</v>
      </c>
      <c r="K42" s="301">
        <f t="shared" si="4"/>
        <v>0.61363944003606841</v>
      </c>
      <c r="L42" s="209">
        <f t="shared" si="7"/>
        <v>859559.60000000522</v>
      </c>
      <c r="M42" s="314">
        <f t="shared" si="8"/>
        <v>4.2102698228123216</v>
      </c>
      <c r="BX42" s="161"/>
      <c r="BY42" s="161"/>
      <c r="BZ42" s="145"/>
      <c r="CA42" s="145"/>
      <c r="CB42" s="145"/>
      <c r="CC42" s="142"/>
    </row>
    <row r="43" spans="1:81" ht="13.5" customHeight="1">
      <c r="B43" s="80">
        <v>416</v>
      </c>
      <c r="C43" s="93" t="s">
        <v>80</v>
      </c>
      <c r="D43" s="154">
        <v>74981970.939999998</v>
      </c>
      <c r="E43" s="301">
        <f t="shared" si="0"/>
        <v>2.2097712292204097</v>
      </c>
      <c r="F43" s="154">
        <v>75565362.129999995</v>
      </c>
      <c r="G43" s="309">
        <f t="shared" si="1"/>
        <v>2.2269641764166659</v>
      </c>
      <c r="H43" s="209">
        <f t="shared" si="2"/>
        <v>-583391.18999999762</v>
      </c>
      <c r="I43" s="314">
        <f t="shared" si="3"/>
        <v>-0.77203519384497099</v>
      </c>
      <c r="J43" s="154">
        <v>67922775.540000007</v>
      </c>
      <c r="K43" s="301">
        <f t="shared" si="4"/>
        <v>2.0415622344454465</v>
      </c>
      <c r="L43" s="209">
        <f t="shared" si="7"/>
        <v>7059195.3999999911</v>
      </c>
      <c r="M43" s="314">
        <f t="shared" si="8"/>
        <v>10.392972524868043</v>
      </c>
      <c r="BX43" s="161"/>
      <c r="BY43" s="161"/>
      <c r="BZ43" s="145"/>
      <c r="CA43" s="145"/>
      <c r="CB43" s="145"/>
      <c r="CC43" s="142"/>
    </row>
    <row r="44" spans="1:81" ht="13.5" customHeight="1">
      <c r="B44" s="80">
        <v>417</v>
      </c>
      <c r="C44" s="93" t="s">
        <v>82</v>
      </c>
      <c r="D44" s="154">
        <v>8048001.6999999993</v>
      </c>
      <c r="E44" s="301">
        <f t="shared" si="0"/>
        <v>0.23718024995112172</v>
      </c>
      <c r="F44" s="154">
        <v>8147802.1400000006</v>
      </c>
      <c r="G44" s="309">
        <f t="shared" si="1"/>
        <v>0.24012143885574536</v>
      </c>
      <c r="H44" s="209">
        <f t="shared" si="2"/>
        <v>-99800.440000001341</v>
      </c>
      <c r="I44" s="314">
        <f t="shared" si="3"/>
        <v>-1.2248755957149626</v>
      </c>
      <c r="J44" s="154">
        <v>7928041.8100000005</v>
      </c>
      <c r="K44" s="301">
        <f t="shared" si="4"/>
        <v>0.23829401292455665</v>
      </c>
      <c r="L44" s="209">
        <f t="shared" si="7"/>
        <v>119959.88999999873</v>
      </c>
      <c r="M44" s="314">
        <f t="shared" si="8"/>
        <v>1.5131086953740152</v>
      </c>
      <c r="BX44" s="161"/>
      <c r="BY44" s="161"/>
      <c r="BZ44" s="145"/>
      <c r="CA44" s="145"/>
      <c r="CB44" s="145"/>
      <c r="CC44" s="142"/>
    </row>
    <row r="45" spans="1:81" ht="13.5" customHeight="1">
      <c r="B45" s="80">
        <v>418</v>
      </c>
      <c r="C45" s="93" t="s">
        <v>84</v>
      </c>
      <c r="D45" s="154">
        <v>18426863.34</v>
      </c>
      <c r="E45" s="301">
        <f t="shared" si="0"/>
        <v>0.54305257574639454</v>
      </c>
      <c r="F45" s="154">
        <v>18874600</v>
      </c>
      <c r="G45" s="309">
        <f t="shared" si="1"/>
        <v>0.5562476888800163</v>
      </c>
      <c r="H45" s="209">
        <f t="shared" si="2"/>
        <v>-447736.66000000015</v>
      </c>
      <c r="I45" s="314">
        <f t="shared" si="3"/>
        <v>-2.3721650260137892</v>
      </c>
      <c r="J45" s="154">
        <v>17425749.960000001</v>
      </c>
      <c r="K45" s="301">
        <f t="shared" si="4"/>
        <v>0.52376765734896313</v>
      </c>
      <c r="L45" s="209">
        <f t="shared" si="7"/>
        <v>1001113.379999999</v>
      </c>
      <c r="M45" s="314">
        <f t="shared" si="8"/>
        <v>5.7450232116150488</v>
      </c>
      <c r="BX45" s="161"/>
      <c r="BY45" s="161"/>
      <c r="BZ45" s="145"/>
      <c r="CA45" s="145"/>
      <c r="CB45" s="145"/>
      <c r="CC45" s="142"/>
    </row>
    <row r="46" spans="1:81" ht="13.5" customHeight="1">
      <c r="B46" s="80">
        <v>419</v>
      </c>
      <c r="C46" s="93" t="s">
        <v>86</v>
      </c>
      <c r="D46" s="154">
        <v>24777222.48</v>
      </c>
      <c r="E46" s="301">
        <f t="shared" si="0"/>
        <v>0.73020210978595501</v>
      </c>
      <c r="F46" s="154">
        <v>26237795.225536641</v>
      </c>
      <c r="G46" s="309">
        <f t="shared" si="1"/>
        <v>0.7732462121322774</v>
      </c>
      <c r="H46" s="209">
        <f t="shared" si="2"/>
        <v>-1460572.7455366403</v>
      </c>
      <c r="I46" s="314">
        <f t="shared" si="3"/>
        <v>-5.5666748405563453</v>
      </c>
      <c r="J46" s="154">
        <v>21938835.190000005</v>
      </c>
      <c r="K46" s="301">
        <f>+J45/$J$11*100</f>
        <v>0.52376765734896313</v>
      </c>
      <c r="L46" s="209">
        <f t="shared" si="7"/>
        <v>2838387.2899999954</v>
      </c>
      <c r="M46" s="314">
        <f t="shared" si="8"/>
        <v>12.937730127503613</v>
      </c>
      <c r="BX46" s="161"/>
      <c r="BY46" s="161"/>
      <c r="BZ46" s="145"/>
      <c r="CA46" s="145"/>
      <c r="CB46" s="145"/>
      <c r="CC46" s="142"/>
    </row>
    <row r="47" spans="1:81" ht="13.5" customHeight="1">
      <c r="B47" s="80">
        <v>441</v>
      </c>
      <c r="C47" s="93" t="s">
        <v>130</v>
      </c>
      <c r="D47" s="154">
        <v>64354418.879999995</v>
      </c>
      <c r="E47" s="304">
        <f t="shared" si="0"/>
        <v>1.8965698224712835</v>
      </c>
      <c r="F47" s="154">
        <v>10347963.32</v>
      </c>
      <c r="G47" s="309">
        <f t="shared" si="1"/>
        <v>0.3049617306520499</v>
      </c>
      <c r="H47" s="209">
        <f t="shared" si="2"/>
        <v>54006455.559999995</v>
      </c>
      <c r="I47" s="316">
        <f t="shared" si="3"/>
        <v>521.90420365734337</v>
      </c>
      <c r="J47" s="154">
        <v>12212230.590000002</v>
      </c>
      <c r="K47" s="304">
        <f>+J46/$J$11*100</f>
        <v>0.65941794980462898</v>
      </c>
      <c r="L47" s="209">
        <f t="shared" si="7"/>
        <v>52142188.289999992</v>
      </c>
      <c r="M47" s="316">
        <f t="shared" si="8"/>
        <v>426.96694846801108</v>
      </c>
      <c r="BX47" s="161"/>
      <c r="BY47" s="161"/>
      <c r="BZ47" s="145"/>
      <c r="CA47" s="145"/>
      <c r="CB47" s="145"/>
      <c r="CC47" s="142"/>
    </row>
    <row r="48" spans="1:81" ht="13.5" customHeight="1">
      <c r="A48" s="80">
        <v>42</v>
      </c>
      <c r="B48" s="80" t="s">
        <v>428</v>
      </c>
      <c r="C48" s="93" t="s">
        <v>87</v>
      </c>
      <c r="D48" s="154">
        <f>+SUM(D49:D53)</f>
        <v>492148010.12</v>
      </c>
      <c r="E48" s="301">
        <f t="shared" si="0"/>
        <v>14.503946744097828</v>
      </c>
      <c r="F48" s="154">
        <f>+SUM(F49:F53)</f>
        <v>494723398.97000009</v>
      </c>
      <c r="G48" s="309">
        <f t="shared" si="1"/>
        <v>14.579845258279848</v>
      </c>
      <c r="H48" s="207">
        <f t="shared" si="2"/>
        <v>-2575388.8500000834</v>
      </c>
      <c r="I48" s="314">
        <f t="shared" si="3"/>
        <v>-0.52057146586597014</v>
      </c>
      <c r="J48" s="154">
        <f>+SUM(J49:J53)</f>
        <v>482967420.4799999</v>
      </c>
      <c r="K48" s="301">
        <f t="shared" si="4"/>
        <v>14.516604162308383</v>
      </c>
      <c r="L48" s="207">
        <f t="shared" si="7"/>
        <v>9180589.6400001049</v>
      </c>
      <c r="M48" s="314">
        <f t="shared" si="8"/>
        <v>1.9008714150689343</v>
      </c>
      <c r="BX48" s="161"/>
      <c r="BY48" s="161"/>
      <c r="BZ48" s="145"/>
      <c r="CA48" s="145"/>
      <c r="CB48" s="145"/>
      <c r="CC48" s="142"/>
    </row>
    <row r="49" spans="1:81" ht="13.5" customHeight="1">
      <c r="B49" s="80">
        <v>421</v>
      </c>
      <c r="C49" s="97" t="s">
        <v>89</v>
      </c>
      <c r="D49" s="156">
        <v>61864914.019999996</v>
      </c>
      <c r="E49" s="302">
        <f t="shared" si="0"/>
        <v>1.8232023696600681</v>
      </c>
      <c r="F49" s="156">
        <v>58645000.000000007</v>
      </c>
      <c r="G49" s="310">
        <f t="shared" si="1"/>
        <v>1.7283092470499275</v>
      </c>
      <c r="H49" s="210">
        <f t="shared" si="2"/>
        <v>3219914.0199999884</v>
      </c>
      <c r="I49" s="315">
        <f t="shared" si="3"/>
        <v>5.4905175547787337</v>
      </c>
      <c r="J49" s="156">
        <v>64036543.990000002</v>
      </c>
      <c r="K49" s="302">
        <f t="shared" si="4"/>
        <v>1.9247533510670274</v>
      </c>
      <c r="L49" s="210">
        <f t="shared" si="7"/>
        <v>-2171629.9700000063</v>
      </c>
      <c r="M49" s="315">
        <f t="shared" si="8"/>
        <v>-3.3912354332225192</v>
      </c>
      <c r="BX49" s="161"/>
      <c r="BY49" s="161"/>
      <c r="BZ49" s="145"/>
      <c r="CA49" s="145"/>
      <c r="CB49" s="145"/>
      <c r="CC49" s="142"/>
    </row>
    <row r="50" spans="1:81" ht="13.5" customHeight="1">
      <c r="B50" s="80">
        <v>422</v>
      </c>
      <c r="C50" s="97" t="s">
        <v>91</v>
      </c>
      <c r="D50" s="156">
        <v>22587777.399999995</v>
      </c>
      <c r="E50" s="302">
        <f t="shared" si="0"/>
        <v>0.66567762896624361</v>
      </c>
      <c r="F50" s="156">
        <v>17258124</v>
      </c>
      <c r="G50" s="310">
        <f t="shared" si="1"/>
        <v>0.50860900837128953</v>
      </c>
      <c r="H50" s="210">
        <f t="shared" si="2"/>
        <v>5329653.3999999948</v>
      </c>
      <c r="I50" s="315">
        <f t="shared" si="3"/>
        <v>30.881997371209025</v>
      </c>
      <c r="J50" s="156">
        <v>13086355.519999998</v>
      </c>
      <c r="K50" s="302">
        <f t="shared" si="4"/>
        <v>0.39333800781484818</v>
      </c>
      <c r="L50" s="210">
        <f t="shared" si="7"/>
        <v>9501421.8799999971</v>
      </c>
      <c r="M50" s="315">
        <f t="shared" si="8"/>
        <v>72.605561307568678</v>
      </c>
      <c r="BX50" s="161"/>
      <c r="BY50" s="161"/>
      <c r="BZ50" s="145"/>
      <c r="CA50" s="145"/>
      <c r="CB50" s="145"/>
      <c r="CC50" s="142"/>
    </row>
    <row r="51" spans="1:81" ht="13.5" customHeight="1">
      <c r="B51" s="80">
        <v>423</v>
      </c>
      <c r="C51" s="97" t="s">
        <v>93</v>
      </c>
      <c r="D51" s="156">
        <v>384390842.84999996</v>
      </c>
      <c r="E51" s="302">
        <f t="shared" si="0"/>
        <v>11.328267510938193</v>
      </c>
      <c r="F51" s="156">
        <v>397320274.97000009</v>
      </c>
      <c r="G51" s="310">
        <f t="shared" si="1"/>
        <v>11.70930693615945</v>
      </c>
      <c r="H51" s="210">
        <f t="shared" si="2"/>
        <v>-12929432.120000124</v>
      </c>
      <c r="I51" s="315">
        <f t="shared" si="3"/>
        <v>-3.2541586560052451</v>
      </c>
      <c r="J51" s="156">
        <v>383189899.51999992</v>
      </c>
      <c r="K51" s="302">
        <f t="shared" si="4"/>
        <v>11.517580388337839</v>
      </c>
      <c r="L51" s="210">
        <f t="shared" si="7"/>
        <v>1200943.3300000429</v>
      </c>
      <c r="M51" s="315">
        <f t="shared" si="8"/>
        <v>0.31340683340150122</v>
      </c>
      <c r="BX51" s="161"/>
      <c r="BY51" s="161"/>
      <c r="BZ51" s="145"/>
      <c r="CA51" s="145"/>
      <c r="CB51" s="145"/>
      <c r="CC51" s="142"/>
    </row>
    <row r="52" spans="1:81" ht="13.5" customHeight="1">
      <c r="B52" s="80">
        <v>424</v>
      </c>
      <c r="C52" s="97" t="s">
        <v>95</v>
      </c>
      <c r="D52" s="156">
        <v>15215135.74</v>
      </c>
      <c r="E52" s="302">
        <f t="shared" si="0"/>
        <v>0.44840071267050624</v>
      </c>
      <c r="F52" s="156">
        <v>14500000.000000002</v>
      </c>
      <c r="G52" s="310">
        <f t="shared" si="1"/>
        <v>0.42732516126223802</v>
      </c>
      <c r="H52" s="210">
        <f t="shared" si="2"/>
        <v>715135.73999999836</v>
      </c>
      <c r="I52" s="315">
        <f t="shared" si="3"/>
        <v>4.9319706206896399</v>
      </c>
      <c r="J52" s="156">
        <v>14792096.089999998</v>
      </c>
      <c r="K52" s="302">
        <f t="shared" si="4"/>
        <v>0.44460763721070024</v>
      </c>
      <c r="L52" s="210">
        <f t="shared" si="7"/>
        <v>423039.65000000224</v>
      </c>
      <c r="M52" s="315">
        <f t="shared" si="8"/>
        <v>2.8599033390946715</v>
      </c>
      <c r="BX52" s="161"/>
      <c r="BY52" s="161"/>
      <c r="BZ52" s="145"/>
      <c r="CA52" s="145"/>
      <c r="CB52" s="145"/>
      <c r="CC52" s="142"/>
    </row>
    <row r="53" spans="1:81" ht="13.5" customHeight="1">
      <c r="B53" s="80">
        <v>425</v>
      </c>
      <c r="C53" s="97" t="s">
        <v>432</v>
      </c>
      <c r="D53" s="156">
        <v>8089340.1100000003</v>
      </c>
      <c r="E53" s="302">
        <f t="shared" si="0"/>
        <v>0.23839852186281654</v>
      </c>
      <c r="F53" s="156">
        <v>6999999.9999999972</v>
      </c>
      <c r="G53" s="310">
        <f t="shared" si="1"/>
        <v>0.20629490543694234</v>
      </c>
      <c r="H53" s="210">
        <f t="shared" si="2"/>
        <v>1089340.1100000031</v>
      </c>
      <c r="I53" s="315">
        <f t="shared" si="3"/>
        <v>15.562001571428624</v>
      </c>
      <c r="J53" s="156">
        <v>7862525.3599999994</v>
      </c>
      <c r="K53" s="302">
        <f t="shared" si="4"/>
        <v>0.2363247778779681</v>
      </c>
      <c r="L53" s="210">
        <f t="shared" si="7"/>
        <v>226814.75000000093</v>
      </c>
      <c r="M53" s="315">
        <f t="shared" si="8"/>
        <v>2.8847569911049789</v>
      </c>
      <c r="BX53" s="161"/>
      <c r="BY53" s="161"/>
      <c r="BZ53" s="145"/>
      <c r="CA53" s="145"/>
      <c r="CB53" s="145"/>
      <c r="CC53" s="142"/>
    </row>
    <row r="54" spans="1:81" ht="13.5" customHeight="1" thickBot="1">
      <c r="A54" s="80">
        <v>43</v>
      </c>
      <c r="B54" s="80">
        <v>431</v>
      </c>
      <c r="C54" s="93" t="s">
        <v>433</v>
      </c>
      <c r="D54" s="154">
        <v>99049746.079999998</v>
      </c>
      <c r="E54" s="301">
        <f t="shared" si="0"/>
        <v>2.9190654287323947</v>
      </c>
      <c r="F54" s="154">
        <v>99460047.622185394</v>
      </c>
      <c r="G54" s="309">
        <f t="shared" si="1"/>
        <v>2.9311573027103615</v>
      </c>
      <c r="H54" s="207">
        <f t="shared" si="2"/>
        <v>-410301.54218539596</v>
      </c>
      <c r="I54" s="314">
        <f t="shared" si="3"/>
        <v>-0.41252900234272261</v>
      </c>
      <c r="J54" s="154">
        <v>94307026.210000023</v>
      </c>
      <c r="K54" s="301">
        <f t="shared" si="4"/>
        <v>2.8345965196874068</v>
      </c>
      <c r="L54" s="207">
        <f t="shared" si="7"/>
        <v>4742719.869999975</v>
      </c>
      <c r="M54" s="314">
        <f t="shared" si="8"/>
        <v>5.0290207003654643</v>
      </c>
      <c r="BX54" s="161"/>
      <c r="BY54" s="161"/>
      <c r="BZ54" s="145"/>
      <c r="CA54" s="145"/>
      <c r="CB54" s="145"/>
      <c r="CC54" s="142"/>
    </row>
    <row r="55" spans="1:81" ht="13.5" customHeight="1" thickTop="1" thickBot="1">
      <c r="B55" s="80">
        <v>44</v>
      </c>
      <c r="C55" s="90" t="s">
        <v>131</v>
      </c>
      <c r="D55" s="162">
        <v>75152374.330000043</v>
      </c>
      <c r="E55" s="303">
        <f t="shared" si="0"/>
        <v>2.2147931365384372</v>
      </c>
      <c r="F55" s="162">
        <v>90270500</v>
      </c>
      <c r="G55" s="308">
        <f t="shared" si="1"/>
        <v>2.6603348944636447</v>
      </c>
      <c r="H55" s="162">
        <f t="shared" si="2"/>
        <v>-15118125.669999957</v>
      </c>
      <c r="I55" s="303">
        <f t="shared" si="3"/>
        <v>-16.747581624118567</v>
      </c>
      <c r="J55" s="162">
        <v>77219227.430000067</v>
      </c>
      <c r="K55" s="303">
        <f t="shared" si="4"/>
        <v>2.3209866976254907</v>
      </c>
      <c r="L55" s="162">
        <f t="shared" si="7"/>
        <v>-2066853.1000000238</v>
      </c>
      <c r="M55" s="303">
        <f t="shared" si="8"/>
        <v>-2.676604219944636</v>
      </c>
      <c r="BX55" s="161"/>
      <c r="BY55" s="161"/>
      <c r="BZ55" s="145"/>
      <c r="CA55" s="145"/>
      <c r="CB55" s="145"/>
      <c r="CC55" s="142"/>
    </row>
    <row r="56" spans="1:81" ht="13.5" customHeight="1" thickTop="1">
      <c r="B56" s="80">
        <v>451</v>
      </c>
      <c r="C56" s="93" t="s">
        <v>111</v>
      </c>
      <c r="D56" s="154">
        <v>2484899.7699999996</v>
      </c>
      <c r="E56" s="301">
        <f t="shared" si="0"/>
        <v>7.3231737581775716E-2</v>
      </c>
      <c r="F56" s="154">
        <v>2139999.9999999995</v>
      </c>
      <c r="G56" s="309">
        <f t="shared" si="1"/>
        <v>6.3067299662150966E-2</v>
      </c>
      <c r="H56" s="209">
        <f t="shared" si="2"/>
        <v>344899.77</v>
      </c>
      <c r="I56" s="314">
        <f t="shared" si="3"/>
        <v>16.116811682242997</v>
      </c>
      <c r="J56" s="154">
        <v>2752781.9799999995</v>
      </c>
      <c r="K56" s="301">
        <f t="shared" si="4"/>
        <v>8.2740666666666657E-2</v>
      </c>
      <c r="L56" s="154">
        <f t="shared" si="7"/>
        <v>-267882.20999999996</v>
      </c>
      <c r="M56" s="314">
        <f t="shared" si="8"/>
        <v>-9.7313267794640268</v>
      </c>
      <c r="BX56" s="161"/>
      <c r="BY56" s="161"/>
      <c r="BZ56" s="145"/>
      <c r="CA56" s="145"/>
      <c r="CB56" s="145"/>
      <c r="CC56" s="142"/>
    </row>
    <row r="57" spans="1:81" ht="13.5" customHeight="1" thickBot="1">
      <c r="B57" s="80">
        <v>47</v>
      </c>
      <c r="C57" s="93" t="s">
        <v>118</v>
      </c>
      <c r="D57" s="154">
        <v>13532542.719999999</v>
      </c>
      <c r="E57" s="301">
        <f t="shared" si="0"/>
        <v>0.39881351724911196</v>
      </c>
      <c r="F57" s="154">
        <v>8854649.7699999977</v>
      </c>
      <c r="G57" s="309">
        <f t="shared" si="1"/>
        <v>0.26095273385419915</v>
      </c>
      <c r="H57" s="209">
        <f t="shared" si="2"/>
        <v>4677892.9500000011</v>
      </c>
      <c r="I57" s="314">
        <f t="shared" si="3"/>
        <v>52.829790804927597</v>
      </c>
      <c r="J57" s="154">
        <v>14126844.789999999</v>
      </c>
      <c r="K57" s="301">
        <f t="shared" si="4"/>
        <v>0.42461210670273519</v>
      </c>
      <c r="L57" s="154">
        <f t="shared" si="7"/>
        <v>-594302.0700000003</v>
      </c>
      <c r="M57" s="314">
        <f t="shared" si="8"/>
        <v>-4.2068988428377878</v>
      </c>
      <c r="BX57" s="161"/>
      <c r="BY57" s="161"/>
      <c r="BZ57" s="145"/>
      <c r="CA57" s="145"/>
      <c r="CB57" s="145"/>
      <c r="CC57" s="142"/>
    </row>
    <row r="58" spans="1:81" ht="13.5" customHeight="1" thickTop="1" thickBot="1">
      <c r="B58" s="80">
        <v>462</v>
      </c>
      <c r="C58" s="148" t="s">
        <v>113</v>
      </c>
      <c r="D58" s="163">
        <v>15258930.949999999</v>
      </c>
      <c r="E58" s="305">
        <f t="shared" si="0"/>
        <v>0.4496913881998692</v>
      </c>
      <c r="F58" s="163">
        <v>0</v>
      </c>
      <c r="G58" s="311">
        <f t="shared" si="1"/>
        <v>0</v>
      </c>
      <c r="H58" s="211">
        <f t="shared" si="2"/>
        <v>15258930.949999999</v>
      </c>
      <c r="I58" s="317" t="str">
        <f t="shared" si="3"/>
        <v>...</v>
      </c>
      <c r="J58" s="163">
        <v>107230592.5</v>
      </c>
      <c r="K58" s="305">
        <f t="shared" si="4"/>
        <v>3.2230415539525095</v>
      </c>
      <c r="L58" s="163">
        <f t="shared" si="7"/>
        <v>-91971661.549999997</v>
      </c>
      <c r="M58" s="320">
        <f t="shared" si="8"/>
        <v>-85.769983552035299</v>
      </c>
      <c r="BX58" s="161"/>
      <c r="BY58" s="161"/>
      <c r="BZ58" s="145"/>
      <c r="CA58" s="145"/>
      <c r="CB58" s="145"/>
      <c r="CC58" s="142"/>
    </row>
    <row r="59" spans="1:81" ht="13.5" customHeight="1" thickTop="1" thickBot="1">
      <c r="B59" s="80" t="s">
        <v>458</v>
      </c>
      <c r="C59" s="217" t="s">
        <v>457</v>
      </c>
      <c r="D59" s="218">
        <v>65272880.160000011</v>
      </c>
      <c r="E59" s="306">
        <f t="shared" si="0"/>
        <v>1.9236375200291544</v>
      </c>
      <c r="F59" s="218">
        <v>0</v>
      </c>
      <c r="G59" s="312">
        <f t="shared" si="1"/>
        <v>0</v>
      </c>
      <c r="H59" s="219">
        <f>+D59-F59</f>
        <v>65272880.160000011</v>
      </c>
      <c r="I59" s="318" t="str">
        <f>+IF(ISNUMBER(D59/F59*100-100),D59/F59*100-100,"...")</f>
        <v>...</v>
      </c>
      <c r="J59" s="218">
        <v>60543190.100000009</v>
      </c>
      <c r="K59" s="306">
        <f>+J59/$J$11*100</f>
        <v>1.8197532341448754</v>
      </c>
      <c r="L59" s="219">
        <f>+D59-J59</f>
        <v>4729690.0600000024</v>
      </c>
      <c r="M59" s="321">
        <f>+D59/J59*100-100</f>
        <v>7.8120925775267267</v>
      </c>
      <c r="BX59" s="161"/>
      <c r="BY59" s="161"/>
      <c r="BZ59" s="145"/>
      <c r="CA59" s="145"/>
      <c r="CB59" s="145"/>
      <c r="CC59" s="142"/>
    </row>
    <row r="60" spans="1:81" ht="13.5" customHeight="1" thickTop="1" thickBot="1">
      <c r="B60" s="80">
        <v>990</v>
      </c>
      <c r="C60" s="201" t="s">
        <v>152</v>
      </c>
      <c r="D60" s="154">
        <v>0</v>
      </c>
      <c r="E60" s="301">
        <f t="shared" si="0"/>
        <v>0</v>
      </c>
      <c r="F60" s="154">
        <v>0</v>
      </c>
      <c r="G60" s="309">
        <f t="shared" si="1"/>
        <v>0</v>
      </c>
      <c r="H60" s="209">
        <f t="shared" si="2"/>
        <v>0</v>
      </c>
      <c r="I60" s="319" t="str">
        <f t="shared" si="3"/>
        <v>...</v>
      </c>
      <c r="J60" s="154">
        <v>14438105.227299999</v>
      </c>
      <c r="K60" s="301">
        <f t="shared" si="4"/>
        <v>0.43396769544033659</v>
      </c>
      <c r="L60" s="154">
        <f t="shared" si="7"/>
        <v>-14438105.227299999</v>
      </c>
      <c r="M60" s="314">
        <f t="shared" si="8"/>
        <v>-100</v>
      </c>
      <c r="BX60" s="161"/>
      <c r="BY60" s="161"/>
      <c r="BZ60" s="145"/>
      <c r="CA60" s="145"/>
      <c r="CB60" s="145"/>
      <c r="CC60" s="142"/>
    </row>
    <row r="61" spans="1:81" ht="13.5" customHeight="1" thickTop="1" thickBot="1">
      <c r="C61" s="90" t="s">
        <v>453</v>
      </c>
      <c r="D61" s="91">
        <f>+D16-D35</f>
        <v>-102571416.25</v>
      </c>
      <c r="E61" s="303">
        <f t="shared" si="0"/>
        <v>-3.0228515165467162</v>
      </c>
      <c r="F61" s="91">
        <f>+F16-F35</f>
        <v>-51509737.965014935</v>
      </c>
      <c r="G61" s="308">
        <f t="shared" si="1"/>
        <v>-1.5180280746534915</v>
      </c>
      <c r="H61" s="91">
        <f t="shared" si="2"/>
        <v>-51061678.284985065</v>
      </c>
      <c r="I61" s="303">
        <f t="shared" si="3"/>
        <v>99.130145681707432</v>
      </c>
      <c r="J61" s="91">
        <f>+J16-J35-J60</f>
        <v>-215791311.38730031</v>
      </c>
      <c r="K61" s="303">
        <f t="shared" si="4"/>
        <v>-6.4860628610550144</v>
      </c>
      <c r="L61" s="91">
        <f t="shared" si="7"/>
        <v>113219895.13730031</v>
      </c>
      <c r="M61" s="303">
        <f t="shared" si="8"/>
        <v>-52.467309461822701</v>
      </c>
      <c r="BX61" s="161"/>
      <c r="BY61" s="161"/>
      <c r="BZ61" s="145"/>
      <c r="CA61" s="145"/>
      <c r="CB61" s="145"/>
      <c r="CC61" s="142"/>
    </row>
    <row r="62" spans="1:81" ht="13.5" customHeight="1" thickTop="1" thickBot="1">
      <c r="C62" s="90" t="s">
        <v>460</v>
      </c>
      <c r="D62" s="91">
        <f>+D61+D43</f>
        <v>-27589445.310000002</v>
      </c>
      <c r="E62" s="303">
        <f t="shared" si="0"/>
        <v>-0.81308028732630655</v>
      </c>
      <c r="F62" s="91">
        <f>+F61+F43</f>
        <v>24055624.164985061</v>
      </c>
      <c r="G62" s="308">
        <f t="shared" si="1"/>
        <v>0.70893610176317434</v>
      </c>
      <c r="H62" s="91">
        <f t="shared" si="2"/>
        <v>-51645069.474985063</v>
      </c>
      <c r="I62" s="303">
        <f t="shared" si="3"/>
        <v>-214.69020766527734</v>
      </c>
      <c r="J62" s="91">
        <f>+J61+J43</f>
        <v>-147868535.84730029</v>
      </c>
      <c r="K62" s="303">
        <f t="shared" si="4"/>
        <v>-4.4445006266095666</v>
      </c>
      <c r="L62" s="91">
        <f t="shared" si="7"/>
        <v>120279090.53730029</v>
      </c>
      <c r="M62" s="303">
        <f t="shared" si="8"/>
        <v>-81.341909452264503</v>
      </c>
      <c r="BX62" s="161"/>
      <c r="BY62" s="161"/>
      <c r="BZ62" s="145"/>
      <c r="CA62" s="145"/>
      <c r="CB62" s="145"/>
      <c r="CC62" s="142"/>
    </row>
    <row r="63" spans="1:81" ht="13.5" customHeight="1" thickTop="1" thickBot="1">
      <c r="C63" s="90" t="s">
        <v>461</v>
      </c>
      <c r="D63" s="91">
        <f>+SUM(D64:D66)</f>
        <v>209750952.28</v>
      </c>
      <c r="E63" s="303">
        <f t="shared" si="0"/>
        <v>6.1815075522730325</v>
      </c>
      <c r="F63" s="91">
        <f>+SUM(F64:F66)</f>
        <v>171426905.48999998</v>
      </c>
      <c r="G63" s="308">
        <f t="shared" si="1"/>
        <v>5.0520710367724595</v>
      </c>
      <c r="H63" s="91">
        <f t="shared" si="2"/>
        <v>38324046.790000021</v>
      </c>
      <c r="I63" s="303">
        <f t="shared" si="3"/>
        <v>22.355911215019631</v>
      </c>
      <c r="J63" s="91">
        <f>+SUM(J64:J66)</f>
        <v>174025451.75</v>
      </c>
      <c r="K63" s="303">
        <f t="shared" si="4"/>
        <v>5.2307018860835583</v>
      </c>
      <c r="L63" s="91">
        <f t="shared" si="7"/>
        <v>35725500.530000001</v>
      </c>
      <c r="M63" s="303">
        <f t="shared" si="8"/>
        <v>20.528894004149592</v>
      </c>
      <c r="BX63" s="161"/>
      <c r="BY63" s="161"/>
      <c r="BZ63" s="145"/>
      <c r="CA63" s="145"/>
      <c r="CB63" s="145"/>
      <c r="CC63" s="142"/>
    </row>
    <row r="64" spans="1:81" ht="13.5" customHeight="1" thickTop="1">
      <c r="B64" s="80">
        <v>4611</v>
      </c>
      <c r="C64" s="97" t="s">
        <v>462</v>
      </c>
      <c r="D64" s="156">
        <v>99756836.799999982</v>
      </c>
      <c r="E64" s="302">
        <f t="shared" si="0"/>
        <v>2.9399038877634998</v>
      </c>
      <c r="F64" s="156">
        <v>30008345.269999992</v>
      </c>
      <c r="G64" s="310">
        <f t="shared" si="1"/>
        <v>0.88436696425625261</v>
      </c>
      <c r="H64" s="210">
        <f t="shared" si="2"/>
        <v>69748491.529999986</v>
      </c>
      <c r="I64" s="315">
        <f t="shared" si="3"/>
        <v>232.43031530875214</v>
      </c>
      <c r="J64" s="156">
        <v>107621020.41999999</v>
      </c>
      <c r="K64" s="302">
        <f t="shared" si="4"/>
        <v>3.2347766883077846</v>
      </c>
      <c r="L64" s="210">
        <f t="shared" si="7"/>
        <v>-7864183.6200000048</v>
      </c>
      <c r="M64" s="315">
        <f t="shared" si="8"/>
        <v>-7.3072933050712408</v>
      </c>
      <c r="BX64" s="161"/>
      <c r="BY64" s="161"/>
      <c r="BZ64" s="145"/>
      <c r="CA64" s="145"/>
      <c r="CB64" s="145"/>
      <c r="CC64" s="142"/>
    </row>
    <row r="65" spans="2:81" ht="13.5" customHeight="1">
      <c r="B65" s="80">
        <v>4612</v>
      </c>
      <c r="C65" s="97" t="s">
        <v>463</v>
      </c>
      <c r="D65" s="156">
        <v>109994115.48000002</v>
      </c>
      <c r="E65" s="302">
        <f t="shared" si="0"/>
        <v>3.2416036645095332</v>
      </c>
      <c r="F65" s="156">
        <v>108080400.24999999</v>
      </c>
      <c r="G65" s="310">
        <f t="shared" si="1"/>
        <v>3.1852051355943765</v>
      </c>
      <c r="H65" s="210">
        <f t="shared" si="2"/>
        <v>1913715.230000034</v>
      </c>
      <c r="I65" s="315">
        <f t="shared" si="3"/>
        <v>1.7706403987896238</v>
      </c>
      <c r="J65" s="156">
        <v>66404431.329999998</v>
      </c>
      <c r="K65" s="302">
        <f t="shared" si="4"/>
        <v>1.9959251977757739</v>
      </c>
      <c r="L65" s="210">
        <f t="shared" si="7"/>
        <v>43589684.150000021</v>
      </c>
      <c r="M65" s="315">
        <f t="shared" si="8"/>
        <v>65.642733891325719</v>
      </c>
      <c r="BX65" s="161"/>
      <c r="BY65" s="161"/>
      <c r="BZ65" s="145"/>
      <c r="CA65" s="145"/>
      <c r="CB65" s="145"/>
      <c r="CC65" s="142"/>
    </row>
    <row r="66" spans="2:81" ht="13.5" customHeight="1" thickBot="1">
      <c r="B66" s="80" t="s">
        <v>459</v>
      </c>
      <c r="C66" s="97" t="s">
        <v>457</v>
      </c>
      <c r="D66" s="156"/>
      <c r="E66" s="302">
        <f t="shared" si="0"/>
        <v>0</v>
      </c>
      <c r="F66" s="156">
        <v>33338159.969999988</v>
      </c>
      <c r="G66" s="310">
        <f t="shared" si="1"/>
        <v>0.98249893692182977</v>
      </c>
      <c r="H66" s="210"/>
      <c r="I66" s="315"/>
      <c r="J66" s="156"/>
      <c r="K66" s="302"/>
      <c r="L66" s="210"/>
      <c r="M66" s="315"/>
      <c r="BX66" s="161"/>
      <c r="BY66" s="161"/>
      <c r="BZ66" s="145"/>
      <c r="CA66" s="145"/>
      <c r="CB66" s="145"/>
      <c r="CC66" s="142"/>
    </row>
    <row r="67" spans="2:81" ht="13.5" customHeight="1" thickTop="1" thickBot="1">
      <c r="C67" s="90" t="s">
        <v>141</v>
      </c>
      <c r="D67" s="91">
        <f>+D61-D63</f>
        <v>-312322368.52999997</v>
      </c>
      <c r="E67" s="303">
        <f t="shared" si="0"/>
        <v>-9.2043590688197483</v>
      </c>
      <c r="F67" s="91">
        <f>+F61-F63</f>
        <v>-222936643.45501491</v>
      </c>
      <c r="G67" s="308">
        <f t="shared" si="1"/>
        <v>-6.5700991114259519</v>
      </c>
      <c r="H67" s="91">
        <f t="shared" ref="H67:H72" si="9">+D67-F67</f>
        <v>-89385725.074985057</v>
      </c>
      <c r="I67" s="303">
        <f t="shared" ref="I67:I72" si="10">+IF(ISNUMBER(D67/F67*100-100),D67/F67*100-100,"...")</f>
        <v>40.094676088106496</v>
      </c>
      <c r="J67" s="91">
        <f>+J61-J63</f>
        <v>-389816763.13730031</v>
      </c>
      <c r="K67" s="303">
        <f t="shared" ref="K67:K72" si="11">+J67/$J$11*100</f>
        <v>-11.716764747138573</v>
      </c>
      <c r="L67" s="91">
        <f t="shared" si="7"/>
        <v>77494394.607300341</v>
      </c>
      <c r="M67" s="303">
        <f t="shared" si="8"/>
        <v>-19.87969783126168</v>
      </c>
      <c r="BX67" s="161"/>
      <c r="BY67" s="161"/>
      <c r="BZ67" s="145"/>
      <c r="CA67" s="145"/>
      <c r="CB67" s="145"/>
      <c r="CC67" s="142"/>
    </row>
    <row r="68" spans="2:81" ht="13.5" customHeight="1" thickTop="1" thickBot="1">
      <c r="C68" s="90" t="s">
        <v>121</v>
      </c>
      <c r="D68" s="91">
        <f>+SUM(D69:D72)</f>
        <v>312322368.52999997</v>
      </c>
      <c r="E68" s="303">
        <f t="shared" si="0"/>
        <v>9.2043590688197483</v>
      </c>
      <c r="F68" s="91">
        <f>+SUM(F69:F72)</f>
        <v>222936643.45501491</v>
      </c>
      <c r="G68" s="308">
        <f t="shared" si="1"/>
        <v>6.5700991114259519</v>
      </c>
      <c r="H68" s="91">
        <f t="shared" si="9"/>
        <v>89385725.074985057</v>
      </c>
      <c r="I68" s="303">
        <f t="shared" si="10"/>
        <v>40.094676088106496</v>
      </c>
      <c r="J68" s="91">
        <f>+SUM(J69:J72)</f>
        <v>389816763.13730031</v>
      </c>
      <c r="K68" s="303">
        <f t="shared" si="11"/>
        <v>11.716764747138573</v>
      </c>
      <c r="L68" s="91">
        <f t="shared" si="7"/>
        <v>-77494394.607300341</v>
      </c>
      <c r="M68" s="303">
        <f t="shared" si="8"/>
        <v>-19.87969783126168</v>
      </c>
      <c r="BX68" s="161"/>
      <c r="BY68" s="161"/>
      <c r="BZ68" s="145"/>
      <c r="CA68" s="145"/>
      <c r="CB68" s="145"/>
      <c r="CC68" s="142"/>
    </row>
    <row r="69" spans="2:81" ht="13.5" customHeight="1" thickTop="1">
      <c r="B69" s="80">
        <v>7511</v>
      </c>
      <c r="C69" s="97" t="s">
        <v>464</v>
      </c>
      <c r="D69" s="156">
        <v>104410759.67</v>
      </c>
      <c r="E69" s="302">
        <f t="shared" si="0"/>
        <v>3.0770582561031392</v>
      </c>
      <c r="F69" s="156">
        <v>0</v>
      </c>
      <c r="G69" s="310">
        <f t="shared" si="1"/>
        <v>0</v>
      </c>
      <c r="H69" s="210">
        <f t="shared" si="9"/>
        <v>104410759.67</v>
      </c>
      <c r="I69" s="315" t="str">
        <f t="shared" si="10"/>
        <v>...</v>
      </c>
      <c r="J69" s="156">
        <v>145350142</v>
      </c>
      <c r="K69" s="302">
        <f t="shared" si="11"/>
        <v>4.3688049894800125</v>
      </c>
      <c r="L69" s="210">
        <f t="shared" si="7"/>
        <v>-40939382.329999998</v>
      </c>
      <c r="M69" s="315">
        <f t="shared" si="8"/>
        <v>-28.166042197605833</v>
      </c>
      <c r="O69" s="100"/>
      <c r="BX69" s="161"/>
      <c r="BY69" s="161"/>
      <c r="BZ69" s="145"/>
      <c r="CA69" s="145"/>
      <c r="CB69" s="145"/>
      <c r="CC69" s="142"/>
    </row>
    <row r="70" spans="2:81" ht="13.5" customHeight="1">
      <c r="B70" s="80">
        <v>7512</v>
      </c>
      <c r="C70" s="97" t="s">
        <v>465</v>
      </c>
      <c r="D70" s="156">
        <v>205747503.70999998</v>
      </c>
      <c r="E70" s="302">
        <f t="shared" si="0"/>
        <v>6.0635231173916306</v>
      </c>
      <c r="F70" s="156">
        <v>227975575.86282948</v>
      </c>
      <c r="G70" s="310">
        <f t="shared" si="1"/>
        <v>6.7185999806507013</v>
      </c>
      <c r="H70" s="210">
        <f t="shared" si="9"/>
        <v>-22228072.152829498</v>
      </c>
      <c r="I70" s="315">
        <f t="shared" si="10"/>
        <v>-9.7501989275394578</v>
      </c>
      <c r="J70" s="156">
        <v>188517208.25000003</v>
      </c>
      <c r="K70" s="302">
        <f t="shared" si="11"/>
        <v>5.6662821836489341</v>
      </c>
      <c r="L70" s="210">
        <f t="shared" si="7"/>
        <v>17230295.459999949</v>
      </c>
      <c r="M70" s="315">
        <f t="shared" si="8"/>
        <v>9.1399059109501479</v>
      </c>
      <c r="O70" s="100"/>
      <c r="BX70" s="161"/>
      <c r="BY70" s="161"/>
      <c r="BZ70" s="145"/>
      <c r="CA70" s="145"/>
      <c r="CB70" s="145"/>
      <c r="CC70" s="142"/>
    </row>
    <row r="71" spans="2:81" ht="13.5" customHeight="1" thickBot="1">
      <c r="B71" s="80">
        <v>72</v>
      </c>
      <c r="C71" s="103" t="s">
        <v>402</v>
      </c>
      <c r="D71" s="156">
        <v>3918918.72</v>
      </c>
      <c r="E71" s="307">
        <f t="shared" si="0"/>
        <v>0.11549328096535194</v>
      </c>
      <c r="F71" s="156">
        <v>5000000</v>
      </c>
      <c r="G71" s="313">
        <f t="shared" si="1"/>
        <v>0.14735350388353033</v>
      </c>
      <c r="H71" s="210">
        <f t="shared" si="9"/>
        <v>-1081081.2799999998</v>
      </c>
      <c r="I71" s="315">
        <f t="shared" si="10"/>
        <v>-21.621625599999987</v>
      </c>
      <c r="J71" s="156">
        <v>11948846.35</v>
      </c>
      <c r="K71" s="307">
        <f t="shared" si="11"/>
        <v>0.35914777126540426</v>
      </c>
      <c r="L71" s="210">
        <f t="shared" si="7"/>
        <v>-8029927.629999999</v>
      </c>
      <c r="M71" s="315">
        <f t="shared" si="8"/>
        <v>-67.202534828812162</v>
      </c>
      <c r="O71" s="100"/>
      <c r="BX71" s="161"/>
      <c r="BY71" s="161"/>
      <c r="BZ71" s="145"/>
      <c r="CA71" s="145"/>
      <c r="CB71" s="145"/>
      <c r="CC71" s="142"/>
    </row>
    <row r="72" spans="2:81" ht="13.5" customHeight="1" thickTop="1" thickBot="1">
      <c r="C72" s="148" t="s">
        <v>466</v>
      </c>
      <c r="D72" s="163">
        <f>-D67-SUM(D69:D71)</f>
        <v>-1754813.5700000525</v>
      </c>
      <c r="E72" s="305">
        <f t="shared" si="0"/>
        <v>-5.1715585640374886E-2</v>
      </c>
      <c r="F72" s="163">
        <f>-F67-SUM(F69:F71)</f>
        <v>-10038932.407814562</v>
      </c>
      <c r="G72" s="311">
        <f t="shared" si="1"/>
        <v>-0.29585437310828033</v>
      </c>
      <c r="H72" s="208">
        <f t="shared" si="9"/>
        <v>8284118.8378145099</v>
      </c>
      <c r="I72" s="320">
        <f t="shared" si="10"/>
        <v>-82.519918466289695</v>
      </c>
      <c r="J72" s="163">
        <f>-J67-SUM(J69:J71)</f>
        <v>44000566.537300289</v>
      </c>
      <c r="K72" s="305">
        <f t="shared" si="11"/>
        <v>1.3225298027442227</v>
      </c>
      <c r="L72" s="208">
        <f t="shared" si="7"/>
        <v>-45755380.107300341</v>
      </c>
      <c r="M72" s="320">
        <f t="shared" si="8"/>
        <v>-103.98816130813329</v>
      </c>
      <c r="BX72" s="161"/>
      <c r="BY72" s="161"/>
      <c r="BZ72" s="145"/>
      <c r="CA72" s="145"/>
      <c r="CB72" s="145"/>
      <c r="CC72" s="142"/>
    </row>
    <row r="73" spans="2:81" s="189" customFormat="1" ht="13.5" thickTop="1">
      <c r="C73" s="190" t="str">
        <f>IF([1]MasterSheet!$A$1=1,[1]MasterSheet!C151,[1]MasterSheet!B151)</f>
        <v>Izvor: Ministarstvo finansija Crne Gore</v>
      </c>
      <c r="D73" s="195"/>
      <c r="E73" s="195"/>
      <c r="F73" s="194"/>
      <c r="G73" s="195"/>
      <c r="H73" s="195"/>
      <c r="I73" s="195"/>
      <c r="J73" s="194"/>
      <c r="K73" s="195"/>
      <c r="L73" s="195"/>
      <c r="M73" s="195"/>
    </row>
    <row r="74" spans="2:81" s="189" customFormat="1" ht="13.5" thickBot="1">
      <c r="C74" s="192"/>
      <c r="D74" s="191"/>
      <c r="E74" s="191"/>
      <c r="F74" s="196"/>
      <c r="G74" s="191"/>
      <c r="H74" s="191"/>
      <c r="I74" s="191"/>
      <c r="J74" s="196"/>
      <c r="K74" s="200"/>
      <c r="L74" s="191"/>
      <c r="M74" s="191"/>
    </row>
    <row r="75" spans="2:81" s="189" customFormat="1" ht="14.25" thickTop="1" thickBot="1">
      <c r="D75" s="163"/>
      <c r="E75" s="191"/>
      <c r="F75" s="199"/>
      <c r="G75" s="191"/>
      <c r="H75" s="191"/>
      <c r="I75" s="191"/>
      <c r="J75" s="199"/>
      <c r="K75" s="191"/>
      <c r="L75" s="191"/>
      <c r="M75" s="191"/>
    </row>
    <row r="76" spans="2:81" s="189" customFormat="1" ht="13.5" thickTop="1">
      <c r="F76" s="191"/>
      <c r="G76" s="191"/>
      <c r="H76" s="191"/>
      <c r="I76" s="191"/>
      <c r="J76" s="191"/>
      <c r="K76" s="191"/>
      <c r="L76" s="191"/>
      <c r="M76" s="191"/>
    </row>
    <row r="77" spans="2:81" s="189" customFormat="1">
      <c r="C77" s="193"/>
    </row>
  </sheetData>
  <sheetProtection formatCells="0" formatColumns="0" formatRows="0" sort="0" autoFilter="0"/>
  <mergeCells count="12">
    <mergeCell ref="D14:E14"/>
    <mergeCell ref="H14:I14"/>
    <mergeCell ref="D11:G11"/>
    <mergeCell ref="C14:C15"/>
    <mergeCell ref="L11:M11"/>
    <mergeCell ref="J14:K14"/>
    <mergeCell ref="F14:G14"/>
    <mergeCell ref="J11:K11"/>
    <mergeCell ref="L14:M14"/>
    <mergeCell ref="H11:I11"/>
    <mergeCell ref="J13:K13"/>
    <mergeCell ref="D13:E13"/>
  </mergeCells>
  <printOptions horizontalCentered="1" verticalCentered="1"/>
  <pageMargins left="0" right="0" top="0.19685039370078741" bottom="0.19685039370078741" header="0" footer="0"/>
  <pageSetup paperSize="9" scale="1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96" r:id="rId4" name="List Box 8">
              <controlPr defaultSize="0" autoLine="0" autoPict="0">
                <anchor moveWithCells="1">
                  <from>
                    <xdr:col>0</xdr:col>
                    <xdr:colOff>9525</xdr:colOff>
                    <xdr:row>0</xdr:row>
                    <xdr:rowOff>0</xdr:rowOff>
                  </from>
                  <to>
                    <xdr:col>2</xdr:col>
                    <xdr:colOff>1247775</xdr:colOff>
                    <xdr:row>9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CF92"/>
  <sheetViews>
    <sheetView topLeftCell="A19" zoomScale="85" zoomScaleNormal="85" workbookViewId="0">
      <selection activeCell="J62" sqref="J62"/>
    </sheetView>
  </sheetViews>
  <sheetFormatPr defaultColWidth="9.140625" defaultRowHeight="12.75"/>
  <cols>
    <col min="1" max="2" width="9.140625" style="80" customWidth="1"/>
    <col min="3" max="3" width="55.85546875" style="80" bestFit="1" customWidth="1"/>
    <col min="4" max="13" width="7.7109375" style="80" customWidth="1"/>
    <col min="14" max="14" width="6.85546875" style="80" customWidth="1"/>
    <col min="15" max="76" width="9.140625" style="80" customWidth="1"/>
    <col min="77" max="77" width="9.140625" style="80"/>
    <col min="78" max="78" width="15.42578125" style="80" customWidth="1"/>
    <col min="79" max="79" width="12.7109375" style="80" customWidth="1"/>
    <col min="80" max="80" width="11.85546875" style="80" customWidth="1"/>
    <col min="81" max="16384" width="9.140625" style="80"/>
  </cols>
  <sheetData>
    <row r="1" spans="2:76" ht="15" customHeight="1">
      <c r="C1" s="81"/>
      <c r="D1" s="82"/>
      <c r="E1" s="82"/>
      <c r="F1" s="82"/>
      <c r="G1" s="82"/>
      <c r="H1" s="82"/>
      <c r="I1" s="82"/>
      <c r="J1" s="82"/>
      <c r="K1" s="82"/>
      <c r="L1" s="82"/>
      <c r="M1" s="82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</row>
    <row r="2" spans="2:76" ht="15" hidden="1" customHeight="1">
      <c r="C2" s="81"/>
      <c r="D2" s="82"/>
      <c r="E2" s="82"/>
      <c r="F2" s="82"/>
      <c r="G2" s="82"/>
      <c r="H2" s="82"/>
      <c r="I2" s="82"/>
      <c r="J2" s="82"/>
      <c r="K2" s="82"/>
      <c r="L2" s="82"/>
      <c r="M2" s="82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</row>
    <row r="3" spans="2:76" ht="15" hidden="1" customHeight="1"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</row>
    <row r="4" spans="2:76" ht="15" hidden="1" customHeight="1">
      <c r="C4" s="81"/>
      <c r="D4" s="82"/>
      <c r="E4" s="82"/>
      <c r="F4" s="82"/>
      <c r="G4" s="82"/>
      <c r="H4" s="82"/>
      <c r="I4" s="82"/>
      <c r="J4" s="82"/>
      <c r="K4" s="82"/>
      <c r="L4" s="82"/>
      <c r="M4" s="82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</row>
    <row r="5" spans="2:76" ht="15" hidden="1" customHeight="1">
      <c r="C5" s="81"/>
      <c r="D5" s="82"/>
      <c r="E5" s="82"/>
      <c r="F5" s="82"/>
      <c r="G5" s="82"/>
      <c r="H5" s="82"/>
      <c r="I5" s="82"/>
      <c r="J5" s="82"/>
      <c r="K5" s="82"/>
      <c r="L5" s="82"/>
      <c r="M5" s="82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</row>
    <row r="6" spans="2:76" ht="15" hidden="1" customHeight="1">
      <c r="C6" s="81"/>
      <c r="D6" s="82"/>
      <c r="E6" s="82"/>
      <c r="F6" s="82"/>
      <c r="G6" s="82"/>
      <c r="H6" s="82"/>
      <c r="I6" s="82"/>
      <c r="J6" s="82"/>
      <c r="K6" s="82"/>
      <c r="L6" s="82"/>
      <c r="M6" s="82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</row>
    <row r="7" spans="2:76" ht="15" hidden="1" customHeight="1">
      <c r="C7" s="81"/>
      <c r="D7" s="82"/>
      <c r="E7" s="82"/>
      <c r="F7" s="82"/>
      <c r="G7" s="82"/>
      <c r="H7" s="82"/>
      <c r="I7" s="82"/>
      <c r="J7" s="82"/>
      <c r="K7" s="82"/>
      <c r="L7" s="82"/>
      <c r="M7" s="82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</row>
    <row r="8" spans="2:76" ht="15" hidden="1" customHeight="1">
      <c r="C8" s="81"/>
      <c r="D8" s="82"/>
      <c r="E8" s="82"/>
      <c r="F8" s="82"/>
      <c r="G8" s="82"/>
      <c r="H8" s="82"/>
      <c r="I8" s="82"/>
      <c r="J8" s="82"/>
      <c r="K8" s="82"/>
      <c r="L8" s="82"/>
      <c r="M8" s="82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</row>
    <row r="9" spans="2:76" ht="15" hidden="1" customHeight="1">
      <c r="C9" s="81"/>
      <c r="D9" s="82"/>
      <c r="E9" s="82"/>
      <c r="F9" s="82"/>
      <c r="G9" s="82"/>
      <c r="H9" s="82"/>
      <c r="I9" s="82"/>
      <c r="J9" s="82"/>
      <c r="K9" s="82"/>
      <c r="L9" s="82"/>
      <c r="M9" s="82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</row>
    <row r="10" spans="2:76" ht="15" customHeight="1" thickBot="1">
      <c r="C10" s="81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</row>
    <row r="11" spans="2:76" ht="18.75" customHeight="1" thickTop="1" thickBot="1">
      <c r="C11" s="151" t="s">
        <v>428</v>
      </c>
      <c r="D11" s="276">
        <f>+'Cental Budget'!D11:G11</f>
        <v>3393200615</v>
      </c>
      <c r="E11" s="277"/>
      <c r="F11" s="277"/>
      <c r="G11" s="278"/>
      <c r="H11" s="271"/>
      <c r="I11" s="272"/>
      <c r="J11" s="273">
        <f>+'Cental Budget'!J11:K11</f>
        <v>3327000000</v>
      </c>
      <c r="K11" s="274" t="e">
        <f>+'Cental Budget'!#REF!</f>
        <v>#REF!</v>
      </c>
      <c r="L11" s="271"/>
      <c r="M11" s="275"/>
      <c r="N11" s="205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</row>
    <row r="12" spans="2:76" ht="19.5" customHeight="1" thickTop="1">
      <c r="C12" s="81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4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</row>
    <row r="13" spans="2:76" ht="17.25" customHeight="1" thickBot="1">
      <c r="B13" s="85"/>
      <c r="C13" s="86"/>
      <c r="D13" s="279" t="s">
        <v>472</v>
      </c>
      <c r="E13" s="279"/>
      <c r="F13" s="86"/>
      <c r="G13" s="86"/>
      <c r="H13" s="86"/>
      <c r="I13" s="86"/>
      <c r="J13" s="279" t="s">
        <v>469</v>
      </c>
      <c r="K13" s="279"/>
      <c r="L13" s="86"/>
      <c r="M13" s="86"/>
      <c r="N13" s="84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</row>
    <row r="14" spans="2:76" ht="15.75" customHeight="1" thickTop="1">
      <c r="B14" s="87"/>
      <c r="C14" s="280" t="s">
        <v>259</v>
      </c>
      <c r="D14" s="269" t="s">
        <v>445</v>
      </c>
      <c r="E14" s="270"/>
      <c r="F14" s="269" t="s">
        <v>448</v>
      </c>
      <c r="G14" s="270"/>
      <c r="H14" s="269" t="str">
        <f>+'Cental Budget'!H14:I14</f>
        <v>Odstupanje</v>
      </c>
      <c r="I14" s="270"/>
      <c r="J14" s="269" t="s">
        <v>449</v>
      </c>
      <c r="K14" s="270"/>
      <c r="L14" s="269" t="str">
        <f>+H14</f>
        <v>Odstupanje</v>
      </c>
      <c r="M14" s="270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</row>
    <row r="15" spans="2:76" ht="15" customHeight="1" thickBot="1">
      <c r="C15" s="281" t="str">
        <f>IF(MasterSheet!$A$1=1,MasterSheet!B71,MasterSheet!B70)</f>
        <v>Budžet Crne Gore</v>
      </c>
      <c r="D15" s="152" t="str">
        <f>IF(MasterSheet!$A$1=1,MasterSheet!C71,MasterSheet!C70)</f>
        <v>mil. €</v>
      </c>
      <c r="E15" s="159" t="str">
        <f>IF(MasterSheet!$A$1=1,MasterSheet!D71,MasterSheet!D70)</f>
        <v>% BDP</v>
      </c>
      <c r="F15" s="152" t="str">
        <f>IF(MasterSheet!$A$1=1,MasterSheet!E71,MasterSheet!E70)</f>
        <v>mil. €</v>
      </c>
      <c r="G15" s="159" t="str">
        <f>IF(MasterSheet!$A$1=1,MasterSheet!F71,MasterSheet!F70)</f>
        <v>% BDP</v>
      </c>
      <c r="H15" s="152" t="str">
        <f>IF(MasterSheet!$A$1=1,MasterSheet!G71,MasterSheet!G70)</f>
        <v>mil. €</v>
      </c>
      <c r="I15" s="159" t="s">
        <v>442</v>
      </c>
      <c r="J15" s="152" t="str">
        <f>IF(MasterSheet!$A$1=1,MasterSheet!I71,MasterSheet!I70)</f>
        <v>mil. €</v>
      </c>
      <c r="K15" s="159" t="str">
        <f>IF(MasterSheet!$A$1=1,MasterSheet!J71,MasterSheet!J70)</f>
        <v>% BDP</v>
      </c>
      <c r="L15" s="152" t="str">
        <f>IF(MasterSheet!$A$1=1,MasterSheet!K71,MasterSheet!K70)</f>
        <v>mil. €</v>
      </c>
      <c r="M15" s="159" t="s">
        <v>442</v>
      </c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</row>
    <row r="16" spans="2:76" ht="15" customHeight="1" thickTop="1" thickBot="1">
      <c r="B16" s="80">
        <v>7</v>
      </c>
      <c r="C16" s="153" t="str">
        <f>IF(MasterSheet!$A$1=1,MasterSheet!C72,MasterSheet!B72)</f>
        <v>Izvorni prihodi</v>
      </c>
      <c r="D16" s="221">
        <f>+D17+D21+D27+D33+D38+D39</f>
        <v>209947203.81999999</v>
      </c>
      <c r="E16" s="322">
        <f>+D16/$D$11*100</f>
        <v>6.1872912226853405</v>
      </c>
      <c r="F16" s="221">
        <f>+F17+F21+F27+F33+F38+F39</f>
        <v>166103725.58537722</v>
      </c>
      <c r="G16" s="322">
        <f t="shared" ref="G16:G75" si="0">+F16/$D$11*100</f>
        <v>4.8951931946227472</v>
      </c>
      <c r="H16" s="221">
        <f>+D16-F16</f>
        <v>43843478.234622777</v>
      </c>
      <c r="I16" s="322">
        <f>+D16/F16*100-100</f>
        <v>26.395240732928201</v>
      </c>
      <c r="J16" s="221">
        <f>+J17+J21+J27+J33+J38+J39</f>
        <v>198952847.53</v>
      </c>
      <c r="K16" s="322">
        <f>+J16/$J$11*100</f>
        <v>5.9799473258190563</v>
      </c>
      <c r="L16" s="221">
        <f>+D16-J16</f>
        <v>10994356.289999992</v>
      </c>
      <c r="M16" s="322">
        <f>+D16/J16*100-100</f>
        <v>5.5261115518048456</v>
      </c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</row>
    <row r="17" spans="2:83" ht="15" customHeight="1" thickTop="1">
      <c r="B17" s="80">
        <v>711</v>
      </c>
      <c r="C17" s="93" t="str">
        <f>IF(MasterSheet!$A$1=1,MasterSheet!C73,MasterSheet!B73)</f>
        <v>Porezi</v>
      </c>
      <c r="D17" s="222">
        <f>+SUM(D18:D20)</f>
        <v>116900817.94</v>
      </c>
      <c r="E17" s="323">
        <f t="shared" ref="E17:E75" si="1">+D17/$D$11*100</f>
        <v>3.4451490260619324</v>
      </c>
      <c r="F17" s="222">
        <v>90384940.726539746</v>
      </c>
      <c r="G17" s="323">
        <f t="shared" si="0"/>
        <v>2.6637075428721664</v>
      </c>
      <c r="H17" s="223">
        <f t="shared" ref="H17:H75" si="2">+D17-F17</f>
        <v>26515877.213460252</v>
      </c>
      <c r="I17" s="333">
        <f t="shared" ref="I17:I74" si="3">+D17/F17*100-100</f>
        <v>29.336609616954007</v>
      </c>
      <c r="J17" s="222">
        <v>107819306.33999999</v>
      </c>
      <c r="K17" s="323">
        <f t="shared" ref="K17:K75" si="4">+J17/$J$11*100</f>
        <v>3.2407365897204685</v>
      </c>
      <c r="L17" s="223">
        <f t="shared" ref="L17:L75" si="5">+D17-J17</f>
        <v>9081511.6000000089</v>
      </c>
      <c r="M17" s="333">
        <f t="shared" ref="M17:M75" si="6">+D17/J17*100-100</f>
        <v>8.4228993009490836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</row>
    <row r="18" spans="2:83" ht="15" customHeight="1">
      <c r="B18" s="80">
        <v>7111</v>
      </c>
      <c r="C18" s="97" t="str">
        <f>IF(MasterSheet!$A$1=1,MasterSheet!C74,MasterSheet!B74)</f>
        <v>Porez na dohodak fizičkih lica</v>
      </c>
      <c r="D18" s="224">
        <v>32416791.079999998</v>
      </c>
      <c r="E18" s="324">
        <f t="shared" si="1"/>
        <v>0.95534555005967414</v>
      </c>
      <c r="F18" s="224">
        <v>25134580.325761147</v>
      </c>
      <c r="G18" s="324">
        <f t="shared" si="0"/>
        <v>0.74073369592859006</v>
      </c>
      <c r="H18" s="225">
        <f>+D18-F18</f>
        <v>7282210.7542388514</v>
      </c>
      <c r="I18" s="334">
        <f>+D18/F18*100-100</f>
        <v>28.972875854127977</v>
      </c>
      <c r="J18" s="224">
        <v>28533236.520000003</v>
      </c>
      <c r="K18" s="324">
        <f t="shared" si="4"/>
        <v>0.85762658611361597</v>
      </c>
      <c r="L18" s="225">
        <f>+D18-J18</f>
        <v>3883554.5599999949</v>
      </c>
      <c r="M18" s="334">
        <f>+D18/J18*100-100</f>
        <v>13.610634591970893</v>
      </c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</row>
    <row r="19" spans="2:83" ht="15" customHeight="1">
      <c r="B19" s="80">
        <v>7113</v>
      </c>
      <c r="C19" s="97" t="str">
        <f>IF(MasterSheet!$A$1=1,MasterSheet!C76,MasterSheet!B76)</f>
        <v>Porez na promet nepokretnosti</v>
      </c>
      <c r="D19" s="224">
        <v>13395045.350000001</v>
      </c>
      <c r="E19" s="324">
        <f t="shared" si="1"/>
        <v>0.39476137340025802</v>
      </c>
      <c r="F19" s="224">
        <v>14250360.400778597</v>
      </c>
      <c r="G19" s="324">
        <f t="shared" si="0"/>
        <v>0.41996810733156714</v>
      </c>
      <c r="H19" s="225">
        <f>+D19-F19</f>
        <v>-855315.05077859573</v>
      </c>
      <c r="I19" s="334">
        <f>+D19/F19*100-100</f>
        <v>-6.0020590828837186</v>
      </c>
      <c r="J19" s="224">
        <v>12690069.069999997</v>
      </c>
      <c r="K19" s="324">
        <f t="shared" si="4"/>
        <v>0.38142678298767646</v>
      </c>
      <c r="L19" s="225">
        <f>+D19-J19</f>
        <v>704976.28000000492</v>
      </c>
      <c r="M19" s="334">
        <f>+D19/J19*100-100</f>
        <v>5.5553383997460486</v>
      </c>
      <c r="O19" s="137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9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</row>
    <row r="20" spans="2:83" ht="15" customHeight="1">
      <c r="B20" s="80">
        <v>7117</v>
      </c>
      <c r="C20" s="97" t="s">
        <v>11</v>
      </c>
      <c r="D20" s="224">
        <v>71088981.510000005</v>
      </c>
      <c r="E20" s="324">
        <f t="shared" si="1"/>
        <v>2.0950421026020001</v>
      </c>
      <c r="F20" s="224">
        <v>51000000</v>
      </c>
      <c r="G20" s="324">
        <f t="shared" si="0"/>
        <v>1.5030057396120093</v>
      </c>
      <c r="H20" s="225">
        <f>+D20-F20</f>
        <v>20088981.510000005</v>
      </c>
      <c r="I20" s="334">
        <f>+D20/F20*100-100</f>
        <v>39.390159823529416</v>
      </c>
      <c r="J20" s="224">
        <v>66596000.749999985</v>
      </c>
      <c r="K20" s="324">
        <f t="shared" si="4"/>
        <v>2.0016832206191761</v>
      </c>
      <c r="L20" s="225">
        <f>+D20-J20</f>
        <v>4492980.7600000203</v>
      </c>
      <c r="M20" s="334">
        <f>+D20/J20*100-100</f>
        <v>6.7466224839334927</v>
      </c>
      <c r="O20" s="137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9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9"/>
      <c r="BB20" s="139"/>
      <c r="BC20" s="139"/>
      <c r="BD20" s="139"/>
      <c r="BE20" s="139"/>
      <c r="BF20" s="139"/>
      <c r="BG20" s="139"/>
      <c r="BH20" s="139"/>
      <c r="BI20" s="139"/>
      <c r="BJ20" s="139"/>
      <c r="BK20" s="139"/>
      <c r="BL20" s="139"/>
      <c r="BM20" s="138"/>
      <c r="BN20" s="138"/>
      <c r="BO20" s="138"/>
      <c r="BP20" s="138"/>
      <c r="BQ20" s="138"/>
      <c r="BR20" s="138"/>
      <c r="BS20" s="138"/>
      <c r="BT20" s="138"/>
      <c r="BU20" s="138"/>
      <c r="BV20" s="138"/>
      <c r="BW20" s="138"/>
      <c r="BX20" s="138"/>
    </row>
    <row r="21" spans="2:83" ht="15" customHeight="1">
      <c r="B21" s="80">
        <v>713</v>
      </c>
      <c r="C21" s="93" t="str">
        <f>IF(MasterSheet!$A$1=1,MasterSheet!C86,MasterSheet!B86)</f>
        <v>Takse</v>
      </c>
      <c r="D21" s="94">
        <f>+SUM(D22:D26)</f>
        <v>5746024.6000000006</v>
      </c>
      <c r="E21" s="301">
        <f t="shared" si="1"/>
        <v>0.16933937164219218</v>
      </c>
      <c r="F21" s="94">
        <v>7360619.3209339194</v>
      </c>
      <c r="G21" s="301">
        <f t="shared" si="0"/>
        <v>0.21692260953848491</v>
      </c>
      <c r="H21" s="207">
        <f t="shared" si="2"/>
        <v>-1614594.7209339188</v>
      </c>
      <c r="I21" s="314">
        <f t="shared" si="3"/>
        <v>-21.935582463040063</v>
      </c>
      <c r="J21" s="154">
        <v>6117329.8700000001</v>
      </c>
      <c r="K21" s="304">
        <f t="shared" si="4"/>
        <v>0.18386924767057408</v>
      </c>
      <c r="L21" s="207">
        <f t="shared" si="5"/>
        <v>-371305.26999999955</v>
      </c>
      <c r="M21" s="314">
        <f t="shared" si="6"/>
        <v>-6.0697277716037235</v>
      </c>
      <c r="O21" s="81"/>
      <c r="CA21" s="81"/>
      <c r="CB21" s="81"/>
      <c r="CC21" s="81"/>
    </row>
    <row r="22" spans="2:83" ht="15" customHeight="1">
      <c r="B22" s="80">
        <v>7131</v>
      </c>
      <c r="C22" s="97" t="str">
        <f>IF(MasterSheet!$A$1=1,MasterSheet!C87,MasterSheet!B87)</f>
        <v>Administrativne takse</v>
      </c>
      <c r="D22" s="224">
        <v>1456355.34</v>
      </c>
      <c r="E22" s="324">
        <f t="shared" si="1"/>
        <v>4.2919812449698024E-2</v>
      </c>
      <c r="F22" s="224">
        <v>2120410.3699403997</v>
      </c>
      <c r="G22" s="324">
        <f t="shared" si="0"/>
        <v>6.2489979536338135E-2</v>
      </c>
      <c r="H22" s="225">
        <f t="shared" si="2"/>
        <v>-664055.02994039957</v>
      </c>
      <c r="I22" s="334">
        <f t="shared" si="3"/>
        <v>-31.317288358623941</v>
      </c>
      <c r="J22" s="224">
        <v>1513336.0999999996</v>
      </c>
      <c r="K22" s="324">
        <f t="shared" si="4"/>
        <v>4.5486507363991568E-2</v>
      </c>
      <c r="L22" s="225">
        <f t="shared" si="5"/>
        <v>-56980.759999999544</v>
      </c>
      <c r="M22" s="334">
        <f t="shared" si="6"/>
        <v>-3.7652415745583312</v>
      </c>
      <c r="O22" s="81"/>
      <c r="CA22" s="81"/>
      <c r="CB22" s="81"/>
      <c r="CC22" s="81"/>
    </row>
    <row r="23" spans="2:83" ht="15" hidden="1" customHeight="1">
      <c r="B23" s="80">
        <v>7133</v>
      </c>
      <c r="C23" s="97" t="str">
        <f>IF(MasterSheet!$A$1=1,MasterSheet!C89,MasterSheet!B89)</f>
        <v>Boravišne takse</v>
      </c>
      <c r="D23" s="224"/>
      <c r="E23" s="324">
        <f t="shared" si="1"/>
        <v>0</v>
      </c>
      <c r="F23" s="224"/>
      <c r="G23" s="324">
        <f t="shared" si="0"/>
        <v>0</v>
      </c>
      <c r="H23" s="225">
        <f t="shared" si="2"/>
        <v>0</v>
      </c>
      <c r="I23" s="334" t="e">
        <f t="shared" si="3"/>
        <v>#DIV/0!</v>
      </c>
      <c r="J23" s="224"/>
      <c r="K23" s="324">
        <f t="shared" si="4"/>
        <v>0</v>
      </c>
      <c r="L23" s="225">
        <f t="shared" si="5"/>
        <v>0</v>
      </c>
      <c r="M23" s="334" t="e">
        <f t="shared" si="6"/>
        <v>#DIV/0!</v>
      </c>
      <c r="O23" s="81"/>
      <c r="CA23" s="140"/>
      <c r="CB23" s="140"/>
      <c r="CC23" s="140"/>
    </row>
    <row r="24" spans="2:83" ht="15" hidden="1" customHeight="1">
      <c r="B24" s="80">
        <v>7134</v>
      </c>
      <c r="C24" s="97" t="s">
        <v>435</v>
      </c>
      <c r="D24" s="224"/>
      <c r="E24" s="324">
        <f t="shared" si="1"/>
        <v>0</v>
      </c>
      <c r="F24" s="224"/>
      <c r="G24" s="324">
        <f t="shared" si="0"/>
        <v>0</v>
      </c>
      <c r="H24" s="225">
        <f t="shared" si="2"/>
        <v>0</v>
      </c>
      <c r="I24" s="334" t="e">
        <f t="shared" si="3"/>
        <v>#DIV/0!</v>
      </c>
      <c r="J24" s="224"/>
      <c r="K24" s="324">
        <f t="shared" si="4"/>
        <v>0</v>
      </c>
      <c r="L24" s="225">
        <f t="shared" si="5"/>
        <v>0</v>
      </c>
      <c r="M24" s="334" t="e">
        <f t="shared" si="6"/>
        <v>#DIV/0!</v>
      </c>
      <c r="O24" s="81"/>
      <c r="CA24" s="140"/>
      <c r="CB24" s="140"/>
      <c r="CC24" s="140"/>
    </row>
    <row r="25" spans="2:83" ht="15" customHeight="1">
      <c r="B25" s="80">
        <v>7135</v>
      </c>
      <c r="C25" s="97" t="s">
        <v>36</v>
      </c>
      <c r="D25" s="224">
        <v>3916037.5500000003</v>
      </c>
      <c r="E25" s="324">
        <f t="shared" si="1"/>
        <v>0.11540837086639513</v>
      </c>
      <c r="F25" s="224">
        <v>4934208.9509935202</v>
      </c>
      <c r="G25" s="324">
        <f t="shared" si="0"/>
        <v>0.14541459556447475</v>
      </c>
      <c r="H25" s="225">
        <f t="shared" si="2"/>
        <v>-1018171.4009935199</v>
      </c>
      <c r="I25" s="334">
        <f t="shared" si="3"/>
        <v>-20.634946981491481</v>
      </c>
      <c r="J25" s="224">
        <v>4326886.6500000004</v>
      </c>
      <c r="K25" s="324">
        <f t="shared" si="4"/>
        <v>0.13005370153291254</v>
      </c>
      <c r="L25" s="225">
        <f t="shared" si="5"/>
        <v>-410849.10000000009</v>
      </c>
      <c r="M25" s="334">
        <f t="shared" si="6"/>
        <v>-9.4952591374215984</v>
      </c>
      <c r="O25" s="81"/>
      <c r="CA25" s="140"/>
      <c r="CB25" s="140"/>
      <c r="CC25" s="140"/>
    </row>
    <row r="26" spans="2:83" ht="15" customHeight="1">
      <c r="B26" s="80">
        <v>7136</v>
      </c>
      <c r="C26" s="97" t="s">
        <v>37</v>
      </c>
      <c r="D26" s="224">
        <v>373631.71</v>
      </c>
      <c r="E26" s="324">
        <f t="shared" si="1"/>
        <v>1.1011188326099016E-2</v>
      </c>
      <c r="F26" s="224">
        <v>306000</v>
      </c>
      <c r="G26" s="324">
        <f t="shared" si="0"/>
        <v>9.018034437672056E-3</v>
      </c>
      <c r="H26" s="225">
        <f t="shared" si="2"/>
        <v>67631.710000000021</v>
      </c>
      <c r="I26" s="334">
        <f t="shared" si="3"/>
        <v>22.101866013071884</v>
      </c>
      <c r="J26" s="224">
        <v>277107.12</v>
      </c>
      <c r="K26" s="324">
        <f t="shared" si="4"/>
        <v>8.329038773669974E-3</v>
      </c>
      <c r="L26" s="225">
        <f t="shared" si="5"/>
        <v>96524.590000000026</v>
      </c>
      <c r="M26" s="334">
        <f t="shared" si="6"/>
        <v>34.832951964568792</v>
      </c>
      <c r="O26" s="81"/>
      <c r="CA26" s="140"/>
      <c r="CB26" s="140"/>
      <c r="CC26" s="140"/>
    </row>
    <row r="27" spans="2:83" ht="15" customHeight="1">
      <c r="B27" s="80">
        <v>714</v>
      </c>
      <c r="C27" s="93" t="str">
        <f>IF(MasterSheet!$A$1=1,MasterSheet!C91,MasterSheet!B91)</f>
        <v>Naknade</v>
      </c>
      <c r="D27" s="94">
        <f>+SUM(D28:D32)</f>
        <v>54511713.119999997</v>
      </c>
      <c r="E27" s="301">
        <f t="shared" si="1"/>
        <v>1.6064983861851623</v>
      </c>
      <c r="F27" s="94">
        <v>42023506.90126352</v>
      </c>
      <c r="G27" s="301">
        <f t="shared" si="0"/>
        <v>1.2384621974749794</v>
      </c>
      <c r="H27" s="207">
        <f t="shared" si="2"/>
        <v>12488206.218736477</v>
      </c>
      <c r="I27" s="314">
        <f t="shared" si="3"/>
        <v>29.717191970860938</v>
      </c>
      <c r="J27" s="154">
        <v>55001655.600000009</v>
      </c>
      <c r="K27" s="304">
        <f t="shared" si="4"/>
        <v>1.6531907303877369</v>
      </c>
      <c r="L27" s="207">
        <f t="shared" si="5"/>
        <v>-489942.48000001162</v>
      </c>
      <c r="M27" s="314">
        <f t="shared" si="6"/>
        <v>-0.89077769506272375</v>
      </c>
      <c r="O27" s="81"/>
      <c r="CA27" s="140"/>
      <c r="CB27" s="140"/>
      <c r="CC27" s="140"/>
    </row>
    <row r="28" spans="2:83" ht="15" customHeight="1">
      <c r="B28" s="80">
        <v>7141</v>
      </c>
      <c r="C28" s="97" t="str">
        <f>IF(MasterSheet!$A$1=1,MasterSheet!C92,MasterSheet!B92)</f>
        <v>Naknade za korišćenje dobara od opšteg interesa</v>
      </c>
      <c r="D28" s="226">
        <v>1634866.54</v>
      </c>
      <c r="E28" s="325">
        <f t="shared" si="1"/>
        <v>4.818066261018876E-2</v>
      </c>
      <c r="F28" s="226"/>
      <c r="G28" s="325">
        <f t="shared" si="0"/>
        <v>0</v>
      </c>
      <c r="H28" s="227">
        <f t="shared" si="2"/>
        <v>1634866.54</v>
      </c>
      <c r="I28" s="335" t="e">
        <f t="shared" si="3"/>
        <v>#DIV/0!</v>
      </c>
      <c r="J28" s="226">
        <v>2814567.4200000004</v>
      </c>
      <c r="K28" s="325">
        <f t="shared" si="4"/>
        <v>8.4597758340847623E-2</v>
      </c>
      <c r="L28" s="227">
        <f t="shared" si="5"/>
        <v>-1179700.8800000004</v>
      </c>
      <c r="M28" s="335">
        <f t="shared" si="6"/>
        <v>-41.914109842144065</v>
      </c>
      <c r="O28" s="81"/>
      <c r="CA28" s="140"/>
      <c r="CB28" s="140"/>
      <c r="CC28" s="140"/>
    </row>
    <row r="29" spans="2:83" ht="15" customHeight="1">
      <c r="B29" s="80">
        <v>7142</v>
      </c>
      <c r="C29" s="97" t="str">
        <f>IF(MasterSheet!$A$1=1,MasterSheet!C93,MasterSheet!B93)</f>
        <v>Naknade za korišćenje prirodnih dobara</v>
      </c>
      <c r="D29" s="228">
        <v>8205861.5300000003</v>
      </c>
      <c r="E29" s="302">
        <f t="shared" si="1"/>
        <v>0.24183248976571342</v>
      </c>
      <c r="F29" s="156">
        <v>5035307.972702112</v>
      </c>
      <c r="G29" s="302">
        <f t="shared" si="0"/>
        <v>0.14839405458206639</v>
      </c>
      <c r="H29" s="229">
        <f t="shared" si="2"/>
        <v>3170553.5572978882</v>
      </c>
      <c r="I29" s="315">
        <f t="shared" si="3"/>
        <v>62.966427763433586</v>
      </c>
      <c r="J29" s="156">
        <v>9299146.75</v>
      </c>
      <c r="K29" s="342">
        <f t="shared" si="4"/>
        <v>0.27950546287947098</v>
      </c>
      <c r="L29" s="229">
        <f t="shared" si="5"/>
        <v>-1093285.2199999997</v>
      </c>
      <c r="M29" s="315">
        <f t="shared" si="6"/>
        <v>-11.756833711652092</v>
      </c>
      <c r="O29" s="81"/>
      <c r="CA29" s="140"/>
      <c r="CB29" s="140"/>
      <c r="CC29" s="140"/>
    </row>
    <row r="30" spans="2:83" ht="15" customHeight="1">
      <c r="B30" s="80">
        <v>7146</v>
      </c>
      <c r="C30" s="97" t="s">
        <v>450</v>
      </c>
      <c r="D30" s="226">
        <v>38396294.159999996</v>
      </c>
      <c r="E30" s="302">
        <f t="shared" si="1"/>
        <v>1.1315656961237466</v>
      </c>
      <c r="F30" s="226">
        <v>33000000</v>
      </c>
      <c r="G30" s="302">
        <f t="shared" si="0"/>
        <v>0.97253312563130023</v>
      </c>
      <c r="H30" s="227">
        <f t="shared" si="2"/>
        <v>5396294.1599999964</v>
      </c>
      <c r="I30" s="315">
        <f t="shared" si="3"/>
        <v>16.352406545454528</v>
      </c>
      <c r="J30" s="226">
        <v>37025794.950000003</v>
      </c>
      <c r="K30" s="342">
        <f t="shared" si="4"/>
        <v>1.1128883363390443</v>
      </c>
      <c r="L30" s="227">
        <f t="shared" si="5"/>
        <v>1370499.2099999934</v>
      </c>
      <c r="M30" s="315">
        <f t="shared" si="6"/>
        <v>3.7014713981178033</v>
      </c>
      <c r="O30" s="81"/>
      <c r="CA30" s="140"/>
      <c r="CB30" s="140"/>
      <c r="CC30" s="140"/>
    </row>
    <row r="31" spans="2:83" ht="25.5">
      <c r="B31" s="158">
        <v>7147</v>
      </c>
      <c r="C31" s="157" t="s">
        <v>436</v>
      </c>
      <c r="D31" s="226">
        <v>1738569.8299999998</v>
      </c>
      <c r="E31" s="302">
        <f t="shared" si="1"/>
        <v>5.1236871239338726E-2</v>
      </c>
      <c r="F31" s="226">
        <v>3988198.9285614006</v>
      </c>
      <c r="G31" s="302">
        <f t="shared" si="0"/>
        <v>0.11753501726161276</v>
      </c>
      <c r="H31" s="227">
        <f t="shared" si="2"/>
        <v>-2249629.0985614005</v>
      </c>
      <c r="I31" s="315">
        <f t="shared" si="3"/>
        <v>-56.407143646991393</v>
      </c>
      <c r="J31" s="226">
        <v>2929429.9499999997</v>
      </c>
      <c r="K31" s="342">
        <f t="shared" si="4"/>
        <v>8.8050193868349849E-2</v>
      </c>
      <c r="L31" s="229">
        <f t="shared" si="5"/>
        <v>-1190860.1199999999</v>
      </c>
      <c r="M31" s="315">
        <f t="shared" si="6"/>
        <v>-40.651599127673286</v>
      </c>
      <c r="O31" s="81"/>
      <c r="CA31" s="140"/>
      <c r="CB31" s="140"/>
      <c r="CC31" s="140"/>
    </row>
    <row r="32" spans="2:83" ht="15" customHeight="1">
      <c r="B32" s="80">
        <v>7149</v>
      </c>
      <c r="C32" s="97" t="str">
        <f>IF(MasterSheet!$A$1=1,MasterSheet!C97,MasterSheet!B97)</f>
        <v>Ostale naknade</v>
      </c>
      <c r="D32" s="224">
        <v>4536121.0600000005</v>
      </c>
      <c r="E32" s="324">
        <f t="shared" si="1"/>
        <v>0.13368266644617474</v>
      </c>
      <c r="F32" s="224"/>
      <c r="G32" s="324">
        <f t="shared" si="0"/>
        <v>0</v>
      </c>
      <c r="H32" s="225">
        <f t="shared" si="2"/>
        <v>4536121.0600000005</v>
      </c>
      <c r="I32" s="334" t="e">
        <f t="shared" si="3"/>
        <v>#DIV/0!</v>
      </c>
      <c r="J32" s="224">
        <v>2932716.5300000003</v>
      </c>
      <c r="K32" s="324">
        <f t="shared" si="4"/>
        <v>8.8148978960024049E-2</v>
      </c>
      <c r="L32" s="225">
        <f t="shared" si="5"/>
        <v>1603404.5300000003</v>
      </c>
      <c r="M32" s="334">
        <f t="shared" si="6"/>
        <v>54.673014374150938</v>
      </c>
      <c r="O32" s="81"/>
      <c r="CA32" s="81"/>
      <c r="CB32" s="81"/>
      <c r="CC32" s="81"/>
      <c r="CD32" s="81"/>
      <c r="CE32" s="81"/>
    </row>
    <row r="33" spans="1:84" ht="15" customHeight="1">
      <c r="B33" s="80">
        <v>715</v>
      </c>
      <c r="C33" s="93" t="str">
        <f>IF(MasterSheet!$A$1=1,MasterSheet!C98,MasterSheet!B98)</f>
        <v>Ostali prihodi</v>
      </c>
      <c r="D33" s="230">
        <f>+SUM(D34:D37)</f>
        <v>15099811.939999998</v>
      </c>
      <c r="E33" s="326">
        <f t="shared" si="1"/>
        <v>0.44500203946827344</v>
      </c>
      <c r="F33" s="230">
        <v>14334658.636639999</v>
      </c>
      <c r="G33" s="326">
        <f t="shared" si="0"/>
        <v>0.42245243541664274</v>
      </c>
      <c r="H33" s="231">
        <f t="shared" si="2"/>
        <v>765153.30335999839</v>
      </c>
      <c r="I33" s="336">
        <f t="shared" si="3"/>
        <v>5.3377853128935726</v>
      </c>
      <c r="J33" s="230">
        <v>16330291.689999998</v>
      </c>
      <c r="K33" s="326">
        <f t="shared" si="4"/>
        <v>0.49084134926360079</v>
      </c>
      <c r="L33" s="231">
        <f t="shared" si="5"/>
        <v>-1230479.75</v>
      </c>
      <c r="M33" s="336">
        <f t="shared" si="6"/>
        <v>-7.534952671748627</v>
      </c>
      <c r="O33" s="81"/>
      <c r="CA33" s="81"/>
      <c r="CB33" s="81"/>
      <c r="CC33" s="81"/>
      <c r="CD33" s="81"/>
      <c r="CE33" s="81"/>
    </row>
    <row r="34" spans="1:84" ht="15" customHeight="1">
      <c r="B34" s="80">
        <v>7151</v>
      </c>
      <c r="C34" s="97" t="str">
        <f>IF(MasterSheet!$A$1=1,MasterSheet!C99,MasterSheet!B99)</f>
        <v>Prihodi od kapitala</v>
      </c>
      <c r="D34" s="224">
        <v>2149960.3200000003</v>
      </c>
      <c r="E34" s="324">
        <f t="shared" si="1"/>
        <v>6.3360837272511225E-2</v>
      </c>
      <c r="F34" s="224">
        <v>1236000</v>
      </c>
      <c r="G34" s="324">
        <f t="shared" si="0"/>
        <v>3.6425786160008695E-2</v>
      </c>
      <c r="H34" s="225">
        <f t="shared" si="2"/>
        <v>913960.3200000003</v>
      </c>
      <c r="I34" s="334">
        <f t="shared" si="3"/>
        <v>73.945009708737899</v>
      </c>
      <c r="J34" s="224">
        <v>1799139.5199999998</v>
      </c>
      <c r="K34" s="324">
        <f t="shared" si="4"/>
        <v>5.4076931770363684E-2</v>
      </c>
      <c r="L34" s="225">
        <f t="shared" si="5"/>
        <v>350820.80000000051</v>
      </c>
      <c r="M34" s="334">
        <f t="shared" si="6"/>
        <v>19.499366008034812</v>
      </c>
      <c r="O34" s="81"/>
      <c r="CA34" s="141"/>
      <c r="CB34" s="141"/>
      <c r="CC34" s="141"/>
      <c r="CD34" s="141"/>
      <c r="CE34" s="141"/>
      <c r="CF34" s="142"/>
    </row>
    <row r="35" spans="1:84" ht="15" customHeight="1">
      <c r="B35" s="80">
        <v>7152</v>
      </c>
      <c r="C35" s="97" t="str">
        <f>IF(MasterSheet!$A$1=1,MasterSheet!C100,MasterSheet!B100)</f>
        <v>Novčane kazne i oduzete imovinske koristi</v>
      </c>
      <c r="D35" s="224">
        <v>923082.52999999991</v>
      </c>
      <c r="E35" s="324">
        <f t="shared" si="1"/>
        <v>2.7203889033834798E-2</v>
      </c>
      <c r="F35" s="224">
        <v>515000</v>
      </c>
      <c r="G35" s="324">
        <f t="shared" si="0"/>
        <v>1.5177410900003624E-2</v>
      </c>
      <c r="H35" s="225">
        <f t="shared" si="2"/>
        <v>408082.52999999991</v>
      </c>
      <c r="I35" s="334">
        <f t="shared" si="3"/>
        <v>79.239326213592221</v>
      </c>
      <c r="J35" s="224">
        <v>604377.28999999992</v>
      </c>
      <c r="K35" s="324">
        <f t="shared" si="4"/>
        <v>1.8165833784189959E-2</v>
      </c>
      <c r="L35" s="225">
        <f t="shared" si="5"/>
        <v>318705.24</v>
      </c>
      <c r="M35" s="334">
        <f t="shared" si="6"/>
        <v>52.732828528351888</v>
      </c>
      <c r="O35" s="81"/>
      <c r="CA35" s="141"/>
      <c r="CB35" s="141"/>
      <c r="CC35" s="143"/>
      <c r="CD35" s="143"/>
      <c r="CE35" s="144"/>
      <c r="CF35" s="142"/>
    </row>
    <row r="36" spans="1:84" ht="15" customHeight="1">
      <c r="B36" s="80">
        <v>7153</v>
      </c>
      <c r="C36" s="97" t="str">
        <f>IF(MasterSheet!$A$1=1,MasterSheet!C101,MasterSheet!B101)</f>
        <v>Prihodi koje organi ostvaruju vršenjem svoje djelatnosti</v>
      </c>
      <c r="D36" s="224">
        <v>3480800.8699999996</v>
      </c>
      <c r="E36" s="324">
        <f t="shared" si="1"/>
        <v>0.10258164090306815</v>
      </c>
      <c r="F36" s="224">
        <v>3927190.2598656002</v>
      </c>
      <c r="G36" s="324">
        <f t="shared" si="0"/>
        <v>0.11573704904169364</v>
      </c>
      <c r="H36" s="225">
        <f t="shared" si="2"/>
        <v>-446389.3898656005</v>
      </c>
      <c r="I36" s="334">
        <f t="shared" si="3"/>
        <v>-11.366635185148311</v>
      </c>
      <c r="J36" s="224">
        <v>2658303.5199999996</v>
      </c>
      <c r="K36" s="324">
        <f t="shared" si="4"/>
        <v>7.9900917342951586E-2</v>
      </c>
      <c r="L36" s="225">
        <f t="shared" si="5"/>
        <v>822497.35000000009</v>
      </c>
      <c r="M36" s="334">
        <f t="shared" si="6"/>
        <v>30.940686186203436</v>
      </c>
      <c r="O36" s="81"/>
      <c r="CA36" s="81"/>
      <c r="CB36" s="81"/>
      <c r="CC36" s="145"/>
      <c r="CD36" s="145"/>
      <c r="CE36" s="145"/>
      <c r="CF36" s="142"/>
    </row>
    <row r="37" spans="1:84" ht="15" customHeight="1">
      <c r="B37" s="80">
        <v>7154</v>
      </c>
      <c r="C37" s="97" t="str">
        <f>IF(MasterSheet!$A$1=1,MasterSheet!C102,MasterSheet!B102)</f>
        <v>Ostali prihodi</v>
      </c>
      <c r="D37" s="224">
        <v>8545968.2199999988</v>
      </c>
      <c r="E37" s="324">
        <f t="shared" si="1"/>
        <v>0.2518556722588593</v>
      </c>
      <c r="F37" s="224">
        <v>8656468.3767743986</v>
      </c>
      <c r="G37" s="324">
        <f t="shared" si="0"/>
        <v>0.25511218931493679</v>
      </c>
      <c r="H37" s="225">
        <f t="shared" si="2"/>
        <v>-110500.1567743998</v>
      </c>
      <c r="I37" s="334">
        <f t="shared" si="3"/>
        <v>-1.2765039039578312</v>
      </c>
      <c r="J37" s="224">
        <v>11268471.359999998</v>
      </c>
      <c r="K37" s="324">
        <f t="shared" si="4"/>
        <v>0.3386976663660955</v>
      </c>
      <c r="L37" s="225">
        <f t="shared" si="5"/>
        <v>-2722503.1399999987</v>
      </c>
      <c r="M37" s="334">
        <f t="shared" si="6"/>
        <v>-24.160359049801045</v>
      </c>
      <c r="O37" s="81"/>
      <c r="BZ37" s="100"/>
      <c r="CA37" s="100"/>
      <c r="CB37" s="99"/>
      <c r="CC37" s="145"/>
      <c r="CD37" s="145"/>
      <c r="CE37" s="145"/>
      <c r="CF37" s="142"/>
    </row>
    <row r="38" spans="1:84">
      <c r="B38" s="80">
        <v>73</v>
      </c>
      <c r="C38" s="101" t="str">
        <f>IF(MasterSheet!$A$1=1,MasterSheet!C103,MasterSheet!B103)</f>
        <v>Primici od otplate kredita i sredstva prenijeta iz prethodne godine</v>
      </c>
      <c r="D38" s="230">
        <v>14068477.67</v>
      </c>
      <c r="E38" s="326">
        <f t="shared" si="1"/>
        <v>0.41460789579634094</v>
      </c>
      <c r="F38" s="230">
        <v>10000000</v>
      </c>
      <c r="G38" s="326">
        <f t="shared" si="0"/>
        <v>0.29470700776706066</v>
      </c>
      <c r="H38" s="231">
        <f t="shared" si="2"/>
        <v>4068477.67</v>
      </c>
      <c r="I38" s="336">
        <f t="shared" si="3"/>
        <v>40.684776699999986</v>
      </c>
      <c r="J38" s="230">
        <v>10581894.970000001</v>
      </c>
      <c r="K38" s="326">
        <f t="shared" si="4"/>
        <v>0.31806116531409684</v>
      </c>
      <c r="L38" s="231">
        <f t="shared" si="5"/>
        <v>3486582.6999999993</v>
      </c>
      <c r="M38" s="336">
        <f t="shared" si="6"/>
        <v>32.948566489126648</v>
      </c>
      <c r="O38" s="81"/>
      <c r="BZ38" s="100"/>
      <c r="CA38" s="100"/>
      <c r="CB38" s="99"/>
      <c r="CC38" s="145"/>
      <c r="CD38" s="145"/>
      <c r="CE38" s="145"/>
      <c r="CF38" s="142"/>
    </row>
    <row r="39" spans="1:84" ht="13.5" customHeight="1" thickBot="1">
      <c r="B39" s="80">
        <v>74</v>
      </c>
      <c r="C39" s="93" t="s">
        <v>123</v>
      </c>
      <c r="D39" s="230">
        <v>3620358.55</v>
      </c>
      <c r="E39" s="326">
        <f t="shared" si="1"/>
        <v>0.10669450353143943</v>
      </c>
      <c r="F39" s="230">
        <v>2000000</v>
      </c>
      <c r="G39" s="326">
        <f t="shared" si="0"/>
        <v>5.8941401553412133E-2</v>
      </c>
      <c r="H39" s="231">
        <f t="shared" si="2"/>
        <v>1620358.5499999998</v>
      </c>
      <c r="I39" s="336">
        <f t="shared" si="3"/>
        <v>81.017927499999985</v>
      </c>
      <c r="J39" s="230">
        <v>3102369.0600000005</v>
      </c>
      <c r="K39" s="326">
        <f t="shared" si="4"/>
        <v>9.3248243462578914E-2</v>
      </c>
      <c r="L39" s="231">
        <f t="shared" si="5"/>
        <v>517989.48999999929</v>
      </c>
      <c r="M39" s="336">
        <f t="shared" si="6"/>
        <v>16.69657864625556</v>
      </c>
      <c r="O39" s="81"/>
      <c r="CA39" s="146"/>
      <c r="CB39" s="146"/>
      <c r="CC39" s="145"/>
      <c r="CD39" s="145"/>
      <c r="CE39" s="145"/>
      <c r="CF39" s="142"/>
    </row>
    <row r="40" spans="1:84" ht="15" customHeight="1" thickTop="1" thickBot="1">
      <c r="B40" s="102"/>
      <c r="C40" s="153" t="str">
        <f>IF(MasterSheet!$A$1=1,MasterSheet!C104,MasterSheet!B104)</f>
        <v>Izdaci</v>
      </c>
      <c r="D40" s="232">
        <f>+D42+D52+D55+D58+D59+D60+D61</f>
        <v>156229675.44</v>
      </c>
      <c r="E40" s="327">
        <f t="shared" si="1"/>
        <v>4.6041980173341441</v>
      </c>
      <c r="F40" s="232">
        <f>+F42+F52+F55+F58+F59+F60+F61</f>
        <v>137247072.33414939</v>
      </c>
      <c r="G40" s="327">
        <f t="shared" si="0"/>
        <v>4.0447674012386496</v>
      </c>
      <c r="H40" s="232">
        <f t="shared" si="2"/>
        <v>18982603.105850607</v>
      </c>
      <c r="I40" s="327">
        <f t="shared" si="3"/>
        <v>13.830971242602914</v>
      </c>
      <c r="J40" s="232">
        <f>+J42+J52+J55+J58+J59+J60+J61</f>
        <v>148356277.47000003</v>
      </c>
      <c r="K40" s="343">
        <f t="shared" si="4"/>
        <v>4.4591607294860243</v>
      </c>
      <c r="L40" s="232">
        <f t="shared" si="5"/>
        <v>7873397.969999969</v>
      </c>
      <c r="M40" s="327">
        <f t="shared" si="6"/>
        <v>5.3070878457381667</v>
      </c>
      <c r="O40" s="81"/>
      <c r="CA40" s="81"/>
      <c r="CB40" s="81"/>
      <c r="CC40" s="145"/>
      <c r="CD40" s="145"/>
      <c r="CE40" s="145"/>
      <c r="CF40" s="142"/>
    </row>
    <row r="41" spans="1:84" ht="13.5" customHeight="1" thickTop="1" thickBot="1">
      <c r="C41" s="153" t="str">
        <f>IF(MasterSheet!$A$1=1,MasterSheet!C105,MasterSheet!B105)</f>
        <v>Tekuća budžetska potrošnja</v>
      </c>
      <c r="D41" s="232">
        <f>+D40-D58</f>
        <v>106888190.97</v>
      </c>
      <c r="E41" s="327">
        <f t="shared" si="1"/>
        <v>3.150069892640285</v>
      </c>
      <c r="F41" s="232">
        <f>+F40-F58</f>
        <v>102247072.33414939</v>
      </c>
      <c r="G41" s="327">
        <f t="shared" si="0"/>
        <v>3.0132928740539375</v>
      </c>
      <c r="H41" s="232">
        <f t="shared" si="2"/>
        <v>4641118.6358506083</v>
      </c>
      <c r="I41" s="327">
        <f t="shared" si="3"/>
        <v>4.5391212969728514</v>
      </c>
      <c r="J41" s="232">
        <f>+J40-J58</f>
        <v>101188735.29000002</v>
      </c>
      <c r="K41" s="343">
        <f t="shared" si="4"/>
        <v>3.0414407962128047</v>
      </c>
      <c r="L41" s="232">
        <f t="shared" si="5"/>
        <v>5699455.6799999774</v>
      </c>
      <c r="M41" s="327">
        <f t="shared" si="6"/>
        <v>5.6325001628548108</v>
      </c>
      <c r="O41" s="81"/>
      <c r="CA41" s="146"/>
      <c r="CB41" s="146"/>
      <c r="CC41" s="145"/>
      <c r="CD41" s="145"/>
      <c r="CE41" s="145"/>
      <c r="CF41" s="142"/>
    </row>
    <row r="42" spans="1:84" ht="13.5" customHeight="1" thickTop="1">
      <c r="A42" s="80">
        <v>41</v>
      </c>
      <c r="C42" s="93" t="str">
        <f>+'Cental Budget'!C37</f>
        <v>Tekući budžetski izdaci</v>
      </c>
      <c r="D42" s="94">
        <f>+SUM(D43:D51)</f>
        <v>64223568.549999997</v>
      </c>
      <c r="E42" s="301">
        <f t="shared" si="1"/>
        <v>1.89271357154932</v>
      </c>
      <c r="F42" s="94">
        <v>63265369.140000008</v>
      </c>
      <c r="G42" s="301">
        <f t="shared" si="0"/>
        <v>1.8644747634527941</v>
      </c>
      <c r="H42" s="207">
        <f t="shared" si="2"/>
        <v>958199.40999998897</v>
      </c>
      <c r="I42" s="314">
        <f t="shared" si="3"/>
        <v>1.5145717523272282</v>
      </c>
      <c r="J42" s="154">
        <v>63220173.24000001</v>
      </c>
      <c r="K42" s="304">
        <f t="shared" si="4"/>
        <v>1.9002156068530212</v>
      </c>
      <c r="L42" s="207">
        <f t="shared" si="5"/>
        <v>1003395.3099999875</v>
      </c>
      <c r="M42" s="314">
        <f t="shared" si="6"/>
        <v>1.5871441955573857</v>
      </c>
      <c r="O42" s="81"/>
      <c r="CA42" s="146"/>
      <c r="CB42" s="146"/>
      <c r="CC42" s="145"/>
      <c r="CD42" s="145"/>
      <c r="CE42" s="145"/>
      <c r="CF42" s="142"/>
    </row>
    <row r="43" spans="1:84" ht="13.5" customHeight="1">
      <c r="B43" s="80">
        <v>411</v>
      </c>
      <c r="C43" s="93" t="str">
        <f>+'Cental Budget'!C38</f>
        <v>Bruto zarade i doprinosi na teret poslodavca</v>
      </c>
      <c r="D43" s="230">
        <v>36789248.669999994</v>
      </c>
      <c r="E43" s="326">
        <f t="shared" si="1"/>
        <v>1.0842049393534015</v>
      </c>
      <c r="F43" s="230">
        <v>36040618.039999999</v>
      </c>
      <c r="G43" s="326">
        <f t="shared" si="0"/>
        <v>1.0621422700643945</v>
      </c>
      <c r="H43" s="231">
        <f t="shared" si="2"/>
        <v>748630.62999999523</v>
      </c>
      <c r="I43" s="336">
        <f t="shared" si="3"/>
        <v>2.0771858827979059</v>
      </c>
      <c r="J43" s="230">
        <v>36042059.600000001</v>
      </c>
      <c r="K43" s="326">
        <f t="shared" si="4"/>
        <v>1.0833200961827474</v>
      </c>
      <c r="L43" s="231">
        <f t="shared" si="5"/>
        <v>747189.06999999285</v>
      </c>
      <c r="M43" s="336">
        <f t="shared" si="6"/>
        <v>2.0731031419746841</v>
      </c>
      <c r="O43" s="81"/>
      <c r="CA43" s="146"/>
      <c r="CB43" s="146"/>
      <c r="CC43" s="145"/>
      <c r="CD43" s="145"/>
      <c r="CE43" s="145"/>
      <c r="CF43" s="142"/>
    </row>
    <row r="44" spans="1:84" ht="13.5" customHeight="1">
      <c r="B44" s="80">
        <v>412</v>
      </c>
      <c r="C44" s="93" t="str">
        <f>+'Cental Budget'!C39</f>
        <v>Ostala lična primanja</v>
      </c>
      <c r="D44" s="230">
        <v>2306533.6</v>
      </c>
      <c r="E44" s="326">
        <f t="shared" si="1"/>
        <v>6.7975161557018646E-2</v>
      </c>
      <c r="F44" s="230">
        <v>2483676.67</v>
      </c>
      <c r="G44" s="326">
        <f t="shared" si="0"/>
        <v>7.3195691967655727E-2</v>
      </c>
      <c r="H44" s="231">
        <f t="shared" si="2"/>
        <v>-177143.06999999983</v>
      </c>
      <c r="I44" s="336">
        <f t="shared" si="3"/>
        <v>-7.1322919017474078</v>
      </c>
      <c r="J44" s="230">
        <v>2484776.6700000004</v>
      </c>
      <c r="K44" s="326">
        <f t="shared" si="4"/>
        <v>7.468520198376917E-2</v>
      </c>
      <c r="L44" s="231">
        <f t="shared" si="5"/>
        <v>-178243.0700000003</v>
      </c>
      <c r="M44" s="336">
        <f t="shared" si="6"/>
        <v>-7.1734040387621718</v>
      </c>
      <c r="O44" s="81"/>
      <c r="CA44" s="146"/>
      <c r="CB44" s="146"/>
      <c r="CC44" s="145"/>
      <c r="CD44" s="145"/>
      <c r="CE44" s="145"/>
      <c r="CF44" s="142"/>
    </row>
    <row r="45" spans="1:84" ht="13.5" customHeight="1">
      <c r="B45" s="80">
        <v>413</v>
      </c>
      <c r="C45" s="93" t="str">
        <f>+'Cental Budget'!C40</f>
        <v>Rashodi za materijal</v>
      </c>
      <c r="D45" s="230">
        <v>6210344.3100000005</v>
      </c>
      <c r="E45" s="326">
        <f t="shared" si="1"/>
        <v>0.18302319888032911</v>
      </c>
      <c r="F45" s="230">
        <v>15003900.02</v>
      </c>
      <c r="G45" s="326">
        <f t="shared" si="0"/>
        <v>0.44217544797303415</v>
      </c>
      <c r="H45" s="231">
        <f t="shared" si="2"/>
        <v>-8793555.709999999</v>
      </c>
      <c r="I45" s="336">
        <f t="shared" si="3"/>
        <v>-58.608466453910694</v>
      </c>
      <c r="J45" s="230">
        <v>6050022.9300000006</v>
      </c>
      <c r="K45" s="326">
        <f t="shared" si="4"/>
        <v>0.1818461956717764</v>
      </c>
      <c r="L45" s="231">
        <f t="shared" si="5"/>
        <v>160321.37999999989</v>
      </c>
      <c r="M45" s="336">
        <f t="shared" si="6"/>
        <v>2.6499301218350979</v>
      </c>
      <c r="O45" s="81"/>
      <c r="CA45" s="146"/>
      <c r="CB45" s="146"/>
      <c r="CC45" s="145"/>
      <c r="CD45" s="145"/>
      <c r="CE45" s="145"/>
      <c r="CF45" s="142"/>
    </row>
    <row r="46" spans="1:84" ht="13.5" customHeight="1">
      <c r="B46" s="80">
        <v>414</v>
      </c>
      <c r="C46" s="93" t="str">
        <f>+'Cental Budget'!C41</f>
        <v>Rashodi za usluge</v>
      </c>
      <c r="D46" s="94">
        <v>8179325.0799999991</v>
      </c>
      <c r="E46" s="301">
        <f t="shared" si="1"/>
        <v>0.24105044198808739</v>
      </c>
      <c r="F46" s="154"/>
      <c r="G46" s="301">
        <f t="shared" si="0"/>
        <v>0</v>
      </c>
      <c r="H46" s="207">
        <f t="shared" si="2"/>
        <v>8179325.0799999991</v>
      </c>
      <c r="I46" s="314"/>
      <c r="J46" s="154">
        <v>8946746.160000002</v>
      </c>
      <c r="K46" s="304">
        <f t="shared" si="4"/>
        <v>0.26891332010820568</v>
      </c>
      <c r="L46" s="207">
        <f t="shared" si="5"/>
        <v>-767421.08000000287</v>
      </c>
      <c r="M46" s="314">
        <f t="shared" si="6"/>
        <v>-8.5776556781175373</v>
      </c>
      <c r="O46" s="81"/>
      <c r="CA46" s="146"/>
      <c r="CB46" s="146"/>
      <c r="CC46" s="145"/>
      <c r="CD46" s="145"/>
      <c r="CE46" s="145"/>
      <c r="CF46" s="142"/>
    </row>
    <row r="47" spans="1:84" ht="13.5" customHeight="1">
      <c r="B47" s="80">
        <v>415</v>
      </c>
      <c r="C47" s="93" t="str">
        <f>+'Cental Budget'!C42</f>
        <v>Rashodi za tekuće održavanje</v>
      </c>
      <c r="D47" s="230">
        <v>3950475.2799999993</v>
      </c>
      <c r="E47" s="326">
        <f t="shared" si="1"/>
        <v>0.1164232749026541</v>
      </c>
      <c r="F47" s="230">
        <v>3981477.42</v>
      </c>
      <c r="G47" s="326">
        <f t="shared" si="0"/>
        <v>0.11733692969403166</v>
      </c>
      <c r="H47" s="231">
        <f t="shared" si="2"/>
        <v>-31002.140000000596</v>
      </c>
      <c r="I47" s="336">
        <f t="shared" si="3"/>
        <v>-0.77865919430483643</v>
      </c>
      <c r="J47" s="230">
        <v>3852982.72</v>
      </c>
      <c r="K47" s="326">
        <f t="shared" si="4"/>
        <v>0.11580951968740608</v>
      </c>
      <c r="L47" s="231">
        <f t="shared" si="5"/>
        <v>97492.559999999125</v>
      </c>
      <c r="M47" s="336">
        <f t="shared" si="6"/>
        <v>2.5303139693291712</v>
      </c>
      <c r="O47" s="81"/>
      <c r="CA47" s="146"/>
      <c r="CB47" s="146"/>
      <c r="CC47" s="145"/>
      <c r="CD47" s="145"/>
      <c r="CE47" s="145"/>
      <c r="CF47" s="142"/>
    </row>
    <row r="48" spans="1:84" ht="13.5" customHeight="1">
      <c r="B48" s="80">
        <v>416</v>
      </c>
      <c r="C48" s="93" t="str">
        <f>+'Cental Budget'!C43</f>
        <v>Kamate</v>
      </c>
      <c r="D48" s="230">
        <v>3385393.0399999996</v>
      </c>
      <c r="E48" s="326">
        <f t="shared" si="1"/>
        <v>9.9769905293383296E-2</v>
      </c>
      <c r="F48" s="230">
        <v>3347292.06</v>
      </c>
      <c r="G48" s="326">
        <f t="shared" si="0"/>
        <v>9.864704271250406E-2</v>
      </c>
      <c r="H48" s="231">
        <f t="shared" si="2"/>
        <v>38100.979999999516</v>
      </c>
      <c r="I48" s="336">
        <f t="shared" si="3"/>
        <v>1.138262790250792</v>
      </c>
      <c r="J48" s="230">
        <v>3347292.06</v>
      </c>
      <c r="K48" s="326">
        <f t="shared" si="4"/>
        <v>0.10060992064923355</v>
      </c>
      <c r="L48" s="231">
        <f t="shared" si="5"/>
        <v>38100.979999999516</v>
      </c>
      <c r="M48" s="336">
        <f t="shared" si="6"/>
        <v>1.138262790250792</v>
      </c>
      <c r="O48" s="81"/>
      <c r="CA48" s="146"/>
      <c r="CB48" s="146"/>
      <c r="CC48" s="145"/>
      <c r="CD48" s="145"/>
      <c r="CE48" s="145"/>
      <c r="CF48" s="142"/>
    </row>
    <row r="49" spans="1:84" ht="13.5" customHeight="1">
      <c r="B49" s="80">
        <v>417</v>
      </c>
      <c r="C49" s="93" t="str">
        <f>+'Cental Budget'!C44</f>
        <v>Renta</v>
      </c>
      <c r="D49" s="230">
        <v>455172.39</v>
      </c>
      <c r="E49" s="326">
        <f t="shared" si="1"/>
        <v>1.3414249307508157E-2</v>
      </c>
      <c r="F49" s="230">
        <v>435777.18</v>
      </c>
      <c r="G49" s="326">
        <f t="shared" si="0"/>
        <v>1.2842658877096777E-2</v>
      </c>
      <c r="H49" s="231">
        <f t="shared" si="2"/>
        <v>19395.210000000021</v>
      </c>
      <c r="I49" s="336">
        <f t="shared" si="3"/>
        <v>4.4507172220445312</v>
      </c>
      <c r="J49" s="230">
        <v>435777.18</v>
      </c>
      <c r="K49" s="326">
        <f t="shared" si="4"/>
        <v>1.309820198376916E-2</v>
      </c>
      <c r="L49" s="231">
        <f t="shared" si="5"/>
        <v>19395.210000000021</v>
      </c>
      <c r="M49" s="336">
        <f t="shared" si="6"/>
        <v>4.4507172220445312</v>
      </c>
      <c r="O49" s="81"/>
      <c r="CA49" s="146"/>
      <c r="CB49" s="146"/>
      <c r="CC49" s="145"/>
      <c r="CD49" s="145"/>
      <c r="CE49" s="145"/>
      <c r="CF49" s="142"/>
    </row>
    <row r="50" spans="1:84" ht="13.5" customHeight="1">
      <c r="B50" s="80">
        <v>418</v>
      </c>
      <c r="C50" s="93" t="str">
        <f>+'Cental Budget'!C45</f>
        <v>Subvencije</v>
      </c>
      <c r="D50" s="230">
        <v>417432.82999999996</v>
      </c>
      <c r="E50" s="326">
        <f t="shared" si="1"/>
        <v>1.2302038027303609E-2</v>
      </c>
      <c r="F50" s="230">
        <v>758994.65</v>
      </c>
      <c r="G50" s="326">
        <f t="shared" si="0"/>
        <v>2.2368104221270748E-2</v>
      </c>
      <c r="H50" s="231">
        <f t="shared" si="2"/>
        <v>-341561.82000000007</v>
      </c>
      <c r="I50" s="336">
        <f t="shared" si="3"/>
        <v>-45.001874519141872</v>
      </c>
      <c r="J50" s="230">
        <v>758994.64999999991</v>
      </c>
      <c r="K50" s="326">
        <f t="shared" si="4"/>
        <v>2.2813184550646223E-2</v>
      </c>
      <c r="L50" s="231">
        <f t="shared" si="5"/>
        <v>-341561.81999999995</v>
      </c>
      <c r="M50" s="336">
        <f t="shared" si="6"/>
        <v>-45.001874519141872</v>
      </c>
      <c r="O50" s="81"/>
      <c r="CA50" s="146"/>
      <c r="CB50" s="146"/>
      <c r="CC50" s="145"/>
      <c r="CD50" s="145"/>
      <c r="CE50" s="145"/>
      <c r="CF50" s="142"/>
    </row>
    <row r="51" spans="1:84" ht="13.5" customHeight="1">
      <c r="B51" s="80">
        <v>419</v>
      </c>
      <c r="C51" s="93" t="str">
        <f>+'Cental Budget'!C46</f>
        <v>Ostali izdaci</v>
      </c>
      <c r="D51" s="230">
        <v>2529643.35</v>
      </c>
      <c r="E51" s="326">
        <f t="shared" si="1"/>
        <v>7.4550362239634335E-2</v>
      </c>
      <c r="F51" s="230">
        <v>1213633.1000000001</v>
      </c>
      <c r="G51" s="326">
        <f t="shared" si="0"/>
        <v>3.5766617942806195E-2</v>
      </c>
      <c r="H51" s="231">
        <f t="shared" si="2"/>
        <v>1316010.25</v>
      </c>
      <c r="I51" s="336">
        <f t="shared" si="3"/>
        <v>108.43559309646383</v>
      </c>
      <c r="J51" s="230">
        <v>1301521.27</v>
      </c>
      <c r="K51" s="326">
        <f t="shared" si="4"/>
        <v>3.9119966035467392E-2</v>
      </c>
      <c r="L51" s="231">
        <f t="shared" si="5"/>
        <v>1228122.08</v>
      </c>
      <c r="M51" s="336">
        <f t="shared" si="6"/>
        <v>94.360507838646413</v>
      </c>
      <c r="O51" s="81"/>
      <c r="CA51" s="146"/>
      <c r="CB51" s="146"/>
      <c r="CC51" s="145"/>
      <c r="CD51" s="145"/>
      <c r="CE51" s="145"/>
      <c r="CF51" s="142"/>
    </row>
    <row r="52" spans="1:84" ht="13.5" customHeight="1">
      <c r="A52" s="80">
        <v>42</v>
      </c>
      <c r="B52" s="80" t="s">
        <v>428</v>
      </c>
      <c r="C52" s="93" t="str">
        <f>+'Cental Budget'!C48</f>
        <v>Transferi za socijalnu zaštitu</v>
      </c>
      <c r="D52" s="230">
        <f>+D53</f>
        <v>251481.82000000007</v>
      </c>
      <c r="E52" s="326">
        <f t="shared" si="1"/>
        <v>7.4113454680014576E-3</v>
      </c>
      <c r="F52" s="230">
        <v>584518.25250000018</v>
      </c>
      <c r="G52" s="326">
        <f t="shared" si="0"/>
        <v>1.7226162517950627E-2</v>
      </c>
      <c r="H52" s="231">
        <f t="shared" si="2"/>
        <v>-333036.43250000011</v>
      </c>
      <c r="I52" s="336">
        <f t="shared" si="3"/>
        <v>-56.976224621830781</v>
      </c>
      <c r="J52" s="230">
        <v>436472.52000000008</v>
      </c>
      <c r="K52" s="326">
        <f t="shared" si="4"/>
        <v>1.3119101893597839E-2</v>
      </c>
      <c r="L52" s="231">
        <f t="shared" si="5"/>
        <v>-184990.7</v>
      </c>
      <c r="M52" s="336">
        <f t="shared" si="6"/>
        <v>-42.383126433709961</v>
      </c>
      <c r="O52" s="81"/>
      <c r="CA52" s="146"/>
      <c r="CB52" s="146"/>
      <c r="CC52" s="145"/>
      <c r="CD52" s="145"/>
      <c r="CE52" s="145"/>
      <c r="CF52" s="142"/>
    </row>
    <row r="53" spans="1:84" ht="13.5" customHeight="1">
      <c r="B53" s="80">
        <v>421</v>
      </c>
      <c r="C53" s="97" t="s">
        <v>89</v>
      </c>
      <c r="D53" s="224">
        <v>251481.82000000007</v>
      </c>
      <c r="E53" s="324">
        <f t="shared" si="1"/>
        <v>7.4113454680014576E-3</v>
      </c>
      <c r="F53" s="224">
        <v>584518.25250000018</v>
      </c>
      <c r="G53" s="324">
        <f t="shared" si="0"/>
        <v>1.7226162517950627E-2</v>
      </c>
      <c r="H53" s="225">
        <f t="shared" si="2"/>
        <v>-333036.43250000011</v>
      </c>
      <c r="I53" s="334">
        <f t="shared" si="3"/>
        <v>-56.976224621830781</v>
      </c>
      <c r="J53" s="224"/>
      <c r="K53" s="324">
        <f t="shared" si="4"/>
        <v>0</v>
      </c>
      <c r="L53" s="225">
        <f t="shared" si="5"/>
        <v>251481.82000000007</v>
      </c>
      <c r="M53" s="334" t="e">
        <f t="shared" si="6"/>
        <v>#DIV/0!</v>
      </c>
      <c r="O53" s="81"/>
      <c r="CA53" s="146"/>
      <c r="CB53" s="146"/>
      <c r="CC53" s="145"/>
      <c r="CD53" s="145"/>
      <c r="CE53" s="145"/>
      <c r="CF53" s="142"/>
    </row>
    <row r="54" spans="1:84" ht="13.5" hidden="1" customHeight="1">
      <c r="B54" s="80">
        <v>422</v>
      </c>
      <c r="C54" s="97" t="s">
        <v>91</v>
      </c>
      <c r="D54" s="224"/>
      <c r="E54" s="324">
        <f t="shared" si="1"/>
        <v>0</v>
      </c>
      <c r="F54" s="224"/>
      <c r="G54" s="324">
        <f t="shared" si="0"/>
        <v>0</v>
      </c>
      <c r="H54" s="225">
        <f t="shared" si="2"/>
        <v>0</v>
      </c>
      <c r="I54" s="334" t="e">
        <f t="shared" si="3"/>
        <v>#DIV/0!</v>
      </c>
      <c r="J54" s="224"/>
      <c r="K54" s="324">
        <f t="shared" si="4"/>
        <v>0</v>
      </c>
      <c r="L54" s="225">
        <f t="shared" si="5"/>
        <v>0</v>
      </c>
      <c r="M54" s="334" t="e">
        <f t="shared" si="6"/>
        <v>#DIV/0!</v>
      </c>
      <c r="O54" s="81"/>
      <c r="CA54" s="146"/>
      <c r="CB54" s="146"/>
      <c r="CC54" s="145"/>
      <c r="CD54" s="145"/>
      <c r="CE54" s="145"/>
      <c r="CF54" s="142"/>
    </row>
    <row r="55" spans="1:84" ht="13.5" customHeight="1">
      <c r="A55" s="80">
        <v>43</v>
      </c>
      <c r="C55" s="93" t="str">
        <f>+'Cental Budget'!C54</f>
        <v xml:space="preserve">Transferi institucijama, pojedincima, nevladinom i javnom sektoru </v>
      </c>
      <c r="D55" s="94">
        <f>+SUM(D56:D57)</f>
        <v>35448764.659999996</v>
      </c>
      <c r="E55" s="301">
        <f t="shared" si="1"/>
        <v>1.0446999361987324</v>
      </c>
      <c r="F55" s="154">
        <v>32336274.093349405</v>
      </c>
      <c r="G55" s="301">
        <f t="shared" si="0"/>
        <v>0.95297265803865261</v>
      </c>
      <c r="H55" s="207">
        <f t="shared" si="2"/>
        <v>3112490.5666505918</v>
      </c>
      <c r="I55" s="314">
        <f t="shared" si="3"/>
        <v>9.6253840429028799</v>
      </c>
      <c r="J55" s="154">
        <v>32438914.769999992</v>
      </c>
      <c r="K55" s="304">
        <f t="shared" si="4"/>
        <v>0.97501998106402143</v>
      </c>
      <c r="L55" s="207">
        <f t="shared" si="5"/>
        <v>3009849.8900000043</v>
      </c>
      <c r="M55" s="314">
        <f t="shared" si="6"/>
        <v>9.2785159779252666</v>
      </c>
      <c r="O55" s="81"/>
      <c r="CA55" s="146"/>
      <c r="CB55" s="146"/>
      <c r="CC55" s="145"/>
      <c r="CD55" s="145"/>
      <c r="CE55" s="145"/>
      <c r="CF55" s="142"/>
    </row>
    <row r="56" spans="1:84" ht="13.5" customHeight="1">
      <c r="A56" s="80" t="s">
        <v>428</v>
      </c>
      <c r="B56" s="80">
        <v>431</v>
      </c>
      <c r="C56" s="97" t="s">
        <v>433</v>
      </c>
      <c r="D56" s="224">
        <v>21401031.969999999</v>
      </c>
      <c r="E56" s="324">
        <f t="shared" si="1"/>
        <v>0.63070340950059034</v>
      </c>
      <c r="F56" s="224">
        <v>32336274.093349405</v>
      </c>
      <c r="G56" s="324">
        <f t="shared" si="0"/>
        <v>0.95297265803865261</v>
      </c>
      <c r="H56" s="224">
        <f t="shared" si="2"/>
        <v>-10935242.123349406</v>
      </c>
      <c r="I56" s="324">
        <f t="shared" si="3"/>
        <v>-33.817260738764134</v>
      </c>
      <c r="J56" s="224">
        <v>19088299.629999995</v>
      </c>
      <c r="K56" s="324">
        <f t="shared" si="4"/>
        <v>0.5737390931770362</v>
      </c>
      <c r="L56" s="224">
        <f t="shared" si="5"/>
        <v>2312732.3400000036</v>
      </c>
      <c r="M56" s="324">
        <f t="shared" si="6"/>
        <v>12.115968340968493</v>
      </c>
      <c r="O56" s="81"/>
      <c r="CA56" s="146"/>
      <c r="CB56" s="146"/>
      <c r="CC56" s="145"/>
      <c r="CD56" s="145"/>
      <c r="CE56" s="145"/>
      <c r="CF56" s="142"/>
    </row>
    <row r="57" spans="1:84" s="245" customFormat="1" ht="13.5" customHeight="1" thickBot="1">
      <c r="A57" s="245" t="s">
        <v>428</v>
      </c>
      <c r="B57" s="245">
        <v>432</v>
      </c>
      <c r="C57" s="246" t="s">
        <v>434</v>
      </c>
      <c r="D57" s="247">
        <v>14047732.689999999</v>
      </c>
      <c r="E57" s="328">
        <f t="shared" si="1"/>
        <v>0.41399652669814219</v>
      </c>
      <c r="F57" s="248"/>
      <c r="G57" s="328">
        <f t="shared" si="0"/>
        <v>0</v>
      </c>
      <c r="H57" s="247">
        <f t="shared" si="2"/>
        <v>14047732.689999999</v>
      </c>
      <c r="I57" s="328" t="e">
        <f t="shared" si="3"/>
        <v>#DIV/0!</v>
      </c>
      <c r="J57" s="248">
        <v>13350615.139999997</v>
      </c>
      <c r="K57" s="344">
        <f t="shared" si="4"/>
        <v>0.40128088788698513</v>
      </c>
      <c r="L57" s="247">
        <f t="shared" si="5"/>
        <v>697117.55000000261</v>
      </c>
      <c r="M57" s="328">
        <f t="shared" si="6"/>
        <v>5.2216137061082577</v>
      </c>
      <c r="O57" s="249"/>
      <c r="CA57" s="250"/>
      <c r="CB57" s="250"/>
      <c r="CC57" s="251"/>
      <c r="CD57" s="251"/>
      <c r="CE57" s="251"/>
      <c r="CF57" s="252"/>
    </row>
    <row r="58" spans="1:84" ht="13.5" customHeight="1" thickTop="1" thickBot="1">
      <c r="B58" s="80">
        <v>44</v>
      </c>
      <c r="C58" s="153" t="str">
        <f>+'Cental Budget'!C55</f>
        <v>Kapitalni budžet</v>
      </c>
      <c r="D58" s="232">
        <v>49341484.470000006</v>
      </c>
      <c r="E58" s="327">
        <f t="shared" si="1"/>
        <v>1.4541281246938593</v>
      </c>
      <c r="F58" s="233">
        <v>35000000</v>
      </c>
      <c r="G58" s="327">
        <f t="shared" si="0"/>
        <v>1.0314745271847123</v>
      </c>
      <c r="H58" s="232">
        <f t="shared" si="2"/>
        <v>14341484.470000006</v>
      </c>
      <c r="I58" s="327">
        <f t="shared" si="3"/>
        <v>40.975669914285731</v>
      </c>
      <c r="J58" s="233">
        <v>47167542.18</v>
      </c>
      <c r="K58" s="343">
        <f t="shared" si="4"/>
        <v>1.4177199332732191</v>
      </c>
      <c r="L58" s="232">
        <f t="shared" si="5"/>
        <v>2173942.2900000066</v>
      </c>
      <c r="M58" s="327">
        <f t="shared" si="6"/>
        <v>4.6089793733662248</v>
      </c>
      <c r="O58" s="81"/>
      <c r="CA58" s="146"/>
      <c r="CB58" s="146"/>
      <c r="CC58" s="145"/>
      <c r="CD58" s="145"/>
      <c r="CE58" s="145"/>
      <c r="CF58" s="142"/>
    </row>
    <row r="59" spans="1:84" ht="13.5" customHeight="1" thickTop="1">
      <c r="B59" s="80">
        <v>451</v>
      </c>
      <c r="C59" s="93" t="str">
        <f>+'Cental Budget'!C56</f>
        <v>Pozajmice i krediti</v>
      </c>
      <c r="D59" s="230">
        <v>1276416.05</v>
      </c>
      <c r="E59" s="326">
        <f t="shared" si="1"/>
        <v>3.7616875476135091E-2</v>
      </c>
      <c r="F59" s="230">
        <v>2206408.9481500001</v>
      </c>
      <c r="G59" s="326">
        <f t="shared" si="0"/>
        <v>6.5024417901975426E-2</v>
      </c>
      <c r="H59" s="231">
        <f t="shared" si="2"/>
        <v>-929992.89815000002</v>
      </c>
      <c r="I59" s="336">
        <f t="shared" si="3"/>
        <v>-42.149615959895733</v>
      </c>
      <c r="J59" s="230">
        <v>1376437.61</v>
      </c>
      <c r="K59" s="326">
        <f t="shared" si="4"/>
        <v>4.1371734595731895E-2</v>
      </c>
      <c r="L59" s="231">
        <f t="shared" si="5"/>
        <v>-100021.56000000006</v>
      </c>
      <c r="M59" s="336">
        <f t="shared" si="6"/>
        <v>-7.2666976892617754</v>
      </c>
      <c r="O59" s="81"/>
      <c r="CA59" s="146"/>
      <c r="CB59" s="146"/>
      <c r="CC59" s="145"/>
      <c r="CD59" s="145"/>
      <c r="CE59" s="145"/>
      <c r="CF59" s="142"/>
    </row>
    <row r="60" spans="1:84" ht="13.5" customHeight="1" thickBot="1">
      <c r="B60" s="80">
        <v>47</v>
      </c>
      <c r="C60" s="93" t="str">
        <f>+'Cental Budget'!C57</f>
        <v>Rezerve</v>
      </c>
      <c r="D60" s="234">
        <v>2464920.5699999998</v>
      </c>
      <c r="E60" s="329">
        <f t="shared" si="1"/>
        <v>7.264293655681775E-2</v>
      </c>
      <c r="F60" s="234">
        <v>3854501.9001500001</v>
      </c>
      <c r="G60" s="329">
        <f t="shared" si="0"/>
        <v>0.11359487214256561</v>
      </c>
      <c r="H60" s="235">
        <f t="shared" si="2"/>
        <v>-1389581.3301500003</v>
      </c>
      <c r="I60" s="337">
        <f t="shared" si="3"/>
        <v>-36.05086639329258</v>
      </c>
      <c r="J60" s="234">
        <v>1816209.2700000003</v>
      </c>
      <c r="K60" s="329">
        <f t="shared" si="4"/>
        <v>5.4589999098286754E-2</v>
      </c>
      <c r="L60" s="235">
        <f t="shared" si="5"/>
        <v>648711.29999999958</v>
      </c>
      <c r="M60" s="337">
        <f t="shared" si="6"/>
        <v>35.717871872771553</v>
      </c>
      <c r="O60" s="81"/>
      <c r="CA60" s="146"/>
      <c r="CB60" s="146"/>
      <c r="CC60" s="145"/>
      <c r="CD60" s="145"/>
      <c r="CE60" s="145"/>
      <c r="CF60" s="142"/>
    </row>
    <row r="61" spans="1:84" ht="13.5" customHeight="1" thickTop="1" thickBot="1">
      <c r="B61" s="80">
        <v>462</v>
      </c>
      <c r="C61" s="197" t="s">
        <v>113</v>
      </c>
      <c r="D61" s="236">
        <v>3223039.3200000003</v>
      </c>
      <c r="E61" s="330">
        <f t="shared" si="1"/>
        <v>9.4985227391278196E-2</v>
      </c>
      <c r="F61" s="236">
        <v>0</v>
      </c>
      <c r="G61" s="330">
        <f t="shared" si="0"/>
        <v>0</v>
      </c>
      <c r="H61" s="237">
        <f t="shared" si="2"/>
        <v>3223039.3200000003</v>
      </c>
      <c r="I61" s="338"/>
      <c r="J61" s="236">
        <v>1900527.88</v>
      </c>
      <c r="K61" s="330">
        <f t="shared" si="4"/>
        <v>5.7124372708145472E-2</v>
      </c>
      <c r="L61" s="237">
        <f t="shared" si="5"/>
        <v>1322511.4400000004</v>
      </c>
      <c r="M61" s="338">
        <f t="shared" si="6"/>
        <v>69.586531927119154</v>
      </c>
      <c r="O61" s="81"/>
      <c r="CA61" s="146"/>
      <c r="CB61" s="146"/>
      <c r="CC61" s="145"/>
      <c r="CD61" s="145"/>
      <c r="CE61" s="145"/>
      <c r="CF61" s="142"/>
    </row>
    <row r="62" spans="1:84" ht="13.5" customHeight="1" thickTop="1" thickBot="1">
      <c r="B62" s="80">
        <v>990</v>
      </c>
      <c r="C62" s="198" t="s">
        <v>152</v>
      </c>
      <c r="D62" s="238">
        <v>0</v>
      </c>
      <c r="E62" s="331">
        <f t="shared" si="1"/>
        <v>0</v>
      </c>
      <c r="F62" s="238">
        <v>0</v>
      </c>
      <c r="G62" s="331">
        <f t="shared" si="0"/>
        <v>0</v>
      </c>
      <c r="H62" s="239">
        <f t="shared" si="2"/>
        <v>0</v>
      </c>
      <c r="I62" s="339"/>
      <c r="J62" s="238"/>
      <c r="K62" s="331">
        <f t="shared" si="4"/>
        <v>0</v>
      </c>
      <c r="L62" s="239">
        <f t="shared" si="5"/>
        <v>0</v>
      </c>
      <c r="M62" s="339"/>
      <c r="O62" s="81"/>
      <c r="CA62" s="146"/>
      <c r="CB62" s="146"/>
      <c r="CC62" s="145"/>
      <c r="CD62" s="145"/>
      <c r="CE62" s="145"/>
      <c r="CF62" s="142"/>
    </row>
    <row r="63" spans="1:84" ht="13.5" customHeight="1" thickTop="1" thickBot="1">
      <c r="C63" s="153" t="str">
        <f>+'Cental Budget'!C61</f>
        <v>Suficit / deficit</v>
      </c>
      <c r="D63" s="232">
        <f>+D16-D40+D75</f>
        <v>56430299.889999993</v>
      </c>
      <c r="E63" s="327">
        <f t="shared" si="1"/>
        <v>1.663040482797979</v>
      </c>
      <c r="F63" s="232">
        <f>+F16-F40+F75</f>
        <v>28856653.251227826</v>
      </c>
      <c r="G63" s="327">
        <f t="shared" si="0"/>
        <v>0.85042579338409741</v>
      </c>
      <c r="H63" s="232">
        <f t="shared" si="2"/>
        <v>27573646.638772167</v>
      </c>
      <c r="I63" s="327">
        <f t="shared" si="3"/>
        <v>95.553862046004724</v>
      </c>
      <c r="J63" s="232">
        <f>+J16-J40+J75</f>
        <v>55302309.989999972</v>
      </c>
      <c r="K63" s="343">
        <f t="shared" si="4"/>
        <v>1.6622275320108195</v>
      </c>
      <c r="L63" s="232">
        <f t="shared" si="5"/>
        <v>1127989.9000000209</v>
      </c>
      <c r="M63" s="327">
        <f t="shared" si="6"/>
        <v>2.0396795363593014</v>
      </c>
      <c r="O63" s="81"/>
      <c r="CA63" s="146"/>
      <c r="CB63" s="146"/>
      <c r="CC63" s="145"/>
      <c r="CD63" s="145"/>
      <c r="CE63" s="145"/>
      <c r="CF63" s="142"/>
    </row>
    <row r="64" spans="1:84" ht="13.5" customHeight="1" thickTop="1" thickBot="1">
      <c r="C64" s="153" t="str">
        <f>+'Cental Budget'!C62</f>
        <v>Primarni bilans</v>
      </c>
      <c r="D64" s="232">
        <f>+D63+D48</f>
        <v>59815692.929999992</v>
      </c>
      <c r="E64" s="327">
        <f t="shared" si="1"/>
        <v>1.7628103880913621</v>
      </c>
      <c r="F64" s="232">
        <f>+F63+F48</f>
        <v>32203945.311227825</v>
      </c>
      <c r="G64" s="327">
        <f t="shared" si="0"/>
        <v>0.94907283609660142</v>
      </c>
      <c r="H64" s="232">
        <f t="shared" si="2"/>
        <v>27611747.618772168</v>
      </c>
      <c r="I64" s="327">
        <f t="shared" si="3"/>
        <v>85.740263660010015</v>
      </c>
      <c r="J64" s="232">
        <f>+J63+J48</f>
        <v>58649602.049999975</v>
      </c>
      <c r="K64" s="343">
        <f t="shared" si="4"/>
        <v>1.7628374526600532</v>
      </c>
      <c r="L64" s="232">
        <f t="shared" si="5"/>
        <v>1166090.8800000176</v>
      </c>
      <c r="M64" s="327">
        <f t="shared" si="6"/>
        <v>1.9882332347385727</v>
      </c>
      <c r="O64" s="81"/>
      <c r="CA64" s="146"/>
      <c r="CB64" s="146"/>
      <c r="CC64" s="145"/>
      <c r="CD64" s="145"/>
      <c r="CE64" s="145"/>
      <c r="CF64" s="142"/>
    </row>
    <row r="65" spans="2:84" ht="13.5" customHeight="1" thickTop="1" thickBot="1">
      <c r="C65" s="153" t="str">
        <f>+'Cental Budget'!C63</f>
        <v>Otplata dugova</v>
      </c>
      <c r="D65" s="232">
        <f>+SUM(D66:D68)</f>
        <v>55428691.999999993</v>
      </c>
      <c r="E65" s="327">
        <f t="shared" si="1"/>
        <v>1.6335223963762011</v>
      </c>
      <c r="F65" s="232">
        <f>+SUM(F66:F68)</f>
        <v>49000000</v>
      </c>
      <c r="G65" s="327">
        <f t="shared" si="0"/>
        <v>1.4440643380585971</v>
      </c>
      <c r="H65" s="232">
        <f t="shared" si="2"/>
        <v>6428691.9999999925</v>
      </c>
      <c r="I65" s="327">
        <f t="shared" si="3"/>
        <v>13.119779591836718</v>
      </c>
      <c r="J65" s="232">
        <f>+SUM(J66:J68)</f>
        <v>65005443.919999979</v>
      </c>
      <c r="K65" s="343">
        <f t="shared" si="4"/>
        <v>1.9538756813946492</v>
      </c>
      <c r="L65" s="232">
        <f t="shared" si="5"/>
        <v>-9576751.9199999869</v>
      </c>
      <c r="M65" s="327">
        <f t="shared" si="6"/>
        <v>-14.732230629462009</v>
      </c>
      <c r="O65" s="81"/>
      <c r="CA65" s="146"/>
      <c r="CB65" s="146"/>
      <c r="CC65" s="145"/>
      <c r="CD65" s="145"/>
      <c r="CE65" s="145"/>
      <c r="CF65" s="142"/>
    </row>
    <row r="66" spans="2:84" ht="13.5" customHeight="1" thickTop="1">
      <c r="B66" s="80">
        <v>4611</v>
      </c>
      <c r="C66" s="97" t="str">
        <f>+'Cental Budget'!C64</f>
        <v>Otplata hartija od vrijednosti i kredita rezidentima</v>
      </c>
      <c r="D66" s="240">
        <v>12124086.67</v>
      </c>
      <c r="E66" s="332">
        <f t="shared" si="1"/>
        <v>0.35730533044242063</v>
      </c>
      <c r="F66" s="240">
        <v>4500000</v>
      </c>
      <c r="G66" s="332">
        <f t="shared" si="0"/>
        <v>0.1326181534951773</v>
      </c>
      <c r="H66" s="241">
        <f t="shared" si="2"/>
        <v>7624086.6699999999</v>
      </c>
      <c r="I66" s="340">
        <f t="shared" si="3"/>
        <v>169.42414822222219</v>
      </c>
      <c r="J66" s="240">
        <v>10396222.839999998</v>
      </c>
      <c r="K66" s="332">
        <f t="shared" si="4"/>
        <v>0.31248039795611654</v>
      </c>
      <c r="L66" s="241">
        <f t="shared" si="5"/>
        <v>1727863.8300000019</v>
      </c>
      <c r="M66" s="340">
        <f t="shared" si="6"/>
        <v>16.62011152119554</v>
      </c>
      <c r="O66" s="81"/>
      <c r="CA66" s="146"/>
      <c r="CB66" s="146"/>
      <c r="CC66" s="145"/>
      <c r="CD66" s="145"/>
      <c r="CE66" s="145"/>
      <c r="CF66" s="142"/>
    </row>
    <row r="67" spans="2:84" ht="13.5" customHeight="1">
      <c r="B67" s="80">
        <v>4612</v>
      </c>
      <c r="C67" s="97" t="str">
        <f>+'Cental Budget'!C65</f>
        <v>Otplata hartija od vrijednosti i kredita nerezidentima</v>
      </c>
      <c r="D67" s="242">
        <v>2744942.8</v>
      </c>
      <c r="E67" s="324">
        <f t="shared" si="1"/>
        <v>8.0895387907973709E-2</v>
      </c>
      <c r="F67" s="242">
        <v>4500000</v>
      </c>
      <c r="G67" s="324">
        <f t="shared" si="0"/>
        <v>0.1326181534951773</v>
      </c>
      <c r="H67" s="225">
        <f t="shared" si="2"/>
        <v>-1755057.2000000002</v>
      </c>
      <c r="I67" s="334">
        <f t="shared" si="3"/>
        <v>-39.001271111111116</v>
      </c>
      <c r="J67" s="242">
        <v>1915776.82</v>
      </c>
      <c r="K67" s="324">
        <f t="shared" si="4"/>
        <v>5.758271175232943E-2</v>
      </c>
      <c r="L67" s="225">
        <f t="shared" si="5"/>
        <v>829165.97999999975</v>
      </c>
      <c r="M67" s="334">
        <f t="shared" si="6"/>
        <v>43.280927681336067</v>
      </c>
      <c r="O67" s="81"/>
      <c r="CA67" s="146"/>
      <c r="CB67" s="146"/>
      <c r="CC67" s="145"/>
      <c r="CD67" s="145"/>
      <c r="CE67" s="145"/>
      <c r="CF67" s="142"/>
    </row>
    <row r="68" spans="2:84" ht="13.5" customHeight="1" thickBot="1">
      <c r="B68" s="80" t="s">
        <v>459</v>
      </c>
      <c r="C68" s="97" t="str">
        <f>+'Cental Budget'!C59</f>
        <v>Otplata obaveza iz prethodnih godina</v>
      </c>
      <c r="D68" s="242">
        <v>40559662.529999994</v>
      </c>
      <c r="E68" s="324">
        <f t="shared" si="1"/>
        <v>1.1953216780258067</v>
      </c>
      <c r="F68" s="242">
        <v>40000000</v>
      </c>
      <c r="G68" s="324">
        <f t="shared" si="0"/>
        <v>1.1788280310682426</v>
      </c>
      <c r="H68" s="225">
        <f t="shared" si="2"/>
        <v>559662.52999999374</v>
      </c>
      <c r="I68" s="334">
        <f t="shared" si="3"/>
        <v>1.3991563249999786</v>
      </c>
      <c r="J68" s="242">
        <v>52693444.259999983</v>
      </c>
      <c r="K68" s="324">
        <f t="shared" si="4"/>
        <v>1.5838125716862033</v>
      </c>
      <c r="L68" s="225">
        <f t="shared" si="5"/>
        <v>-12133781.729999989</v>
      </c>
      <c r="M68" s="334">
        <f t="shared" si="6"/>
        <v>-23.027118269455855</v>
      </c>
      <c r="O68" s="81"/>
      <c r="CA68" s="146"/>
      <c r="CB68" s="146"/>
      <c r="CC68" s="145"/>
      <c r="CD68" s="145"/>
      <c r="CE68" s="145"/>
      <c r="CF68" s="142"/>
    </row>
    <row r="69" spans="2:84" ht="13.5" customHeight="1" thickTop="1" thickBot="1">
      <c r="C69" s="153" t="str">
        <f>+'Cental Budget'!C67</f>
        <v>Nedostajuća sredstva</v>
      </c>
      <c r="D69" s="232">
        <f>+D63-D65</f>
        <v>1001607.8900000006</v>
      </c>
      <c r="E69" s="327">
        <f t="shared" si="1"/>
        <v>2.9518086421777941E-2</v>
      </c>
      <c r="F69" s="232">
        <f>+F63-F65</f>
        <v>-20143346.748772174</v>
      </c>
      <c r="G69" s="327">
        <f t="shared" si="0"/>
        <v>-0.59363854467449972</v>
      </c>
      <c r="H69" s="232">
        <f t="shared" si="2"/>
        <v>21144954.638772175</v>
      </c>
      <c r="I69" s="327">
        <f t="shared" si="3"/>
        <v>-104.97240057718339</v>
      </c>
      <c r="J69" s="232">
        <f>+J63-J65</f>
        <v>-9703133.9300000072</v>
      </c>
      <c r="K69" s="343">
        <f t="shared" si="4"/>
        <v>-0.29164814938382949</v>
      </c>
      <c r="L69" s="232">
        <f t="shared" si="5"/>
        <v>10704741.820000008</v>
      </c>
      <c r="M69" s="327">
        <f t="shared" si="6"/>
        <v>-110.32251947902361</v>
      </c>
      <c r="O69" s="81"/>
      <c r="CA69" s="146"/>
      <c r="CB69" s="146"/>
      <c r="CC69" s="145"/>
      <c r="CD69" s="145"/>
      <c r="CE69" s="145"/>
      <c r="CF69" s="142"/>
    </row>
    <row r="70" spans="2:84" ht="13.5" customHeight="1" thickTop="1" thickBot="1">
      <c r="C70" s="153" t="str">
        <f>+'Cental Budget'!C68</f>
        <v>Finansiranje</v>
      </c>
      <c r="D70" s="232">
        <f>+SUM(D71:D74)</f>
        <v>-1001607.8900000006</v>
      </c>
      <c r="E70" s="327">
        <f t="shared" si="1"/>
        <v>-2.9518086421777941E-2</v>
      </c>
      <c r="F70" s="232">
        <f>+SUM(F71:F74)</f>
        <v>20143346.748772174</v>
      </c>
      <c r="G70" s="327">
        <f t="shared" si="0"/>
        <v>0.59363854467449972</v>
      </c>
      <c r="H70" s="232">
        <f t="shared" si="2"/>
        <v>-21144954.638772175</v>
      </c>
      <c r="I70" s="327">
        <f t="shared" si="3"/>
        <v>-104.97240057718339</v>
      </c>
      <c r="J70" s="232">
        <f>+SUM(J71:J74)</f>
        <v>9703133.9300000072</v>
      </c>
      <c r="K70" s="343">
        <f t="shared" si="4"/>
        <v>0.29164814938382949</v>
      </c>
      <c r="L70" s="232">
        <f t="shared" si="5"/>
        <v>-10704741.820000008</v>
      </c>
      <c r="M70" s="327">
        <f t="shared" si="6"/>
        <v>-110.32251947902361</v>
      </c>
      <c r="O70" s="81"/>
      <c r="CA70" s="146"/>
      <c r="CB70" s="146"/>
      <c r="CC70" s="145"/>
      <c r="CD70" s="145"/>
      <c r="CE70" s="145"/>
      <c r="CF70" s="142"/>
    </row>
    <row r="71" spans="2:84" ht="13.5" customHeight="1" thickTop="1">
      <c r="B71" s="80">
        <v>7511</v>
      </c>
      <c r="C71" s="97" t="str">
        <f>+'Cental Budget'!C69</f>
        <v>Pozajmice i krediti od domaćih izvora</v>
      </c>
      <c r="D71" s="240">
        <v>5163551.93</v>
      </c>
      <c r="E71" s="332">
        <f t="shared" si="1"/>
        <v>0.1521734938740131</v>
      </c>
      <c r="F71" s="240">
        <v>6000000</v>
      </c>
      <c r="G71" s="332">
        <f t="shared" si="0"/>
        <v>0.17682420466023638</v>
      </c>
      <c r="H71" s="241">
        <f t="shared" si="2"/>
        <v>-836448.0700000003</v>
      </c>
      <c r="I71" s="340">
        <f t="shared" si="3"/>
        <v>-13.940801166666674</v>
      </c>
      <c r="J71" s="240">
        <v>5943722.0599999996</v>
      </c>
      <c r="K71" s="332">
        <f t="shared" si="4"/>
        <v>0.17865109888788697</v>
      </c>
      <c r="L71" s="241">
        <f t="shared" si="5"/>
        <v>-780170.12999999989</v>
      </c>
      <c r="M71" s="340">
        <f t="shared" si="6"/>
        <v>-13.125952427190043</v>
      </c>
      <c r="O71" s="81"/>
      <c r="CA71" s="146"/>
      <c r="CB71" s="146"/>
      <c r="CC71" s="145"/>
      <c r="CD71" s="145"/>
      <c r="CE71" s="145"/>
      <c r="CF71" s="142"/>
    </row>
    <row r="72" spans="2:84" ht="13.5" customHeight="1">
      <c r="B72" s="80">
        <v>7512</v>
      </c>
      <c r="C72" s="97" t="str">
        <f>+'Cental Budget'!C70</f>
        <v>Pozajmice i krediti od inostranih izvora</v>
      </c>
      <c r="D72" s="242">
        <v>4579292</v>
      </c>
      <c r="E72" s="324">
        <f t="shared" si="1"/>
        <v>0.13495494430116386</v>
      </c>
      <c r="F72" s="242"/>
      <c r="G72" s="324">
        <f t="shared" si="0"/>
        <v>0</v>
      </c>
      <c r="H72" s="225">
        <f t="shared" si="2"/>
        <v>4579292</v>
      </c>
      <c r="I72" s="341"/>
      <c r="J72" s="242">
        <v>2913870.6</v>
      </c>
      <c r="K72" s="324">
        <f t="shared" si="4"/>
        <v>8.7582524797114522E-2</v>
      </c>
      <c r="L72" s="225">
        <f t="shared" si="5"/>
        <v>1665421.4</v>
      </c>
      <c r="M72" s="341">
        <f t="shared" si="6"/>
        <v>57.154953963981768</v>
      </c>
      <c r="O72" s="81"/>
      <c r="CA72" s="146"/>
      <c r="CB72" s="146"/>
      <c r="CC72" s="145"/>
      <c r="CD72" s="145"/>
      <c r="CE72" s="145"/>
      <c r="CF72" s="142"/>
    </row>
    <row r="73" spans="2:84" ht="13.5" customHeight="1" thickBot="1">
      <c r="B73" s="80">
        <v>72</v>
      </c>
      <c r="C73" s="103" t="str">
        <f>+'Cental Budget'!C71</f>
        <v>Primici od prodaje imovine</v>
      </c>
      <c r="D73" s="242">
        <v>7853495.3499999996</v>
      </c>
      <c r="E73" s="324">
        <f t="shared" si="1"/>
        <v>0.23144801151110247</v>
      </c>
      <c r="F73" s="242">
        <v>2000000</v>
      </c>
      <c r="G73" s="324">
        <f t="shared" si="0"/>
        <v>5.8941401553412133E-2</v>
      </c>
      <c r="H73" s="225">
        <f t="shared" si="2"/>
        <v>5853495.3499999996</v>
      </c>
      <c r="I73" s="334">
        <f t="shared" si="3"/>
        <v>292.67476749999997</v>
      </c>
      <c r="J73" s="242">
        <v>14834043.460000001</v>
      </c>
      <c r="K73" s="324">
        <f t="shared" si="4"/>
        <v>0.44586845386233848</v>
      </c>
      <c r="L73" s="225">
        <f t="shared" si="5"/>
        <v>-6980548.1100000013</v>
      </c>
      <c r="M73" s="334">
        <f t="shared" si="6"/>
        <v>-47.057622076024309</v>
      </c>
      <c r="O73" s="81"/>
      <c r="CA73" s="146"/>
      <c r="CB73" s="146"/>
      <c r="CC73" s="145"/>
      <c r="CD73" s="145"/>
      <c r="CE73" s="145"/>
      <c r="CF73" s="142"/>
    </row>
    <row r="74" spans="2:84" ht="13.5" customHeight="1" thickTop="1" thickBot="1">
      <c r="C74" s="148" t="str">
        <f>+'Cental Budget'!C72</f>
        <v>Povećanje / smanjenje depozita</v>
      </c>
      <c r="D74" s="149">
        <f>-D69-SUM(D71:D73)</f>
        <v>-18597947.170000002</v>
      </c>
      <c r="E74" s="305">
        <f t="shared" si="1"/>
        <v>-0.54809453610805747</v>
      </c>
      <c r="F74" s="149">
        <f>-F69-SUM(F71:F73)</f>
        <v>12143346.748772174</v>
      </c>
      <c r="G74" s="305">
        <f t="shared" si="0"/>
        <v>0.35787293846085116</v>
      </c>
      <c r="H74" s="208">
        <f t="shared" si="2"/>
        <v>-30741293.918772176</v>
      </c>
      <c r="I74" s="320">
        <f t="shared" si="3"/>
        <v>-253.15338971013455</v>
      </c>
      <c r="J74" s="149">
        <f>-J69-SUM(J71:J73)</f>
        <v>-13988502.189999994</v>
      </c>
      <c r="K74" s="345">
        <f t="shared" si="4"/>
        <v>-0.42045392816351052</v>
      </c>
      <c r="L74" s="208">
        <f t="shared" si="5"/>
        <v>-4609444.9800000079</v>
      </c>
      <c r="M74" s="320">
        <f t="shared" si="6"/>
        <v>32.951669288046986</v>
      </c>
      <c r="O74" s="81"/>
      <c r="CA74" s="146"/>
      <c r="CB74" s="146"/>
      <c r="CC74" s="145"/>
      <c r="CD74" s="145"/>
      <c r="CE74" s="145"/>
      <c r="CF74" s="142"/>
    </row>
    <row r="75" spans="2:84" ht="13.5" customHeight="1" thickTop="1" thickBot="1">
      <c r="B75" s="80">
        <v>999</v>
      </c>
      <c r="C75" s="153" t="s">
        <v>467</v>
      </c>
      <c r="D75" s="233">
        <v>2712771.51</v>
      </c>
      <c r="E75" s="327">
        <f t="shared" si="1"/>
        <v>7.994727744678308E-2</v>
      </c>
      <c r="F75" s="233">
        <v>0</v>
      </c>
      <c r="G75" s="327">
        <f t="shared" si="0"/>
        <v>0</v>
      </c>
      <c r="H75" s="232">
        <f t="shared" si="2"/>
        <v>2712771.51</v>
      </c>
      <c r="I75" s="327"/>
      <c r="J75" s="233">
        <v>4705739.93</v>
      </c>
      <c r="K75" s="343">
        <f t="shared" si="4"/>
        <v>0.14144093567778779</v>
      </c>
      <c r="L75" s="232">
        <f t="shared" si="5"/>
        <v>-1992968.42</v>
      </c>
      <c r="M75" s="327">
        <f t="shared" si="6"/>
        <v>-42.351860698770075</v>
      </c>
      <c r="O75" s="81"/>
      <c r="P75" s="216"/>
      <c r="CA75" s="146"/>
      <c r="CB75" s="146"/>
      <c r="CC75" s="145"/>
      <c r="CD75" s="145"/>
      <c r="CE75" s="145"/>
      <c r="CF75" s="142"/>
    </row>
    <row r="76" spans="2:84" ht="13.5" thickTop="1">
      <c r="C76" s="106" t="str">
        <f>IF(MasterSheet!$A$1=1,MasterSheet!C151,MasterSheet!B151)</f>
        <v>Izvor: Ministarstvo finansija Crne Gore</v>
      </c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O76" s="81"/>
    </row>
    <row r="77" spans="2:84"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O77" s="81"/>
    </row>
    <row r="78" spans="2:84">
      <c r="D78" s="133"/>
      <c r="E78" s="134"/>
      <c r="F78" s="134"/>
      <c r="G78" s="134"/>
      <c r="H78" s="134"/>
      <c r="I78" s="134"/>
      <c r="J78" s="134"/>
      <c r="K78" s="134"/>
      <c r="L78" s="134"/>
      <c r="M78" s="134"/>
    </row>
    <row r="79" spans="2:84">
      <c r="D79" s="133"/>
      <c r="E79" s="134"/>
      <c r="F79" s="134"/>
      <c r="G79" s="134"/>
      <c r="H79" s="134"/>
      <c r="I79" s="134"/>
      <c r="J79" s="134"/>
      <c r="K79" s="134"/>
      <c r="L79" s="134"/>
      <c r="M79" s="134"/>
    </row>
    <row r="80" spans="2:84"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</row>
    <row r="81" spans="5:13">
      <c r="E81" s="134"/>
      <c r="F81" s="134"/>
      <c r="G81" s="134"/>
      <c r="H81" s="134"/>
      <c r="I81" s="134"/>
      <c r="J81" s="134"/>
      <c r="K81" s="134"/>
      <c r="L81" s="134"/>
      <c r="M81" s="134"/>
    </row>
    <row r="82" spans="5:13">
      <c r="E82" s="134"/>
      <c r="F82" s="134"/>
      <c r="G82" s="134"/>
      <c r="H82" s="134"/>
      <c r="I82" s="134"/>
      <c r="J82" s="134"/>
      <c r="K82" s="134"/>
      <c r="L82" s="134"/>
      <c r="M82" s="134"/>
    </row>
    <row r="83" spans="5:13">
      <c r="E83" s="134"/>
      <c r="F83" s="134"/>
      <c r="G83" s="134"/>
      <c r="H83" s="134"/>
      <c r="I83" s="134"/>
      <c r="J83" s="134"/>
      <c r="K83" s="134"/>
      <c r="L83" s="134"/>
      <c r="M83" s="134"/>
    </row>
    <row r="84" spans="5:13">
      <c r="E84" s="134"/>
      <c r="F84" s="134"/>
      <c r="G84" s="134"/>
      <c r="H84" s="134"/>
      <c r="I84" s="134"/>
      <c r="J84" s="134"/>
      <c r="K84" s="134"/>
      <c r="L84" s="134"/>
      <c r="M84" s="134"/>
    </row>
    <row r="85" spans="5:13">
      <c r="E85" s="134"/>
      <c r="F85" s="134"/>
      <c r="G85" s="134"/>
      <c r="H85" s="134"/>
      <c r="I85" s="134"/>
      <c r="J85" s="134"/>
      <c r="K85" s="134"/>
      <c r="L85" s="134"/>
      <c r="M85" s="134"/>
    </row>
    <row r="86" spans="5:13">
      <c r="E86" s="134"/>
      <c r="F86" s="134"/>
      <c r="G86" s="134"/>
      <c r="H86" s="134"/>
      <c r="I86" s="134"/>
      <c r="J86" s="134"/>
      <c r="K86" s="134"/>
      <c r="L86" s="134"/>
      <c r="M86" s="134"/>
    </row>
    <row r="87" spans="5:13">
      <c r="E87" s="134"/>
      <c r="F87" s="134"/>
      <c r="G87" s="134"/>
      <c r="H87" s="134"/>
      <c r="I87" s="134"/>
      <c r="J87" s="134"/>
      <c r="K87" s="134"/>
      <c r="L87" s="134"/>
      <c r="M87" s="134"/>
    </row>
    <row r="88" spans="5:13">
      <c r="E88" s="134"/>
      <c r="F88" s="134"/>
      <c r="G88" s="134"/>
      <c r="H88" s="134"/>
      <c r="I88" s="134"/>
      <c r="J88" s="134"/>
      <c r="K88" s="134"/>
      <c r="L88" s="134"/>
      <c r="M88" s="134"/>
    </row>
    <row r="89" spans="5:13">
      <c r="E89" s="134"/>
      <c r="F89" s="134"/>
      <c r="G89" s="134"/>
      <c r="H89" s="134"/>
      <c r="I89" s="134"/>
      <c r="J89" s="134"/>
      <c r="K89" s="134"/>
      <c r="L89" s="134"/>
      <c r="M89" s="134"/>
    </row>
    <row r="90" spans="5:13">
      <c r="E90" s="134"/>
      <c r="F90" s="134"/>
      <c r="G90" s="134"/>
      <c r="H90" s="134"/>
      <c r="I90" s="134"/>
      <c r="J90" s="134"/>
      <c r="K90" s="134"/>
      <c r="L90" s="134"/>
      <c r="M90" s="134"/>
    </row>
    <row r="91" spans="5:13">
      <c r="E91" s="134"/>
      <c r="F91" s="134"/>
      <c r="G91" s="134"/>
      <c r="H91" s="134"/>
      <c r="I91" s="134"/>
      <c r="J91" s="134"/>
      <c r="K91" s="134"/>
      <c r="L91" s="134"/>
      <c r="M91" s="134"/>
    </row>
    <row r="92" spans="5:13">
      <c r="E92" s="134"/>
      <c r="F92" s="134"/>
      <c r="G92" s="134"/>
      <c r="H92" s="134"/>
      <c r="I92" s="134"/>
      <c r="J92" s="134"/>
      <c r="K92" s="134"/>
      <c r="L92" s="134"/>
      <c r="M92" s="134"/>
    </row>
  </sheetData>
  <sheetProtection formatCells="0" formatColumns="0" formatRows="0" sort="0" autoFilter="0"/>
  <mergeCells count="12">
    <mergeCell ref="C14:C15"/>
    <mergeCell ref="D14:E14"/>
    <mergeCell ref="F14:G14"/>
    <mergeCell ref="H14:I14"/>
    <mergeCell ref="J14:K14"/>
    <mergeCell ref="L14:M14"/>
    <mergeCell ref="H11:I11"/>
    <mergeCell ref="J11:K11"/>
    <mergeCell ref="L11:M11"/>
    <mergeCell ref="D11:G11"/>
    <mergeCell ref="D13:E13"/>
    <mergeCell ref="J13:K13"/>
  </mergeCells>
  <printOptions horizontalCentered="1" verticalCentered="1"/>
  <pageMargins left="0" right="0" top="0.19685039370078741" bottom="0.19685039370078741" header="0" footer="0"/>
  <pageSetup paperSize="9" scale="1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009" r:id="rId4" name="List Box 1">
              <controlPr defaultSize="0" autoLine="0" autoPict="0">
                <anchor moveWithCells="1">
                  <from>
                    <xdr:col>0</xdr:col>
                    <xdr:colOff>9525</xdr:colOff>
                    <xdr:row>0</xdr:row>
                    <xdr:rowOff>0</xdr:rowOff>
                  </from>
                  <to>
                    <xdr:col>2</xdr:col>
                    <xdr:colOff>1247775</xdr:colOff>
                    <xdr:row>9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CI82"/>
  <sheetViews>
    <sheetView tabSelected="1" zoomScale="90" zoomScaleNormal="90" workbookViewId="0">
      <selection activeCell="H12" sqref="H12"/>
    </sheetView>
  </sheetViews>
  <sheetFormatPr defaultColWidth="9.140625" defaultRowHeight="12.75"/>
  <cols>
    <col min="1" max="2" width="9.140625" style="80" customWidth="1"/>
    <col min="3" max="3" width="55.85546875" style="80" bestFit="1" customWidth="1"/>
    <col min="4" max="13" width="9.42578125" style="80" customWidth="1"/>
    <col min="14" max="14" width="15" style="80" customWidth="1"/>
    <col min="15" max="79" width="9.140625" style="80" customWidth="1"/>
    <col min="80" max="80" width="9.140625" style="80"/>
    <col min="81" max="81" width="15.42578125" style="80" customWidth="1"/>
    <col min="82" max="82" width="12.7109375" style="80" customWidth="1"/>
    <col min="83" max="83" width="11.85546875" style="80" customWidth="1"/>
    <col min="84" max="16384" width="9.140625" style="80"/>
  </cols>
  <sheetData>
    <row r="1" spans="2:79" s="135" customFormat="1" ht="15" customHeight="1">
      <c r="C1" s="132"/>
      <c r="D1" s="108">
        <v>3</v>
      </c>
      <c r="E1" s="108">
        <v>4</v>
      </c>
      <c r="F1" s="108">
        <v>5</v>
      </c>
      <c r="G1" s="108">
        <v>6</v>
      </c>
      <c r="H1" s="108">
        <v>7</v>
      </c>
      <c r="I1" s="108">
        <v>8</v>
      </c>
      <c r="J1" s="108">
        <v>9</v>
      </c>
      <c r="K1" s="108">
        <v>10</v>
      </c>
      <c r="L1" s="108">
        <v>11</v>
      </c>
      <c r="M1" s="108">
        <v>12</v>
      </c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  <c r="BM1" s="132"/>
      <c r="BN1" s="132"/>
      <c r="BO1" s="132"/>
      <c r="BP1" s="132"/>
      <c r="BQ1" s="132"/>
      <c r="BR1" s="132"/>
      <c r="BS1" s="132"/>
      <c r="BT1" s="132"/>
      <c r="BU1" s="132"/>
      <c r="BV1" s="132"/>
      <c r="BW1" s="132"/>
      <c r="BX1" s="132"/>
      <c r="BY1" s="132"/>
      <c r="BZ1" s="132"/>
      <c r="CA1" s="132"/>
    </row>
    <row r="2" spans="2:79" ht="15" hidden="1" customHeight="1">
      <c r="C2" s="81"/>
      <c r="D2" s="82"/>
      <c r="E2" s="82"/>
      <c r="F2" s="82"/>
      <c r="G2" s="82"/>
      <c r="H2" s="82"/>
      <c r="I2" s="82"/>
      <c r="J2" s="82"/>
      <c r="K2" s="82"/>
      <c r="L2" s="82"/>
      <c r="M2" s="82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</row>
    <row r="3" spans="2:79" ht="15" hidden="1" customHeight="1"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</row>
    <row r="4" spans="2:79" ht="15" hidden="1" customHeight="1">
      <c r="C4" s="81"/>
      <c r="D4" s="82"/>
      <c r="E4" s="82"/>
      <c r="F4" s="82"/>
      <c r="G4" s="82"/>
      <c r="H4" s="82"/>
      <c r="I4" s="82"/>
      <c r="J4" s="82"/>
      <c r="K4" s="82"/>
      <c r="L4" s="82"/>
      <c r="M4" s="82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</row>
    <row r="5" spans="2:79" ht="15" hidden="1" customHeight="1">
      <c r="C5" s="81"/>
      <c r="D5" s="82"/>
      <c r="E5" s="82"/>
      <c r="F5" s="82"/>
      <c r="G5" s="82"/>
      <c r="H5" s="82"/>
      <c r="I5" s="82"/>
      <c r="J5" s="82"/>
      <c r="K5" s="82"/>
      <c r="L5" s="82"/>
      <c r="M5" s="82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</row>
    <row r="6" spans="2:79" ht="15" hidden="1" customHeight="1">
      <c r="C6" s="81"/>
      <c r="D6" s="82"/>
      <c r="E6" s="82"/>
      <c r="F6" s="82"/>
      <c r="G6" s="82"/>
      <c r="H6" s="82"/>
      <c r="I6" s="82"/>
      <c r="J6" s="82"/>
      <c r="K6" s="82"/>
      <c r="L6" s="82"/>
      <c r="M6" s="82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</row>
    <row r="7" spans="2:79" ht="15" hidden="1" customHeight="1">
      <c r="C7" s="81"/>
      <c r="D7" s="82"/>
      <c r="E7" s="82"/>
      <c r="F7" s="82"/>
      <c r="G7" s="82"/>
      <c r="H7" s="82"/>
      <c r="I7" s="82"/>
      <c r="J7" s="82"/>
      <c r="K7" s="82"/>
      <c r="L7" s="82"/>
      <c r="M7" s="82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</row>
    <row r="8" spans="2:79" ht="15" hidden="1" customHeight="1">
      <c r="C8" s="81"/>
      <c r="D8" s="82"/>
      <c r="E8" s="82"/>
      <c r="F8" s="82"/>
      <c r="G8" s="82"/>
      <c r="H8" s="82"/>
      <c r="I8" s="82"/>
      <c r="J8" s="82"/>
      <c r="K8" s="82"/>
      <c r="L8" s="82"/>
      <c r="M8" s="82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</row>
    <row r="9" spans="2:79" ht="15" hidden="1" customHeight="1">
      <c r="C9" s="81"/>
      <c r="D9" s="82"/>
      <c r="E9" s="82"/>
      <c r="F9" s="82"/>
      <c r="G9" s="82"/>
      <c r="H9" s="82"/>
      <c r="I9" s="82"/>
      <c r="J9" s="82"/>
      <c r="K9" s="82"/>
      <c r="L9" s="82"/>
      <c r="M9" s="82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</row>
    <row r="10" spans="2:79" ht="15" customHeight="1" thickBot="1">
      <c r="C10" s="81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</row>
    <row r="11" spans="2:79" ht="18.75" customHeight="1" thickTop="1" thickBot="1">
      <c r="C11" s="167" t="str">
        <f>IF(MasterSheet!$A$1=1,MasterSheet!B67,MasterSheet!B66)</f>
        <v>BDP (u mil. €)</v>
      </c>
      <c r="D11" s="284">
        <f>+'Cental Budget'!D11:G11</f>
        <v>3393200615</v>
      </c>
      <c r="E11" s="285"/>
      <c r="F11" s="285"/>
      <c r="G11" s="286"/>
      <c r="H11" s="271"/>
      <c r="I11" s="272"/>
      <c r="J11" s="282">
        <f>+'Cental Budget'!J11:K11</f>
        <v>3327000000</v>
      </c>
      <c r="K11" s="283"/>
      <c r="L11" s="271"/>
      <c r="M11" s="275"/>
      <c r="N11" s="206"/>
      <c r="O11" s="81"/>
      <c r="P11" s="212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</row>
    <row r="12" spans="2:79" ht="19.5" customHeight="1" thickTop="1">
      <c r="C12" s="174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4"/>
      <c r="O12" s="81"/>
      <c r="P12" s="212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</row>
    <row r="13" spans="2:79" ht="27" customHeight="1" thickBot="1">
      <c r="B13" s="85"/>
      <c r="C13" s="175"/>
      <c r="D13" s="279" t="s">
        <v>472</v>
      </c>
      <c r="E13" s="279"/>
      <c r="F13" s="86"/>
      <c r="G13" s="86"/>
      <c r="H13" s="86"/>
      <c r="I13" s="86"/>
      <c r="J13" s="291" t="s">
        <v>470</v>
      </c>
      <c r="K13" s="291"/>
      <c r="L13" s="86"/>
      <c r="M13" s="86"/>
      <c r="N13" s="84"/>
      <c r="O13" s="136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</row>
    <row r="14" spans="2:79" ht="15.75" customHeight="1" thickTop="1">
      <c r="B14" s="87"/>
      <c r="C14" s="287" t="s">
        <v>235</v>
      </c>
      <c r="D14" s="289" t="s">
        <v>446</v>
      </c>
      <c r="E14" s="290"/>
      <c r="F14" s="289" t="s">
        <v>448</v>
      </c>
      <c r="G14" s="290"/>
      <c r="H14" s="289" t="str">
        <f>+'Cental Budget'!H14:I14</f>
        <v>Odstupanje</v>
      </c>
      <c r="I14" s="290"/>
      <c r="J14" s="289" t="s">
        <v>449</v>
      </c>
      <c r="K14" s="290"/>
      <c r="L14" s="289" t="str">
        <f>+H14</f>
        <v>Odstupanje</v>
      </c>
      <c r="M14" s="290"/>
      <c r="O14" s="99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</row>
    <row r="15" spans="2:79" ht="15" customHeight="1" thickBot="1">
      <c r="C15" s="288" t="str">
        <f>IF(MasterSheet!$A$1=1,MasterSheet!B71,MasterSheet!B70)</f>
        <v>Budžet Crne Gore</v>
      </c>
      <c r="D15" s="168" t="str">
        <f>IF(MasterSheet!$A$1=1,MasterSheet!C71,MasterSheet!C70)</f>
        <v>mil. €</v>
      </c>
      <c r="E15" s="169" t="str">
        <f>IF(MasterSheet!$A$1=1,MasterSheet!D71,MasterSheet!D70)</f>
        <v>% BDP</v>
      </c>
      <c r="F15" s="170" t="str">
        <f>IF(MasterSheet!$A$1=1,MasterSheet!E71,MasterSheet!E70)</f>
        <v>mil. €</v>
      </c>
      <c r="G15" s="171" t="str">
        <f>IF(MasterSheet!$A$1=1,MasterSheet!F71,MasterSheet!F70)</f>
        <v>% BDP</v>
      </c>
      <c r="H15" s="172" t="str">
        <f>IF(MasterSheet!$A$1=1,MasterSheet!G71,MasterSheet!G70)</f>
        <v>mil. €</v>
      </c>
      <c r="I15" s="171" t="s">
        <v>442</v>
      </c>
      <c r="J15" s="168" t="str">
        <f>IF(MasterSheet!$A$1=1,MasterSheet!I71,MasterSheet!I70)</f>
        <v>mil. €</v>
      </c>
      <c r="K15" s="170" t="str">
        <f>IF(MasterSheet!$A$1=1,MasterSheet!J71,MasterSheet!J70)</f>
        <v>% BDP</v>
      </c>
      <c r="L15" s="168" t="str">
        <f>IF(MasterSheet!$A$1=1,MasterSheet!K71,MasterSheet!K70)</f>
        <v>mil. €</v>
      </c>
      <c r="M15" s="169" t="s">
        <v>442</v>
      </c>
      <c r="O15" s="99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</row>
    <row r="16" spans="2:79" ht="15" customHeight="1" thickTop="1" thickBot="1">
      <c r="C16" s="178" t="str">
        <f>IF(MasterSheet!$A$1=1,MasterSheet!C72,MasterSheet!B72)</f>
        <v>Izvorni prihodi</v>
      </c>
      <c r="D16" s="176">
        <f>D17+D26+D31+D32+D33+D34+D35</f>
        <v>1560505175.3500001</v>
      </c>
      <c r="E16" s="346">
        <f t="shared" ref="E16:E75" si="0">D16/D$11*100</f>
        <v>45.989181083241078</v>
      </c>
      <c r="F16" s="176">
        <f>F17+F26+F31+F32+F33+F34+F35</f>
        <v>1442160125.022548</v>
      </c>
      <c r="G16" s="346">
        <f>F16/D$11*100</f>
        <v>42.501469516636519</v>
      </c>
      <c r="H16" s="176">
        <f>+D16-F16</f>
        <v>118345050.32745218</v>
      </c>
      <c r="I16" s="346">
        <f>+D16/F16*100-100</f>
        <v>8.2060964156529934</v>
      </c>
      <c r="J16" s="176">
        <f>J17+J26+J31+J32+J33+J34+J35</f>
        <v>1441892798.1699998</v>
      </c>
      <c r="K16" s="346">
        <f t="shared" ref="K16:K75" si="1">J16/J$11*100</f>
        <v>43.339128288848812</v>
      </c>
      <c r="L16" s="176">
        <f>+D16-J16</f>
        <v>118612377.18000031</v>
      </c>
      <c r="M16" s="346">
        <f>+D16/J16*100-100</f>
        <v>8.2261578205078223</v>
      </c>
      <c r="O16" s="99"/>
      <c r="P16" s="81"/>
      <c r="Q16" s="81"/>
      <c r="R16" s="81" t="s">
        <v>451</v>
      </c>
      <c r="S16" s="81" t="s">
        <v>452</v>
      </c>
      <c r="T16" s="81" t="s">
        <v>453</v>
      </c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</row>
    <row r="17" spans="2:84" ht="15" customHeight="1" thickTop="1">
      <c r="B17" s="80">
        <v>711</v>
      </c>
      <c r="C17" s="93" t="str">
        <f>IF(MasterSheet!$A$1=1,MasterSheet!C73,MasterSheet!B73)</f>
        <v>Porezi</v>
      </c>
      <c r="D17" s="154">
        <f>SUM(D18:D25)</f>
        <v>950104400.46000004</v>
      </c>
      <c r="E17" s="347">
        <f t="shared" si="0"/>
        <v>28.000242492588374</v>
      </c>
      <c r="F17" s="154">
        <f>SUM(F18:F25)</f>
        <v>888213842.08607054</v>
      </c>
      <c r="G17" s="347">
        <f t="shared" ref="G17:G75" si="2">F17/D$11*100</f>
        <v>26.176284365847035</v>
      </c>
      <c r="H17" s="209">
        <f t="shared" ref="H17:H75" si="3">+D17-F17</f>
        <v>61890558.373929501</v>
      </c>
      <c r="I17" s="353">
        <f t="shared" ref="I17:I75" si="4">+D17/F17*100-100</f>
        <v>6.9679794933810655</v>
      </c>
      <c r="J17" s="154">
        <f>SUM(J18:J25)</f>
        <v>863515765.85000002</v>
      </c>
      <c r="K17" s="347">
        <f t="shared" si="1"/>
        <v>25.954787070934778</v>
      </c>
      <c r="L17" s="209">
        <f t="shared" ref="L17:L75" si="5">+D17-J17</f>
        <v>86588634.610000014</v>
      </c>
      <c r="M17" s="355">
        <f t="shared" ref="M17:M75" si="6">+D17/J17*100-100</f>
        <v>10.027452657423879</v>
      </c>
      <c r="N17" s="220"/>
      <c r="O17" s="99"/>
      <c r="P17" s="81"/>
      <c r="Q17" s="81" t="s">
        <v>446</v>
      </c>
      <c r="R17" s="212">
        <f>+D16</f>
        <v>1560505175.3500001</v>
      </c>
      <c r="S17" s="212">
        <f>+D36</f>
        <v>1606646291.71</v>
      </c>
      <c r="T17" s="212">
        <f>+D64</f>
        <v>-46141116.359999895</v>
      </c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</row>
    <row r="18" spans="2:84" ht="15" customHeight="1">
      <c r="B18" s="80">
        <v>7111</v>
      </c>
      <c r="C18" s="97" t="str">
        <f>IF(MasterSheet!$A$1=1,MasterSheet!C74,MasterSheet!B74)</f>
        <v>Porez na dohodak fizičkih lica</v>
      </c>
      <c r="D18" s="156">
        <f>+IF(ISNUMBER(VLOOKUP($B18,'Cental Budget'!$B$16:$K$75,'Public Expenditure'!D$1,FALSE)),VLOOKUP($B18,'Cental Budget'!$B$16:$K$75,'Public Expenditure'!D$1,FALSE),0)+IF(ISNUMBER(VLOOKUP('Public Expenditure'!$B18,'Local Government'!$B$16:$O$75,'Public Expenditure'!D$1,FALSE)),VLOOKUP('Public Expenditure'!$B18,'Local Government'!$B$16:$O$75,'Public Expenditure'!D$1,FALSE),0)</f>
        <v>136822612.75</v>
      </c>
      <c r="E18" s="348">
        <f t="shared" si="0"/>
        <v>4.0322582798423783</v>
      </c>
      <c r="F18" s="156">
        <f>+IF(ISNUMBER(VLOOKUP($B18,'Cental Budget'!$B$16:$K$75,'Public Expenditure'!F$1,FALSE)),VLOOKUP($B18,'Cental Budget'!$B$16:$K$75,'Public Expenditure'!F$1,FALSE),0)+IF(ISNUMBER(VLOOKUP('Public Expenditure'!$B18,'Local Government'!$B$16:$O$75,'Public Expenditure'!F$1,FALSE)),VLOOKUP('Public Expenditure'!$B18,'Local Government'!$B$16:$O$75,'Public Expenditure'!F$1,FALSE),0)</f>
        <v>121146234.94025606</v>
      </c>
      <c r="G18" s="348">
        <f t="shared" si="2"/>
        <v>3.5702644401488195</v>
      </c>
      <c r="H18" s="210">
        <f t="shared" si="3"/>
        <v>15676377.809743941</v>
      </c>
      <c r="I18" s="354">
        <f t="shared" si="4"/>
        <v>12.940045406673036</v>
      </c>
      <c r="J18" s="156">
        <f>+IF(ISNUMBER(VLOOKUP($B18,'Cental Budget'!$B$16:$K$75,'Public Expenditure'!J$1,FALSE)),VLOOKUP($B18,'Cental Budget'!$B$16:$K$75,'Public Expenditure'!J$1,FALSE),0)+IF(ISNUMBER(VLOOKUP('Public Expenditure'!$B18,'Local Government'!$B$16:$O$75,'Public Expenditure'!J$1,FALSE)),VLOOKUP('Public Expenditure'!$B18,'Local Government'!$B$16:$O$75,'Public Expenditure'!J$1,FALSE),0)</f>
        <v>124151670.43000001</v>
      </c>
      <c r="K18" s="348">
        <f t="shared" si="1"/>
        <v>3.731640229335738</v>
      </c>
      <c r="L18" s="210">
        <f t="shared" si="5"/>
        <v>12670942.319999993</v>
      </c>
      <c r="M18" s="354">
        <f t="shared" si="6"/>
        <v>10.206018393561763</v>
      </c>
      <c r="O18" s="99"/>
      <c r="P18" s="81"/>
      <c r="Q18" s="81" t="s">
        <v>448</v>
      </c>
      <c r="R18" s="212">
        <f>+F16</f>
        <v>1442160125.022548</v>
      </c>
      <c r="S18" s="212">
        <f>+F36</f>
        <v>1464813209.7363348</v>
      </c>
      <c r="T18" s="212">
        <f>+F64</f>
        <v>-22653084.71378684</v>
      </c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</row>
    <row r="19" spans="2:84" ht="15" customHeight="1">
      <c r="B19" s="80">
        <v>7112</v>
      </c>
      <c r="C19" s="97" t="str">
        <f>IF(MasterSheet!$A$1=1,MasterSheet!C75,MasterSheet!B75)</f>
        <v>Porez na dobit pravnih lica</v>
      </c>
      <c r="D19" s="156">
        <f>+IF(ISNUMBER(VLOOKUP($B19,'Cental Budget'!$B$16:$K$75,'Public Expenditure'!D$1,FALSE)),VLOOKUP($B19,'Cental Budget'!$B$16:$K$75,'Public Expenditure'!D$1,FALSE),0)+IF(ISNUMBER(VLOOKUP('Public Expenditure'!$B19,'Local Government'!$B$16:$O$75,'Public Expenditure'!D$1,FALSE)),VLOOKUP('Public Expenditure'!$B19,'Local Government'!$B$16:$O$75,'Public Expenditure'!D$1,FALSE),0)</f>
        <v>45020371.5</v>
      </c>
      <c r="E19" s="348">
        <f t="shared" si="0"/>
        <v>1.3267818973326457</v>
      </c>
      <c r="F19" s="156">
        <f>+IF(ISNUMBER(VLOOKUP($B19,'Cental Budget'!$B$16:$K$75,'Public Expenditure'!F$1,FALSE)),VLOOKUP($B19,'Cental Budget'!$B$16:$K$75,'Public Expenditure'!F$1,FALSE),0)+IF(ISNUMBER(VLOOKUP('Public Expenditure'!$B19,'Local Government'!$B$16:$O$75,'Public Expenditure'!F$1,FALSE)),VLOOKUP('Public Expenditure'!$B19,'Local Government'!$B$16:$O$75,'Public Expenditure'!F$1,FALSE),0)</f>
        <v>44395641.531501003</v>
      </c>
      <c r="G19" s="348">
        <f t="shared" si="2"/>
        <v>1.3083706673647706</v>
      </c>
      <c r="H19" s="210">
        <f t="shared" si="3"/>
        <v>624729.96849899739</v>
      </c>
      <c r="I19" s="354">
        <f t="shared" si="4"/>
        <v>1.4071876133510131</v>
      </c>
      <c r="J19" s="156">
        <f>+IF(ISNUMBER(VLOOKUP($B19,'Cental Budget'!$B$16:$K$75,'Public Expenditure'!J$1,FALSE)),VLOOKUP($B19,'Cental Budget'!$B$16:$K$75,'Public Expenditure'!J$1,FALSE),0)+IF(ISNUMBER(VLOOKUP('Public Expenditure'!$B19,'Local Government'!$B$16:$O$75,'Public Expenditure'!J$1,FALSE)),VLOOKUP('Public Expenditure'!$B19,'Local Government'!$B$16:$O$75,'Public Expenditure'!J$1,FALSE),0)</f>
        <v>40638726.390000008</v>
      </c>
      <c r="K19" s="348">
        <f t="shared" si="1"/>
        <v>1.2214826086564474</v>
      </c>
      <c r="L19" s="210">
        <f t="shared" si="5"/>
        <v>4381645.109999992</v>
      </c>
      <c r="M19" s="354">
        <f t="shared" si="6"/>
        <v>10.7819449555343</v>
      </c>
      <c r="O19" s="81"/>
      <c r="P19" s="137"/>
      <c r="Q19" s="137">
        <v>2013</v>
      </c>
      <c r="R19" s="213">
        <f>+J16</f>
        <v>1441892798.1699998</v>
      </c>
      <c r="S19" s="214">
        <f>+J36</f>
        <v>1587943694.3399999</v>
      </c>
      <c r="T19" s="214">
        <f>+J64</f>
        <v>-160489001.39730006</v>
      </c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9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C19" s="81"/>
    </row>
    <row r="20" spans="2:84" ht="15" customHeight="1">
      <c r="B20" s="80">
        <v>7113</v>
      </c>
      <c r="C20" s="97" t="str">
        <f>IF(MasterSheet!$A$1=1,MasterSheet!C76,MasterSheet!B76)</f>
        <v>Porez na promet nepokretnosti</v>
      </c>
      <c r="D20" s="156">
        <f>+IF(ISNUMBER(VLOOKUP($B20,'Cental Budget'!$B$16:$K$75,'Public Expenditure'!D$1,FALSE)),VLOOKUP($B20,'Cental Budget'!$B$16:$K$75,'Public Expenditure'!D$1,FALSE),0)+IF(ISNUMBER(VLOOKUP('Public Expenditure'!$B20,'Local Government'!$B$16:$O$75,'Public Expenditure'!D$1,FALSE)),VLOOKUP('Public Expenditure'!$B20,'Local Government'!$B$16:$O$75,'Public Expenditure'!D$1,FALSE),0)</f>
        <v>14874445.23</v>
      </c>
      <c r="E20" s="348">
        <f t="shared" si="0"/>
        <v>0.43836032459283286</v>
      </c>
      <c r="F20" s="156">
        <f>+IF(ISNUMBER(VLOOKUP($B20,'Cental Budget'!$B$16:$K$75,'Public Expenditure'!F$1,FALSE)),VLOOKUP($B20,'Cental Budget'!$B$16:$K$75,'Public Expenditure'!F$1,FALSE),0)+IF(ISNUMBER(VLOOKUP('Public Expenditure'!$B20,'Local Government'!$B$16:$O$75,'Public Expenditure'!F$1,FALSE)),VLOOKUP('Public Expenditure'!$B20,'Local Government'!$B$16:$O$75,'Public Expenditure'!F$1,FALSE),0)</f>
        <v>15794897.073670637</v>
      </c>
      <c r="G20" s="348">
        <f t="shared" si="2"/>
        <v>0.46548668545701755</v>
      </c>
      <c r="H20" s="210">
        <f t="shared" si="3"/>
        <v>-920451.84367063642</v>
      </c>
      <c r="I20" s="354">
        <f t="shared" si="4"/>
        <v>-5.8275266966125798</v>
      </c>
      <c r="J20" s="156">
        <f>+IF(ISNUMBER(VLOOKUP($B20,'Cental Budget'!$B$16:$K$75,'Public Expenditure'!J$1,FALSE)),VLOOKUP($B20,'Cental Budget'!$B$16:$K$75,'Public Expenditure'!J$1,FALSE),0)+IF(ISNUMBER(VLOOKUP('Public Expenditure'!$B20,'Local Government'!$B$16:$O$75,'Public Expenditure'!J$1,FALSE)),VLOOKUP('Public Expenditure'!$B20,'Local Government'!$B$16:$O$75,'Public Expenditure'!J$1,FALSE),0)</f>
        <v>14130634.389999997</v>
      </c>
      <c r="K20" s="348">
        <f t="shared" si="1"/>
        <v>0.42472601112113006</v>
      </c>
      <c r="L20" s="210">
        <f t="shared" si="5"/>
        <v>743810.84000000358</v>
      </c>
      <c r="M20" s="354">
        <f t="shared" si="6"/>
        <v>5.2638177414482215</v>
      </c>
      <c r="P20" s="137"/>
      <c r="Q20" s="137"/>
      <c r="R20" s="137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9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8"/>
      <c r="BQ20" s="138"/>
      <c r="BR20" s="138"/>
      <c r="BS20" s="138"/>
      <c r="BT20" s="138"/>
      <c r="BU20" s="138"/>
      <c r="BV20" s="138"/>
      <c r="BW20" s="138"/>
      <c r="BX20" s="138"/>
      <c r="BY20" s="138"/>
      <c r="BZ20" s="138"/>
      <c r="CA20" s="138"/>
    </row>
    <row r="21" spans="2:84" ht="15" customHeight="1">
      <c r="B21" s="80">
        <v>7114</v>
      </c>
      <c r="C21" s="97" t="str">
        <f>IF(MasterSheet!$A$1=1,MasterSheet!C77,MasterSheet!B77)</f>
        <v>Porez na dodatu vrijednost</v>
      </c>
      <c r="D21" s="156">
        <f>+IF(ISNUMBER(VLOOKUP($B21,'Cental Budget'!$B$16:$K$75,'Public Expenditure'!D$1,FALSE)),VLOOKUP($B21,'Cental Budget'!$B$16:$K$75,'Public Expenditure'!D$1,FALSE),0)+IF(ISNUMBER(VLOOKUP('Public Expenditure'!$B21,'Local Government'!$B$16:$O$75,'Public Expenditure'!D$1,FALSE)),VLOOKUP('Public Expenditure'!$B21,'Local Government'!$B$16:$O$75,'Public Expenditure'!D$1,FALSE),0)</f>
        <v>497589192.80000001</v>
      </c>
      <c r="E21" s="348">
        <f t="shared" si="0"/>
        <v>14.664302210731506</v>
      </c>
      <c r="F21" s="156">
        <f>+IF(ISNUMBER(VLOOKUP($B21,'Cental Budget'!$B$16:$K$75,'Public Expenditure'!F$1,FALSE)),VLOOKUP($B21,'Cental Budget'!$B$16:$K$75,'Public Expenditure'!F$1,FALSE),0)+IF(ISNUMBER(VLOOKUP('Public Expenditure'!$B21,'Local Government'!$B$16:$O$75,'Public Expenditure'!F$1,FALSE)),VLOOKUP('Public Expenditure'!$B21,'Local Government'!$B$16:$O$75,'Public Expenditure'!F$1,FALSE),0)</f>
        <v>455945630.52919102</v>
      </c>
      <c r="G21" s="348">
        <f t="shared" si="2"/>
        <v>13.437037247772366</v>
      </c>
      <c r="H21" s="210">
        <f t="shared" si="3"/>
        <v>41643562.270808995</v>
      </c>
      <c r="I21" s="354">
        <f t="shared" si="4"/>
        <v>9.1334491400818081</v>
      </c>
      <c r="J21" s="156">
        <f>+IF(ISNUMBER(VLOOKUP($B21,'Cental Budget'!$B$16:$K$75,'Public Expenditure'!J$1,FALSE)),VLOOKUP($B21,'Cental Budget'!$B$16:$K$75,'Public Expenditure'!J$1,FALSE),0)+IF(ISNUMBER(VLOOKUP('Public Expenditure'!$B21,'Local Government'!$B$16:$O$75,'Public Expenditure'!J$1,FALSE)),VLOOKUP('Public Expenditure'!$B21,'Local Government'!$B$16:$O$75,'Public Expenditure'!J$1,FALSE),0)</f>
        <v>429195069.32999998</v>
      </c>
      <c r="K21" s="348">
        <f t="shared" si="1"/>
        <v>12.900362769161406</v>
      </c>
      <c r="L21" s="210">
        <f t="shared" si="5"/>
        <v>68394123.470000029</v>
      </c>
      <c r="M21" s="354">
        <f t="shared" si="6"/>
        <v>15.935440166348485</v>
      </c>
      <c r="P21" s="81"/>
      <c r="Q21" s="81"/>
      <c r="R21" s="81"/>
    </row>
    <row r="22" spans="2:84" ht="15" customHeight="1">
      <c r="B22" s="80">
        <v>7115</v>
      </c>
      <c r="C22" s="97" t="str">
        <f>IF(MasterSheet!$A$1=1,MasterSheet!C78,MasterSheet!B78)</f>
        <v>Akcize</v>
      </c>
      <c r="D22" s="156">
        <f>+IF(ISNUMBER(VLOOKUP($B22,'Cental Budget'!$B$16:$K$75,'Public Expenditure'!D$1,FALSE)),VLOOKUP($B22,'Cental Budget'!$B$16:$K$75,'Public Expenditure'!D$1,FALSE),0)+IF(ISNUMBER(VLOOKUP('Public Expenditure'!$B22,'Local Government'!$B$16:$O$75,'Public Expenditure'!D$1,FALSE)),VLOOKUP('Public Expenditure'!$B22,'Local Government'!$B$16:$O$75,'Public Expenditure'!D$1,FALSE),0)</f>
        <v>156466946.75</v>
      </c>
      <c r="E22" s="348">
        <f t="shared" si="0"/>
        <v>4.6111905691140516</v>
      </c>
      <c r="F22" s="156">
        <f>+IF(ISNUMBER(VLOOKUP($B22,'Cental Budget'!$B$16:$K$75,'Public Expenditure'!F$1,FALSE)),VLOOKUP($B22,'Cental Budget'!$B$16:$K$75,'Public Expenditure'!F$1,FALSE),0)+IF(ISNUMBER(VLOOKUP('Public Expenditure'!$B22,'Local Government'!$B$16:$O$75,'Public Expenditure'!F$1,FALSE)),VLOOKUP('Public Expenditure'!$B22,'Local Government'!$B$16:$O$75,'Public Expenditure'!F$1,FALSE),0)</f>
        <v>171111988.52539012</v>
      </c>
      <c r="G22" s="348">
        <f t="shared" si="2"/>
        <v>5.0427902131389342</v>
      </c>
      <c r="H22" s="210">
        <f t="shared" si="3"/>
        <v>-14645041.775390118</v>
      </c>
      <c r="I22" s="354">
        <f t="shared" si="4"/>
        <v>-8.5587467608776251</v>
      </c>
      <c r="J22" s="156">
        <f>+IF(ISNUMBER(VLOOKUP($B22,'Cental Budget'!$B$16:$K$75,'Public Expenditure'!J$1,FALSE)),VLOOKUP($B22,'Cental Budget'!$B$16:$K$75,'Public Expenditure'!J$1,FALSE),0)+IF(ISNUMBER(VLOOKUP('Public Expenditure'!$B22,'Local Government'!$B$16:$O$75,'Public Expenditure'!J$1,FALSE)),VLOOKUP('Public Expenditure'!$B22,'Local Government'!$B$16:$O$75,'Public Expenditure'!J$1,FALSE),0)</f>
        <v>161445470.17000002</v>
      </c>
      <c r="K22" s="348">
        <f t="shared" si="1"/>
        <v>4.8525840147279835</v>
      </c>
      <c r="L22" s="210">
        <f t="shared" si="5"/>
        <v>-4978523.4200000167</v>
      </c>
      <c r="M22" s="354">
        <f t="shared" si="6"/>
        <v>-3.0837182453974776</v>
      </c>
      <c r="P22" s="81"/>
      <c r="Q22" s="81"/>
      <c r="R22" s="81"/>
    </row>
    <row r="23" spans="2:84" ht="15" customHeight="1">
      <c r="B23" s="80">
        <v>7116</v>
      </c>
      <c r="C23" s="97" t="str">
        <f>IF(MasterSheet!$A$1=1,MasterSheet!C79,MasterSheet!B79)</f>
        <v>Porez na međunarodnu trgovinu i transakcije</v>
      </c>
      <c r="D23" s="156">
        <f>+IF(ISNUMBER(VLOOKUP($B23,'Cental Budget'!$B$16:$K$75,'Public Expenditure'!D$1,FALSE)),VLOOKUP($B23,'Cental Budget'!$B$16:$K$75,'Public Expenditure'!D$1,FALSE),0)+IF(ISNUMBER(VLOOKUP('Public Expenditure'!$B23,'Local Government'!$B$16:$O$75,'Public Expenditure'!D$1,FALSE)),VLOOKUP('Public Expenditure'!$B23,'Local Government'!$B$16:$O$75,'Public Expenditure'!D$1,FALSE),0)</f>
        <v>22270229.460000001</v>
      </c>
      <c r="E23" s="348">
        <f t="shared" si="0"/>
        <v>0.65631926864424439</v>
      </c>
      <c r="F23" s="156">
        <f>+IF(ISNUMBER(VLOOKUP($B23,'Cental Budget'!$B$16:$K$75,'Public Expenditure'!F$1,FALSE)),VLOOKUP($B23,'Cental Budget'!$B$16:$K$75,'Public Expenditure'!F$1,FALSE),0)+IF(ISNUMBER(VLOOKUP('Public Expenditure'!$B23,'Local Government'!$B$16:$O$75,'Public Expenditure'!F$1,FALSE)),VLOOKUP('Public Expenditure'!$B23,'Local Government'!$B$16:$O$75,'Public Expenditure'!F$1,FALSE),0)</f>
        <v>23735353.696558259</v>
      </c>
      <c r="G23" s="348">
        <f t="shared" si="2"/>
        <v>0.69949750662055266</v>
      </c>
      <c r="H23" s="210">
        <f t="shared" si="3"/>
        <v>-1465124.2365582585</v>
      </c>
      <c r="I23" s="354">
        <f t="shared" si="4"/>
        <v>-6.1727508057767437</v>
      </c>
      <c r="J23" s="156">
        <f>+IF(ISNUMBER(VLOOKUP($B23,'Cental Budget'!$B$16:$K$75,'Public Expenditure'!J$1,FALSE)),VLOOKUP($B23,'Cental Budget'!$B$16:$K$75,'Public Expenditure'!J$1,FALSE),0)+IF(ISNUMBER(VLOOKUP('Public Expenditure'!$B23,'Local Government'!$B$16:$O$75,'Public Expenditure'!J$1,FALSE)),VLOOKUP('Public Expenditure'!$B23,'Local Government'!$B$16:$O$75,'Public Expenditure'!J$1,FALSE),0)</f>
        <v>22269382.640000001</v>
      </c>
      <c r="K23" s="348">
        <f t="shared" si="1"/>
        <v>0.66935325037571392</v>
      </c>
      <c r="L23" s="210">
        <f t="shared" si="5"/>
        <v>846.82000000029802</v>
      </c>
      <c r="M23" s="354">
        <f t="shared" si="6"/>
        <v>3.8026200083152162E-3</v>
      </c>
      <c r="O23" s="81"/>
      <c r="P23" s="81"/>
      <c r="Q23" s="81"/>
      <c r="R23" s="81"/>
      <c r="CD23" s="140"/>
      <c r="CE23" s="140"/>
      <c r="CF23" s="81"/>
    </row>
    <row r="24" spans="2:84" ht="15" customHeight="1">
      <c r="B24" s="80">
        <v>7117</v>
      </c>
      <c r="C24" s="97" t="s">
        <v>11</v>
      </c>
      <c r="D24" s="156">
        <f>+IF(ISNUMBER(VLOOKUP($B24,'Cental Budget'!$B$16:$K$75,'Public Expenditure'!D$1,FALSE)),VLOOKUP($B24,'Cental Budget'!$B$16:$K$75,'Public Expenditure'!D$1,FALSE),0)+IF(ISNUMBER(VLOOKUP('Public Expenditure'!$B24,'Local Government'!$B$16:$O$75,'Public Expenditure'!D$1,FALSE)),VLOOKUP('Public Expenditure'!$B24,'Local Government'!$B$16:$O$75,'Public Expenditure'!D$1,FALSE),0)</f>
        <v>71088981.510000005</v>
      </c>
      <c r="E24" s="348">
        <f t="shared" si="0"/>
        <v>2.0950421026020001</v>
      </c>
      <c r="F24" s="156">
        <f>+IF(ISNUMBER(VLOOKUP($B24,'Cental Budget'!$B$16:$K$75,'Public Expenditure'!F$1,FALSE)),VLOOKUP($B24,'Cental Budget'!$B$16:$K$75,'Public Expenditure'!F$1,FALSE),0)+IF(ISNUMBER(VLOOKUP('Public Expenditure'!$B24,'Local Government'!$B$16:$O$75,'Public Expenditure'!F$1,FALSE)),VLOOKUP('Public Expenditure'!$B24,'Local Government'!$B$16:$O$75,'Public Expenditure'!F$1,FALSE),0)</f>
        <v>51000000</v>
      </c>
      <c r="G24" s="348">
        <f t="shared" si="2"/>
        <v>1.5030057396120093</v>
      </c>
      <c r="H24" s="210">
        <f t="shared" si="3"/>
        <v>20088981.510000005</v>
      </c>
      <c r="I24" s="354">
        <f t="shared" si="4"/>
        <v>39.390159823529416</v>
      </c>
      <c r="J24" s="156">
        <f>+IF(ISNUMBER(VLOOKUP($B24,'Cental Budget'!$B$16:$K$75,'Public Expenditure'!J$1,FALSE)),VLOOKUP($B24,'Cental Budget'!$B$16:$K$75,'Public Expenditure'!J$1,FALSE),0)+IF(ISNUMBER(VLOOKUP('Public Expenditure'!$B24,'Local Government'!$B$16:$O$75,'Public Expenditure'!J$1,FALSE)),VLOOKUP('Public Expenditure'!$B24,'Local Government'!$B$16:$O$75,'Public Expenditure'!J$1,FALSE),0)</f>
        <v>66596000.749999985</v>
      </c>
      <c r="K24" s="348">
        <f t="shared" si="1"/>
        <v>2.0016832206191761</v>
      </c>
      <c r="L24" s="210">
        <f t="shared" si="5"/>
        <v>4492980.7600000203</v>
      </c>
      <c r="M24" s="354">
        <f t="shared" si="6"/>
        <v>6.7466224839334927</v>
      </c>
      <c r="O24" s="81"/>
      <c r="P24" s="81"/>
      <c r="Q24" s="81"/>
      <c r="R24" s="81"/>
      <c r="CD24" s="140"/>
      <c r="CE24" s="140"/>
      <c r="CF24" s="81"/>
    </row>
    <row r="25" spans="2:84" ht="15" customHeight="1">
      <c r="B25" s="80">
        <v>7118</v>
      </c>
      <c r="C25" s="97" t="str">
        <f>IF(MasterSheet!$A$1=1,MasterSheet!C80,MasterSheet!B80)</f>
        <v>Ostali republički prihodi</v>
      </c>
      <c r="D25" s="156">
        <f>+IF(ISNUMBER(VLOOKUP($B25,'Cental Budget'!$B$16:$K$75,'Public Expenditure'!D$1,FALSE)),VLOOKUP($B25,'Cental Budget'!$B$16:$K$75,'Public Expenditure'!D$1,FALSE),0)+IF(ISNUMBER(VLOOKUP('Public Expenditure'!$B25,'Local Government'!$B$16:$O$75,'Public Expenditure'!D$1,FALSE)),VLOOKUP('Public Expenditure'!$B25,'Local Government'!$B$16:$O$75,'Public Expenditure'!D$1,FALSE),0)</f>
        <v>5971620.4600000009</v>
      </c>
      <c r="E25" s="348">
        <f t="shared" si="0"/>
        <v>0.17598783972871584</v>
      </c>
      <c r="F25" s="156">
        <f>+IF(ISNUMBER(VLOOKUP($B25,'Cental Budget'!$B$16:$K$75,'Public Expenditure'!F$1,FALSE)),VLOOKUP($B25,'Cental Budget'!$B$16:$K$75,'Public Expenditure'!F$1,FALSE),0)+IF(ISNUMBER(VLOOKUP('Public Expenditure'!$B25,'Local Government'!$B$16:$O$75,'Public Expenditure'!F$1,FALSE)),VLOOKUP('Public Expenditure'!$B25,'Local Government'!$B$16:$O$75,'Public Expenditure'!F$1,FALSE),0)</f>
        <v>5084095.7895035082</v>
      </c>
      <c r="G25" s="348">
        <f t="shared" si="2"/>
        <v>0.1498318657325691</v>
      </c>
      <c r="H25" s="210">
        <f t="shared" si="3"/>
        <v>887524.67049649265</v>
      </c>
      <c r="I25" s="354">
        <f t="shared" si="4"/>
        <v>17.456883332702986</v>
      </c>
      <c r="J25" s="156">
        <f>+IF(ISNUMBER(VLOOKUP($B25,'Cental Budget'!$B$16:$K$75,'Public Expenditure'!J$1,FALSE)),VLOOKUP($B25,'Cental Budget'!$B$16:$K$75,'Public Expenditure'!J$1,FALSE),0)+IF(ISNUMBER(VLOOKUP('Public Expenditure'!$B25,'Local Government'!$B$16:$O$75,'Public Expenditure'!J$1,FALSE)),VLOOKUP('Public Expenditure'!$B25,'Local Government'!$B$16:$O$75,'Public Expenditure'!J$1,FALSE),0)</f>
        <v>5088811.7500000009</v>
      </c>
      <c r="K25" s="348">
        <f t="shared" si="1"/>
        <v>0.15295496693718066</v>
      </c>
      <c r="L25" s="210">
        <f t="shared" si="5"/>
        <v>882808.71</v>
      </c>
      <c r="M25" s="354">
        <f t="shared" si="6"/>
        <v>17.348032377106492</v>
      </c>
      <c r="O25" s="81"/>
      <c r="P25" s="81"/>
      <c r="Q25" s="81"/>
      <c r="R25" s="81"/>
      <c r="CD25" s="140"/>
      <c r="CE25" s="140"/>
      <c r="CF25" s="81"/>
    </row>
    <row r="26" spans="2:84" ht="15" customHeight="1">
      <c r="B26" s="80">
        <v>712</v>
      </c>
      <c r="C26" s="93" t="str">
        <f>IF(MasterSheet!$A$1=1,MasterSheet!C81,MasterSheet!B81)</f>
        <v>Doprinosi</v>
      </c>
      <c r="D26" s="154">
        <f>SUM(D27:D30)</f>
        <v>444303244.55000001</v>
      </c>
      <c r="E26" s="349">
        <f t="shared" si="0"/>
        <v>13.093927974252711</v>
      </c>
      <c r="F26" s="154">
        <f>SUM(F27:F30)</f>
        <v>397823173.70918262</v>
      </c>
      <c r="G26" s="349">
        <f t="shared" si="2"/>
        <v>11.724127714422879</v>
      </c>
      <c r="H26" s="209">
        <f t="shared" si="3"/>
        <v>46480070.840817392</v>
      </c>
      <c r="I26" s="355">
        <f t="shared" si="4"/>
        <v>11.683600632776447</v>
      </c>
      <c r="J26" s="154">
        <f>SUM(J27:J30)</f>
        <v>398494284.19</v>
      </c>
      <c r="K26" s="349">
        <f t="shared" si="1"/>
        <v>11.97758593898407</v>
      </c>
      <c r="L26" s="209">
        <f t="shared" si="5"/>
        <v>45808960.360000014</v>
      </c>
      <c r="M26" s="355">
        <f t="shared" si="6"/>
        <v>11.495512527391355</v>
      </c>
      <c r="O26" s="81"/>
      <c r="P26" s="81"/>
      <c r="Q26" s="81"/>
      <c r="R26" s="81"/>
      <c r="CD26" s="140"/>
      <c r="CE26" s="140"/>
      <c r="CF26" s="81"/>
    </row>
    <row r="27" spans="2:84" ht="15" hidden="1" customHeight="1">
      <c r="B27" s="80">
        <v>7121</v>
      </c>
      <c r="C27" s="97" t="str">
        <f>IF(MasterSheet!$A$1=1,MasterSheet!C82,MasterSheet!B82)</f>
        <v>Doprinosi za penzijsko i invalidsko osiguranje</v>
      </c>
      <c r="D27" s="156">
        <f>+IF(ISNUMBER(VLOOKUP($B27,'Cental Budget'!$B$16:$K$75,'Public Expenditure'!D$1,FALSE)),VLOOKUP($B27,'Cental Budget'!$B$16:$K$75,'Public Expenditure'!D$1,FALSE),0)+IF(ISNUMBER(VLOOKUP('Public Expenditure'!$B27,'Local Government'!$B$16:$O$75,'Public Expenditure'!D$1,FALSE)),VLOOKUP('Public Expenditure'!$B27,'Local Government'!$B$16:$O$75,'Public Expenditure'!D$1,FALSE),0)</f>
        <v>270120228.04000002</v>
      </c>
      <c r="E27" s="348">
        <f t="shared" si="0"/>
        <v>7.9606324143024487</v>
      </c>
      <c r="F27" s="156">
        <f>+IF(ISNUMBER(VLOOKUP($B27,'Cental Budget'!$B$16:$K$75,'Public Expenditure'!F$1,FALSE)),VLOOKUP($B27,'Cental Budget'!$B$16:$K$75,'Public Expenditure'!F$1,FALSE),0)+IF(ISNUMBER(VLOOKUP('Public Expenditure'!$B27,'Local Government'!$B$16:$O$75,'Public Expenditure'!F$1,FALSE)),VLOOKUP('Public Expenditure'!$B27,'Local Government'!$B$16:$O$75,'Public Expenditure'!F$1,FALSE),0)</f>
        <v>234882396.70208701</v>
      </c>
      <c r="G27" s="348">
        <f t="shared" si="2"/>
        <v>6.9221488309227777</v>
      </c>
      <c r="H27" s="210">
        <f t="shared" si="3"/>
        <v>35237831.337913007</v>
      </c>
      <c r="I27" s="354">
        <f t="shared" si="4"/>
        <v>15.002329605230869</v>
      </c>
      <c r="J27" s="156">
        <f>+IF(ISNUMBER(VLOOKUP($B27,'Cental Budget'!$B$16:$K$75,'Public Expenditure'!J$1,FALSE)),VLOOKUP($B27,'Cental Budget'!$B$16:$K$75,'Public Expenditure'!J$1,FALSE),0)+IF(ISNUMBER(VLOOKUP('Public Expenditure'!$B27,'Local Government'!$B$16:$O$75,'Public Expenditure'!J$1,FALSE)),VLOOKUP('Public Expenditure'!$B27,'Local Government'!$B$16:$O$75,'Public Expenditure'!J$1,FALSE),0)</f>
        <v>241949355.72999999</v>
      </c>
      <c r="K27" s="348">
        <f t="shared" si="1"/>
        <v>7.2722980381725266</v>
      </c>
      <c r="L27" s="210">
        <f t="shared" si="5"/>
        <v>28170872.310000032</v>
      </c>
      <c r="M27" s="354">
        <f t="shared" si="6"/>
        <v>11.643292963109573</v>
      </c>
      <c r="O27" s="81"/>
      <c r="P27" s="81"/>
      <c r="Q27" s="81"/>
      <c r="R27" s="81"/>
      <c r="CD27" s="140"/>
      <c r="CE27" s="140"/>
      <c r="CF27" s="81"/>
    </row>
    <row r="28" spans="2:84" ht="15" hidden="1" customHeight="1">
      <c r="B28" s="80">
        <v>7122</v>
      </c>
      <c r="C28" s="97" t="str">
        <f>IF(MasterSheet!$A$1=1,MasterSheet!C83,MasterSheet!B83)</f>
        <v>Doprinosi za zdravstveno osiguranje</v>
      </c>
      <c r="D28" s="156">
        <f>+IF(ISNUMBER(VLOOKUP($B28,'Cental Budget'!$B$16:$K$75,'Public Expenditure'!D$1,FALSE)),VLOOKUP($B28,'Cental Budget'!$B$16:$K$75,'Public Expenditure'!D$1,FALSE),0)+IF(ISNUMBER(VLOOKUP('Public Expenditure'!$B28,'Local Government'!$B$16:$O$75,'Public Expenditure'!D$1,FALSE)),VLOOKUP('Public Expenditure'!$B28,'Local Government'!$B$16:$O$75,'Public Expenditure'!D$1,FALSE),0)</f>
        <v>151034703.57999998</v>
      </c>
      <c r="E28" s="348">
        <f t="shared" si="0"/>
        <v>4.4510985561046761</v>
      </c>
      <c r="F28" s="156">
        <f>+IF(ISNUMBER(VLOOKUP($B28,'Cental Budget'!$B$16:$K$75,'Public Expenditure'!F$1,FALSE)),VLOOKUP($B28,'Cental Budget'!$B$16:$K$75,'Public Expenditure'!F$1,FALSE),0)+IF(ISNUMBER(VLOOKUP('Public Expenditure'!$B28,'Local Government'!$B$16:$O$75,'Public Expenditure'!F$1,FALSE)),VLOOKUP('Public Expenditure'!$B28,'Local Government'!$B$16:$O$75,'Public Expenditure'!F$1,FALSE),0)</f>
        <v>138667298.82084399</v>
      </c>
      <c r="G28" s="348">
        <f t="shared" si="2"/>
        <v>4.0866224710631789</v>
      </c>
      <c r="H28" s="210">
        <f t="shared" si="3"/>
        <v>12367404.759155989</v>
      </c>
      <c r="I28" s="354">
        <f t="shared" si="4"/>
        <v>8.9187608501226237</v>
      </c>
      <c r="J28" s="156">
        <f>+IF(ISNUMBER(VLOOKUP($B28,'Cental Budget'!$B$16:$K$75,'Public Expenditure'!J$1,FALSE)),VLOOKUP($B28,'Cental Budget'!$B$16:$K$75,'Public Expenditure'!J$1,FALSE),0)+IF(ISNUMBER(VLOOKUP('Public Expenditure'!$B28,'Local Government'!$B$16:$O$75,'Public Expenditure'!J$1,FALSE)),VLOOKUP('Public Expenditure'!$B28,'Local Government'!$B$16:$O$75,'Public Expenditure'!J$1,FALSE),0)</f>
        <v>134703897.09</v>
      </c>
      <c r="K28" s="348">
        <f t="shared" si="1"/>
        <v>4.0488096510369704</v>
      </c>
      <c r="L28" s="210">
        <f t="shared" si="5"/>
        <v>16330806.48999998</v>
      </c>
      <c r="M28" s="354">
        <f t="shared" si="6"/>
        <v>12.123484800954827</v>
      </c>
      <c r="O28" s="81"/>
      <c r="P28" s="81"/>
      <c r="Q28" s="81"/>
      <c r="R28" s="81"/>
      <c r="CD28" s="140"/>
      <c r="CE28" s="140"/>
      <c r="CF28" s="81"/>
    </row>
    <row r="29" spans="2:84" ht="15" hidden="1" customHeight="1">
      <c r="B29" s="80">
        <v>7123</v>
      </c>
      <c r="C29" s="97" t="str">
        <f>IF(MasterSheet!$A$1=1,MasterSheet!C84,MasterSheet!B84)</f>
        <v>Doprinosi za osiguranje od nezaposlenosti</v>
      </c>
      <c r="D29" s="156">
        <f>+IF(ISNUMBER(VLOOKUP($B29,'Cental Budget'!$B$16:$K$75,'Public Expenditure'!D$1,FALSE)),VLOOKUP($B29,'Cental Budget'!$B$16:$K$75,'Public Expenditure'!D$1,FALSE),0)+IF(ISNUMBER(VLOOKUP('Public Expenditure'!$B29,'Local Government'!$B$16:$O$75,'Public Expenditure'!D$1,FALSE)),VLOOKUP('Public Expenditure'!$B29,'Local Government'!$B$16:$O$75,'Public Expenditure'!D$1,FALSE),0)</f>
        <v>12160117.389999999</v>
      </c>
      <c r="E29" s="348">
        <f t="shared" si="0"/>
        <v>0.3583671810103099</v>
      </c>
      <c r="F29" s="156">
        <f>+IF(ISNUMBER(VLOOKUP($B29,'Cental Budget'!$B$16:$K$75,'Public Expenditure'!F$1,FALSE)),VLOOKUP($B29,'Cental Budget'!$B$16:$K$75,'Public Expenditure'!F$1,FALSE),0)+IF(ISNUMBER(VLOOKUP('Public Expenditure'!$B29,'Local Government'!$B$16:$O$75,'Public Expenditure'!F$1,FALSE)),VLOOKUP('Public Expenditure'!$B29,'Local Government'!$B$16:$O$75,'Public Expenditure'!F$1,FALSE),0)</f>
        <v>11617385.520490499</v>
      </c>
      <c r="G29" s="348">
        <f t="shared" si="2"/>
        <v>0.34237249248201312</v>
      </c>
      <c r="H29" s="210">
        <f t="shared" si="3"/>
        <v>542731.86950949952</v>
      </c>
      <c r="I29" s="354">
        <f t="shared" si="4"/>
        <v>4.6717212625184885</v>
      </c>
      <c r="J29" s="156">
        <f>+IF(ISNUMBER(VLOOKUP($B29,'Cental Budget'!$B$16:$K$75,'Public Expenditure'!J$1,FALSE)),VLOOKUP($B29,'Cental Budget'!$B$16:$K$75,'Public Expenditure'!J$1,FALSE),0)+IF(ISNUMBER(VLOOKUP('Public Expenditure'!$B29,'Local Government'!$B$16:$O$75,'Public Expenditure'!J$1,FALSE)),VLOOKUP('Public Expenditure'!$B29,'Local Government'!$B$16:$O$75,'Public Expenditure'!J$1,FALSE),0)</f>
        <v>10770190.189999999</v>
      </c>
      <c r="K29" s="348">
        <f t="shared" si="1"/>
        <v>0.32372077517282838</v>
      </c>
      <c r="L29" s="210">
        <f t="shared" si="5"/>
        <v>1389927.1999999993</v>
      </c>
      <c r="M29" s="354">
        <f t="shared" si="6"/>
        <v>12.905317134422845</v>
      </c>
      <c r="O29" s="81"/>
      <c r="P29" s="81"/>
      <c r="Q29" s="81"/>
      <c r="R29" s="81"/>
      <c r="CD29" s="140"/>
      <c r="CE29" s="140"/>
      <c r="CF29" s="81"/>
    </row>
    <row r="30" spans="2:84" ht="15" hidden="1" customHeight="1">
      <c r="B30" s="80">
        <v>7124</v>
      </c>
      <c r="C30" s="97" t="str">
        <f>IF(MasterSheet!$A$1=1,MasterSheet!C85,MasterSheet!B85)</f>
        <v>Ostali doprinosi</v>
      </c>
      <c r="D30" s="156">
        <f>+IF(ISNUMBER(VLOOKUP($B30,'Cental Budget'!$B$16:$K$75,'Public Expenditure'!D$1,FALSE)),VLOOKUP($B30,'Cental Budget'!$B$16:$K$75,'Public Expenditure'!D$1,FALSE),0)+IF(ISNUMBER(VLOOKUP('Public Expenditure'!$B30,'Local Government'!$B$16:$O$75,'Public Expenditure'!D$1,FALSE)),VLOOKUP('Public Expenditure'!$B30,'Local Government'!$B$16:$O$75,'Public Expenditure'!D$1,FALSE),0)</f>
        <v>10988195.539999999</v>
      </c>
      <c r="E30" s="348">
        <f t="shared" si="0"/>
        <v>0.32382982283527606</v>
      </c>
      <c r="F30" s="156">
        <f>+IF(ISNUMBER(VLOOKUP($B30,'Cental Budget'!$B$16:$K$75,'Public Expenditure'!F$1,FALSE)),VLOOKUP($B30,'Cental Budget'!$B$16:$K$75,'Public Expenditure'!F$1,FALSE),0)+IF(ISNUMBER(VLOOKUP('Public Expenditure'!$B30,'Local Government'!$B$16:$O$75,'Public Expenditure'!F$1,FALSE)),VLOOKUP('Public Expenditure'!$B30,'Local Government'!$B$16:$O$75,'Public Expenditure'!F$1,FALSE),0)</f>
        <v>12656092.6657611</v>
      </c>
      <c r="G30" s="348">
        <f t="shared" si="2"/>
        <v>0.37298391995490959</v>
      </c>
      <c r="H30" s="210">
        <f t="shared" si="3"/>
        <v>-1667897.125761101</v>
      </c>
      <c r="I30" s="354">
        <f t="shared" si="4"/>
        <v>-13.178610253647335</v>
      </c>
      <c r="J30" s="156">
        <f>+IF(ISNUMBER(VLOOKUP($B30,'Cental Budget'!$B$16:$K$75,'Public Expenditure'!J$1,FALSE)),VLOOKUP($B30,'Cental Budget'!$B$16:$K$75,'Public Expenditure'!J$1,FALSE),0)+IF(ISNUMBER(VLOOKUP('Public Expenditure'!$B30,'Local Government'!$B$16:$O$75,'Public Expenditure'!J$1,FALSE)),VLOOKUP('Public Expenditure'!$B30,'Local Government'!$B$16:$O$75,'Public Expenditure'!J$1,FALSE),0)</f>
        <v>11070841.18</v>
      </c>
      <c r="K30" s="348">
        <f t="shared" si="1"/>
        <v>0.33275747460174332</v>
      </c>
      <c r="L30" s="210">
        <f t="shared" si="5"/>
        <v>-82645.640000000596</v>
      </c>
      <c r="M30" s="354">
        <f t="shared" si="6"/>
        <v>-0.74651635459555621</v>
      </c>
      <c r="O30" s="81"/>
      <c r="P30" s="81"/>
      <c r="Q30" s="81"/>
      <c r="R30" s="81"/>
      <c r="CD30" s="81"/>
      <c r="CE30" s="81"/>
      <c r="CF30" s="81"/>
    </row>
    <row r="31" spans="2:84" ht="15" customHeight="1">
      <c r="B31" s="80">
        <v>713</v>
      </c>
      <c r="C31" s="93" t="str">
        <f>IF(MasterSheet!$A$1=1,MasterSheet!C86,MasterSheet!B86)</f>
        <v>Takse</v>
      </c>
      <c r="D31" s="154">
        <f>+IF(ISNUMBER(VLOOKUP($B31,'Cental Budget'!$B$16:$K$75,'Public Expenditure'!D$1,FALSE)),VLOOKUP($B31,'Cental Budget'!$B$16:$K$75,'Public Expenditure'!D$1,FALSE),0)+IF(ISNUMBER(VLOOKUP('Public Expenditure'!$B31,'Local Government'!$B$16:$O$75,'Public Expenditure'!D$1,FALSE)),VLOOKUP('Public Expenditure'!$B31,'Local Government'!$B$16:$O$75,'Public Expenditure'!D$1,FALSE),0)</f>
        <v>20753014.440000001</v>
      </c>
      <c r="E31" s="349">
        <f t="shared" si="0"/>
        <v>0.61160587877590022</v>
      </c>
      <c r="F31" s="154">
        <f>+IF(ISNUMBER(VLOOKUP($B31,'Cental Budget'!$B$16:$K$75,'Public Expenditure'!F$1,FALSE)),VLOOKUP($B31,'Cental Budget'!$B$16:$K$75,'Public Expenditure'!F$1,FALSE),0)+IF(ISNUMBER(VLOOKUP('Public Expenditure'!$B31,'Local Government'!$B$16:$O$75,'Public Expenditure'!F$1,FALSE)),VLOOKUP('Public Expenditure'!$B31,'Local Government'!$B$16:$O$75,'Public Expenditure'!F$1,FALSE),0)</f>
        <v>28283666.519214556</v>
      </c>
      <c r="G31" s="349">
        <f t="shared" si="2"/>
        <v>0.83353947285591168</v>
      </c>
      <c r="H31" s="209">
        <f t="shared" si="3"/>
        <v>-7530652.0792145543</v>
      </c>
      <c r="I31" s="355">
        <f t="shared" si="4"/>
        <v>-26.625445021771114</v>
      </c>
      <c r="J31" s="154">
        <f>+IF(ISNUMBER(VLOOKUP($B31,'Cental Budget'!$B$16:$K$75,'Public Expenditure'!J$1,FALSE)),VLOOKUP($B31,'Cental Budget'!$B$16:$K$75,'Public Expenditure'!J$1,FALSE),0)+IF(ISNUMBER(VLOOKUP('Public Expenditure'!$B31,'Local Government'!$B$16:$O$75,'Public Expenditure'!J$1,FALSE)),VLOOKUP('Public Expenditure'!$B31,'Local Government'!$B$16:$O$75,'Public Expenditure'!J$1,FALSE),0)</f>
        <v>33296762.52</v>
      </c>
      <c r="K31" s="349">
        <f t="shared" si="1"/>
        <v>1.0008044039675383</v>
      </c>
      <c r="L31" s="209">
        <f t="shared" si="5"/>
        <v>-12543748.079999998</v>
      </c>
      <c r="M31" s="355">
        <f t="shared" si="6"/>
        <v>-37.672575742057454</v>
      </c>
      <c r="O31" s="81"/>
      <c r="P31" s="81"/>
      <c r="Q31" s="81"/>
      <c r="R31" s="81"/>
      <c r="CD31" s="81"/>
      <c r="CE31" s="81"/>
      <c r="CF31" s="81"/>
    </row>
    <row r="32" spans="2:84" ht="15" customHeight="1">
      <c r="B32" s="80">
        <v>714</v>
      </c>
      <c r="C32" s="93" t="str">
        <f>IF(MasterSheet!$A$1=1,MasterSheet!C91,MasterSheet!B91)</f>
        <v>Naknade</v>
      </c>
      <c r="D32" s="154">
        <f>+IF(ISNUMBER(VLOOKUP($B32,'Cental Budget'!$B$16:$K$75,'Public Expenditure'!D$1,FALSE)),VLOOKUP($B32,'Cental Budget'!$B$16:$K$75,'Public Expenditure'!D$1,FALSE),0)+IF(ISNUMBER(VLOOKUP('Public Expenditure'!$B32,'Local Government'!$B$16:$O$75,'Public Expenditure'!D$1,FALSE)),VLOOKUP('Public Expenditure'!$B32,'Local Government'!$B$16:$O$75,'Public Expenditure'!D$1,FALSE),0)</f>
        <v>71468703.670000002</v>
      </c>
      <c r="E32" s="349">
        <f t="shared" si="0"/>
        <v>2.1062327807576446</v>
      </c>
      <c r="F32" s="154">
        <f>+IF(ISNUMBER(VLOOKUP($B32,'Cental Budget'!$B$16:$K$75,'Public Expenditure'!F$1,FALSE)),VLOOKUP($B32,'Cental Budget'!$B$16:$K$75,'Public Expenditure'!F$1,FALSE),0)+IF(ISNUMBER(VLOOKUP('Public Expenditure'!$B32,'Local Government'!$B$16:$O$75,'Public Expenditure'!F$1,FALSE)),VLOOKUP('Public Expenditure'!$B32,'Local Government'!$B$16:$O$75,'Public Expenditure'!F$1,FALSE),0)</f>
        <v>55047750.669535294</v>
      </c>
      <c r="G32" s="349">
        <f t="shared" si="2"/>
        <v>1.6222957884125957</v>
      </c>
      <c r="H32" s="209">
        <f t="shared" si="3"/>
        <v>16420953.000464708</v>
      </c>
      <c r="I32" s="355">
        <f t="shared" si="4"/>
        <v>29.83037962630587</v>
      </c>
      <c r="J32" s="154">
        <f>+IF(ISNUMBER(VLOOKUP($B32,'Cental Budget'!$B$16:$K$75,'Public Expenditure'!J$1,FALSE)),VLOOKUP($B32,'Cental Budget'!$B$16:$K$75,'Public Expenditure'!J$1,FALSE),0)+IF(ISNUMBER(VLOOKUP('Public Expenditure'!$B32,'Local Government'!$B$16:$O$75,'Public Expenditure'!J$1,FALSE)),VLOOKUP('Public Expenditure'!$B32,'Local Government'!$B$16:$O$75,'Public Expenditure'!J$1,FALSE),0)</f>
        <v>68235145.780000001</v>
      </c>
      <c r="K32" s="349">
        <f t="shared" si="1"/>
        <v>2.0509511806432221</v>
      </c>
      <c r="L32" s="209">
        <f t="shared" si="5"/>
        <v>3233557.8900000006</v>
      </c>
      <c r="M32" s="355">
        <f t="shared" si="6"/>
        <v>4.7388451406339129</v>
      </c>
      <c r="O32" s="81"/>
      <c r="P32" s="81"/>
      <c r="Q32" s="81"/>
      <c r="R32" s="81"/>
      <c r="CD32" s="140"/>
      <c r="CE32" s="140"/>
      <c r="CF32" s="140"/>
    </row>
    <row r="33" spans="1:87" ht="15" customHeight="1">
      <c r="B33" s="80">
        <v>715</v>
      </c>
      <c r="C33" s="93" t="str">
        <f>IF(MasterSheet!$A$1=1,MasterSheet!C98,MasterSheet!B98)</f>
        <v>Ostali prihodi</v>
      </c>
      <c r="D33" s="154">
        <f>+IF(ISNUMBER(VLOOKUP($B33,'Cental Budget'!$B$16:$K$75,'Public Expenditure'!D$1,FALSE)),VLOOKUP($B33,'Cental Budget'!$B$16:$K$75,'Public Expenditure'!D$1,FALSE),0)+IF(ISNUMBER(VLOOKUP('Public Expenditure'!$B33,'Local Government'!$B$16:$O$75,'Public Expenditure'!D$1,FALSE)),VLOOKUP('Public Expenditure'!$B33,'Local Government'!$B$16:$O$75,'Public Expenditure'!D$1,FALSE),0)-1295205.06</f>
        <v>43334648.529999994</v>
      </c>
      <c r="E33" s="349">
        <f t="shared" si="0"/>
        <v>1.2771024600913552</v>
      </c>
      <c r="F33" s="154">
        <f>+IF(ISNUMBER(VLOOKUP($B33,'Cental Budget'!$B$16:$K$75,'Public Expenditure'!F$1,FALSE)),VLOOKUP($B33,'Cental Budget'!$B$16:$K$75,'Public Expenditure'!F$1,FALSE),0)+IF(ISNUMBER(VLOOKUP('Public Expenditure'!$B33,'Local Government'!$B$16:$O$75,'Public Expenditure'!F$1,FALSE)),VLOOKUP('Public Expenditure'!$B33,'Local Government'!$B$16:$O$75,'Public Expenditure'!F$1,FALSE),0)</f>
        <v>45745429.551378213</v>
      </c>
      <c r="G33" s="349">
        <f t="shared" si="2"/>
        <v>1.3481498662105547</v>
      </c>
      <c r="H33" s="209">
        <f t="shared" si="3"/>
        <v>-2410781.0213782191</v>
      </c>
      <c r="I33" s="355">
        <f t="shared" si="4"/>
        <v>-5.2699931884355635</v>
      </c>
      <c r="J33" s="154">
        <f>+IF(ISNUMBER(VLOOKUP($B33,'Cental Budget'!$B$16:$K$75,'Public Expenditure'!J$1,FALSE)),VLOOKUP($B33,'Cental Budget'!$B$16:$K$75,'Public Expenditure'!J$1,FALSE),0)+IF(ISNUMBER(VLOOKUP('Public Expenditure'!$B33,'Local Government'!$B$16:$O$75,'Public Expenditure'!J$1,FALSE)),VLOOKUP('Public Expenditure'!$B33,'Local Government'!$B$16:$O$75,'Public Expenditure'!J$1,FALSE),0)</f>
        <v>50006042.969999999</v>
      </c>
      <c r="K33" s="349">
        <f t="shared" si="1"/>
        <v>1.5030370595130749</v>
      </c>
      <c r="L33" s="209">
        <f t="shared" si="5"/>
        <v>-6671394.4400000051</v>
      </c>
      <c r="M33" s="355">
        <f t="shared" si="6"/>
        <v>-13.341176473416141</v>
      </c>
      <c r="O33" s="81"/>
      <c r="P33" s="81"/>
      <c r="Q33" s="81"/>
      <c r="R33" s="81"/>
      <c r="CD33" s="81"/>
      <c r="CE33" s="81"/>
      <c r="CF33" s="81"/>
      <c r="CG33" s="81"/>
      <c r="CH33" s="81"/>
    </row>
    <row r="34" spans="1:87">
      <c r="B34" s="80">
        <v>73</v>
      </c>
      <c r="C34" s="101" t="str">
        <f>IF(MasterSheet!$A$1=1,MasterSheet!C103,MasterSheet!B103)</f>
        <v>Primici od otplate kredita i sredstva prenijeta iz prethodne godine</v>
      </c>
      <c r="D34" s="154">
        <f>+IF(ISNUMBER(VLOOKUP($B34,'Cental Budget'!$B$16:$K$75,'Public Expenditure'!D$1,FALSE)),VLOOKUP($B34,'Cental Budget'!$B$16:$K$75,'Public Expenditure'!D$1,FALSE),0)+IF(ISNUMBER(VLOOKUP('Public Expenditure'!$B34,'Local Government'!$B$16:$O$75,'Public Expenditure'!D$1,FALSE)),VLOOKUP('Public Expenditure'!$B34,'Local Government'!$B$16:$O$75,'Public Expenditure'!D$1,FALSE),0)</f>
        <v>21450679.719999999</v>
      </c>
      <c r="E34" s="349">
        <f t="shared" si="0"/>
        <v>0.63216656348507694</v>
      </c>
      <c r="F34" s="154">
        <f>+IF(ISNUMBER(VLOOKUP($B34,'Cental Budget'!$B$16:$K$75,'Public Expenditure'!F$1,FALSE)),VLOOKUP($B34,'Cental Budget'!$B$16:$K$75,'Public Expenditure'!F$1,FALSE),0)+IF(ISNUMBER(VLOOKUP('Public Expenditure'!$B34,'Local Government'!$B$16:$O$75,'Public Expenditure'!F$1,FALSE)),VLOOKUP('Public Expenditure'!$B34,'Local Government'!$B$16:$O$75,'Public Expenditure'!F$1,FALSE),0)</f>
        <v>17046262.487166308</v>
      </c>
      <c r="G34" s="349">
        <f t="shared" si="2"/>
        <v>0.50236530112046751</v>
      </c>
      <c r="H34" s="209">
        <f t="shared" si="3"/>
        <v>4404417.2328336909</v>
      </c>
      <c r="I34" s="355">
        <f t="shared" si="4"/>
        <v>25.838023063118172</v>
      </c>
      <c r="J34" s="154">
        <f>+IF(ISNUMBER(VLOOKUP($B34,'Cental Budget'!$B$16:$K$75,'Public Expenditure'!J$1,FALSE)),VLOOKUP($B34,'Cental Budget'!$B$16:$K$75,'Public Expenditure'!J$1,FALSE),0)+IF(ISNUMBER(VLOOKUP('Public Expenditure'!$B34,'Local Government'!$B$16:$O$75,'Public Expenditure'!J$1,FALSE)),VLOOKUP('Public Expenditure'!$B34,'Local Government'!$B$16:$O$75,'Public Expenditure'!J$1,FALSE),0)-496557.55</f>
        <v>18628420.09</v>
      </c>
      <c r="K34" s="349">
        <f t="shared" si="1"/>
        <v>0.5599164439434926</v>
      </c>
      <c r="L34" s="209">
        <f t="shared" si="5"/>
        <v>2822259.629999999</v>
      </c>
      <c r="M34" s="355">
        <f t="shared" si="6"/>
        <v>15.150289806460975</v>
      </c>
      <c r="O34" s="81"/>
      <c r="P34" s="81"/>
      <c r="Q34" s="81"/>
      <c r="R34" s="81"/>
      <c r="CC34" s="100"/>
      <c r="CD34" s="100"/>
      <c r="CE34" s="99"/>
      <c r="CF34" s="145"/>
      <c r="CG34" s="145"/>
      <c r="CH34" s="145"/>
      <c r="CI34" s="142"/>
    </row>
    <row r="35" spans="1:87" ht="13.5" customHeight="1" thickBot="1">
      <c r="B35" s="80">
        <v>74</v>
      </c>
      <c r="C35" s="93" t="s">
        <v>123</v>
      </c>
      <c r="D35" s="154">
        <f>+IF(ISNUMBER(VLOOKUP($B35,'Cental Budget'!$B$16:$K$75,'Public Expenditure'!D$1,FALSE)),VLOOKUP($B35,'Cental Budget'!$B$16:$K$75,'Public Expenditure'!D$1,FALSE),0)+IF(ISNUMBER(VLOOKUP('Public Expenditure'!$B35,'Local Government'!$B$16:$O$75,'Public Expenditure'!D$1,FALSE)),VLOOKUP('Public Expenditure'!$B35,'Local Government'!$B$16:$O$75,'Public Expenditure'!D$1,FALSE),0)</f>
        <v>9090483.9800000004</v>
      </c>
      <c r="E35" s="349">
        <f>D35/D$11*100</f>
        <v>0.26790293329002007</v>
      </c>
      <c r="F35" s="154">
        <f>+IF(ISNUMBER(VLOOKUP($B35,'Cental Budget'!$B$16:$K$75,'Public Expenditure'!F$1,FALSE)),VLOOKUP($B35,'Cental Budget'!$B$16:$K$75,'Public Expenditure'!F$1,FALSE),0)+IF(ISNUMBER(VLOOKUP('Public Expenditure'!$B35,'Local Government'!$B$16:$O$75,'Public Expenditure'!F$1,FALSE)),VLOOKUP('Public Expenditure'!$B35,'Local Government'!$B$16:$O$75,'Public Expenditure'!F$1,FALSE),0)</f>
        <v>10000000</v>
      </c>
      <c r="G35" s="349">
        <f t="shared" si="2"/>
        <v>0.29470700776706066</v>
      </c>
      <c r="H35" s="209">
        <f t="shared" si="3"/>
        <v>-909516.01999999955</v>
      </c>
      <c r="I35" s="355">
        <f t="shared" si="4"/>
        <v>-9.0951601999999951</v>
      </c>
      <c r="J35" s="154">
        <f>+IF(ISNUMBER(VLOOKUP($B35,'Cental Budget'!$B$16:$K$75,'Public Expenditure'!J$1,FALSE)),VLOOKUP($B35,'Cental Budget'!$B$16:$K$75,'Public Expenditure'!J$1,FALSE),0)+IF(ISNUMBER(VLOOKUP('Public Expenditure'!$B35,'Local Government'!$B$16:$O$75,'Public Expenditure'!J$1,FALSE)),VLOOKUP('Public Expenditure'!$B35,'Local Government'!$B$16:$O$75,'Public Expenditure'!J$1,FALSE),0)</f>
        <v>9716376.7700000014</v>
      </c>
      <c r="K35" s="349">
        <f>J35/J$11*100</f>
        <v>0.29204619086263905</v>
      </c>
      <c r="L35" s="209">
        <f t="shared" si="5"/>
        <v>-625892.79000000097</v>
      </c>
      <c r="M35" s="355">
        <f t="shared" si="6"/>
        <v>-6.4416274174596566</v>
      </c>
      <c r="O35" s="81"/>
      <c r="P35" s="81"/>
      <c r="Q35" s="81"/>
      <c r="R35" s="81"/>
      <c r="CD35" s="161"/>
      <c r="CE35" s="161"/>
      <c r="CF35" s="145"/>
      <c r="CG35" s="145"/>
      <c r="CH35" s="145"/>
      <c r="CI35" s="142"/>
    </row>
    <row r="36" spans="1:87" ht="15" customHeight="1" thickTop="1" thickBot="1">
      <c r="B36" s="102"/>
      <c r="C36" s="178" t="s">
        <v>235</v>
      </c>
      <c r="D36" s="173">
        <f>+D38+D49+D55+SUM(D58:D63)</f>
        <v>1606646291.71</v>
      </c>
      <c r="E36" s="346">
        <f t="shared" si="0"/>
        <v>47.34899211698982</v>
      </c>
      <c r="F36" s="173">
        <f>+F38+F49+F55+SUM(F58:F63)</f>
        <v>1464813209.7363348</v>
      </c>
      <c r="G36" s="346">
        <f t="shared" si="2"/>
        <v>43.169071797905907</v>
      </c>
      <c r="H36" s="173">
        <f t="shared" si="3"/>
        <v>141833081.97366524</v>
      </c>
      <c r="I36" s="346">
        <f t="shared" si="4"/>
        <v>9.6826736017212198</v>
      </c>
      <c r="J36" s="173">
        <f>+J38+J49+J55+SUM(J58:J62)</f>
        <v>1587943694.3399999</v>
      </c>
      <c r="K36" s="346">
        <f t="shared" si="1"/>
        <v>47.728995922452654</v>
      </c>
      <c r="L36" s="173">
        <f t="shared" si="5"/>
        <v>18702597.370000124</v>
      </c>
      <c r="M36" s="346">
        <f t="shared" si="6"/>
        <v>1.1777871870811936</v>
      </c>
      <c r="N36" s="102"/>
      <c r="O36" s="81"/>
      <c r="P36" s="81"/>
      <c r="Q36" s="81"/>
      <c r="R36" s="81"/>
      <c r="CD36" s="81"/>
      <c r="CE36" s="81"/>
      <c r="CF36" s="145"/>
      <c r="CG36" s="145"/>
      <c r="CH36" s="145"/>
      <c r="CI36" s="142"/>
    </row>
    <row r="37" spans="1:87" ht="13.5" customHeight="1" thickTop="1" thickBot="1">
      <c r="C37" s="178" t="s">
        <v>126</v>
      </c>
      <c r="D37" s="173">
        <f>+D36-D58</f>
        <v>1482152432.9100001</v>
      </c>
      <c r="E37" s="346">
        <f t="shared" si="0"/>
        <v>43.680070855757528</v>
      </c>
      <c r="F37" s="173">
        <f>+F36-F58</f>
        <v>1339542709.7363348</v>
      </c>
      <c r="G37" s="346">
        <f t="shared" si="2"/>
        <v>39.477262376257549</v>
      </c>
      <c r="H37" s="173">
        <f t="shared" si="3"/>
        <v>142609723.17366529</v>
      </c>
      <c r="I37" s="346">
        <f t="shared" si="4"/>
        <v>10.646149774629833</v>
      </c>
      <c r="J37" s="173">
        <f>+J36-J58</f>
        <v>1463556924.7299998</v>
      </c>
      <c r="K37" s="346">
        <f t="shared" si="1"/>
        <v>43.99028929155395</v>
      </c>
      <c r="L37" s="173">
        <f t="shared" si="5"/>
        <v>18595508.180000305</v>
      </c>
      <c r="M37" s="346">
        <f t="shared" si="6"/>
        <v>1.270569519079757</v>
      </c>
      <c r="N37" s="220"/>
      <c r="O37" s="81"/>
      <c r="P37" s="81"/>
      <c r="Q37" s="81"/>
      <c r="R37" s="81"/>
      <c r="CD37" s="161"/>
      <c r="CE37" s="161"/>
      <c r="CF37" s="145"/>
      <c r="CG37" s="145"/>
      <c r="CH37" s="145"/>
      <c r="CI37" s="142"/>
    </row>
    <row r="38" spans="1:87" ht="13.5" customHeight="1" thickTop="1">
      <c r="A38" s="80">
        <v>41</v>
      </c>
      <c r="C38" s="93" t="s">
        <v>63</v>
      </c>
      <c r="D38" s="94">
        <f>+SUM(D39:D48)</f>
        <v>755748777.26000011</v>
      </c>
      <c r="E38" s="349">
        <f t="shared" si="0"/>
        <v>22.272446076990946</v>
      </c>
      <c r="F38" s="94">
        <f>+SUM(F39:F48)</f>
        <v>695382910.17999983</v>
      </c>
      <c r="G38" s="349">
        <f t="shared" si="2"/>
        <v>20.493421671149843</v>
      </c>
      <c r="H38" s="207">
        <f t="shared" si="3"/>
        <v>60365867.080000281</v>
      </c>
      <c r="I38" s="355">
        <f t="shared" si="4"/>
        <v>8.6809535000471385</v>
      </c>
      <c r="J38" s="94">
        <f>+SUM(J39:J48)</f>
        <v>668862804.10000014</v>
      </c>
      <c r="K38" s="349">
        <f t="shared" si="1"/>
        <v>20.104081878569286</v>
      </c>
      <c r="L38" s="207">
        <f t="shared" si="5"/>
        <v>86885973.159999967</v>
      </c>
      <c r="M38" s="355">
        <f t="shared" si="6"/>
        <v>12.990103893863676</v>
      </c>
      <c r="O38" s="81"/>
      <c r="P38" s="215"/>
      <c r="Q38" s="81"/>
      <c r="R38" s="81"/>
      <c r="CD38" s="161"/>
      <c r="CE38" s="161"/>
      <c r="CF38" s="145"/>
      <c r="CG38" s="145"/>
      <c r="CH38" s="145"/>
      <c r="CI38" s="142"/>
    </row>
    <row r="39" spans="1:87" ht="13.5" customHeight="1">
      <c r="B39" s="80">
        <v>411</v>
      </c>
      <c r="C39" s="93" t="s">
        <v>64</v>
      </c>
      <c r="D39" s="154">
        <f>+IF(ISNUMBER(VLOOKUP($B39,'Cental Budget'!$B$16:$K$75,'Public Expenditure'!D$1,FALSE)),VLOOKUP($B39,'Cental Budget'!$B$16:$K$75,'Public Expenditure'!D$1,FALSE),0)+IF(ISNUMBER(VLOOKUP('Public Expenditure'!$B39,'Local Government'!$B$16:$O$75,'Public Expenditure'!D$1,FALSE)),VLOOKUP('Public Expenditure'!$B39,'Local Government'!$B$16:$O$75,'Public Expenditure'!D$1,FALSE),0)</f>
        <v>424132464.7100001</v>
      </c>
      <c r="E39" s="349">
        <f t="shared" si="0"/>
        <v>12.499480957155258</v>
      </c>
      <c r="F39" s="154">
        <f>+IF(ISNUMBER(VLOOKUP($B39,'Cental Budget'!$B$16:$K$75,'Public Expenditure'!F$1,FALSE)),VLOOKUP($B39,'Cental Budget'!$B$16:$K$75,'Public Expenditure'!F$1,FALSE),0)+IF(ISNUMBER(VLOOKUP('Public Expenditure'!$B39,'Local Government'!$B$16:$O$75,'Public Expenditure'!F$1,FALSE)),VLOOKUP('Public Expenditure'!$B39,'Local Government'!$B$16:$O$75,'Public Expenditure'!F$1,FALSE),0)</f>
        <v>422384309.75999987</v>
      </c>
      <c r="G39" s="349">
        <f t="shared" si="2"/>
        <v>12.447961605712484</v>
      </c>
      <c r="H39" s="209">
        <f t="shared" si="3"/>
        <v>1748154.9500002265</v>
      </c>
      <c r="I39" s="355">
        <f t="shared" si="4"/>
        <v>0.41387781449400052</v>
      </c>
      <c r="J39" s="154">
        <f>+IF(ISNUMBER(VLOOKUP($B39,'Cental Budget'!$B$16:$K$75,'Public Expenditure'!J$1,FALSE)),VLOOKUP($B39,'Cental Budget'!$B$16:$K$75,'Public Expenditure'!J$1,FALSE),0)+IF(ISNUMBER(VLOOKUP('Public Expenditure'!$B39,'Local Government'!$B$16:$O$75,'Public Expenditure'!J$1,FALSE)),VLOOKUP('Public Expenditure'!$B39,'Local Government'!$B$16:$O$75,'Public Expenditure'!J$1,FALSE),0)</f>
        <v>407046429.77000004</v>
      </c>
      <c r="K39" s="349">
        <f t="shared" si="1"/>
        <v>12.234638706642622</v>
      </c>
      <c r="L39" s="209">
        <f t="shared" si="5"/>
        <v>17086034.940000057</v>
      </c>
      <c r="M39" s="355">
        <f t="shared" si="6"/>
        <v>4.1975641328323263</v>
      </c>
      <c r="O39" s="81"/>
      <c r="P39" s="215"/>
      <c r="Q39" s="81"/>
      <c r="R39" s="81"/>
      <c r="CD39" s="161"/>
      <c r="CE39" s="161"/>
      <c r="CF39" s="145"/>
      <c r="CG39" s="145"/>
      <c r="CH39" s="145"/>
      <c r="CI39" s="142"/>
    </row>
    <row r="40" spans="1:87" ht="13.5" customHeight="1">
      <c r="B40" s="80">
        <v>412</v>
      </c>
      <c r="C40" s="93" t="s">
        <v>75</v>
      </c>
      <c r="D40" s="154">
        <f>+IF(ISNUMBER(VLOOKUP($B40,'Cental Budget'!$B$16:$K$75,'Public Expenditure'!D$1,FALSE)),VLOOKUP($B40,'Cental Budget'!$B$16:$K$75,'Public Expenditure'!D$1,FALSE),0)+IF(ISNUMBER(VLOOKUP('Public Expenditure'!$B40,'Local Government'!$B$16:$O$75,'Public Expenditure'!D$1,FALSE)),VLOOKUP('Public Expenditure'!$B40,'Local Government'!$B$16:$O$75,'Public Expenditure'!D$1,FALSE),0)</f>
        <v>14132549.159999991</v>
      </c>
      <c r="E40" s="349">
        <f t="shared" si="0"/>
        <v>0.41649612750644843</v>
      </c>
      <c r="F40" s="154">
        <f>+IF(ISNUMBER(VLOOKUP($B40,'Cental Budget'!$B$16:$K$75,'Public Expenditure'!F$1,FALSE)),VLOOKUP($B40,'Cental Budget'!$B$16:$K$75,'Public Expenditure'!F$1,FALSE),0)+IF(ISNUMBER(VLOOKUP('Public Expenditure'!$B40,'Local Government'!$B$16:$O$75,'Public Expenditure'!F$1,FALSE)),VLOOKUP('Public Expenditure'!$B40,'Local Government'!$B$16:$O$75,'Public Expenditure'!F$1,FALSE),0)</f>
        <v>13961840.630000001</v>
      </c>
      <c r="G40" s="349">
        <f t="shared" si="2"/>
        <v>0.41146522749878733</v>
      </c>
      <c r="H40" s="209">
        <f t="shared" si="3"/>
        <v>170708.52999999002</v>
      </c>
      <c r="I40" s="355">
        <f t="shared" si="4"/>
        <v>1.2226792621682421</v>
      </c>
      <c r="J40" s="154">
        <f>+IF(ISNUMBER(VLOOKUP($B40,'Cental Budget'!$B$16:$K$75,'Public Expenditure'!J$1,FALSE)),VLOOKUP($B40,'Cental Budget'!$B$16:$K$75,'Public Expenditure'!J$1,FALSE),0)+IF(ISNUMBER(VLOOKUP('Public Expenditure'!$B40,'Local Government'!$B$16:$O$75,'Public Expenditure'!J$1,FALSE)),VLOOKUP('Public Expenditure'!$B40,'Local Government'!$B$16:$O$75,'Public Expenditure'!J$1,FALSE),0)</f>
        <v>14506935.710000001</v>
      </c>
      <c r="K40" s="349">
        <f t="shared" si="1"/>
        <v>0.43603654072738202</v>
      </c>
      <c r="L40" s="209">
        <f t="shared" si="5"/>
        <v>-374386.55000001006</v>
      </c>
      <c r="M40" s="355">
        <f t="shared" si="6"/>
        <v>-2.5807417740325178</v>
      </c>
      <c r="O40" s="81"/>
      <c r="P40" s="215"/>
      <c r="Q40" s="81"/>
      <c r="R40" s="81"/>
      <c r="CD40" s="161"/>
      <c r="CE40" s="161"/>
      <c r="CF40" s="145"/>
      <c r="CG40" s="145"/>
      <c r="CH40" s="145"/>
      <c r="CI40" s="142"/>
    </row>
    <row r="41" spans="1:87" ht="13.5" customHeight="1">
      <c r="B41" s="80">
        <v>413</v>
      </c>
      <c r="C41" s="93" t="s">
        <v>429</v>
      </c>
      <c r="D41" s="154">
        <f>+IF(ISNUMBER(VLOOKUP($B41,'Cental Budget'!$B$16:$K$75,'Public Expenditure'!D$1,FALSE)),VLOOKUP($B41,'Cental Budget'!$B$16:$K$75,'Public Expenditure'!D$1,FALSE),0)+IF(ISNUMBER(VLOOKUP('Public Expenditure'!$B41,'Local Government'!$B$16:$O$75,'Public Expenditure'!D$1,FALSE)),VLOOKUP('Public Expenditure'!$B41,'Local Government'!$B$16:$O$75,'Public Expenditure'!D$1,FALSE),0)</f>
        <v>34795629.660000004</v>
      </c>
      <c r="E41" s="349">
        <f t="shared" si="0"/>
        <v>1.0254515900469388</v>
      </c>
      <c r="F41" s="154">
        <f>+IF(ISNUMBER(VLOOKUP($B41,'Cental Budget'!$B$16:$K$75,'Public Expenditure'!F$1,FALSE)),VLOOKUP($B41,'Cental Budget'!$B$16:$K$75,'Public Expenditure'!F$1,FALSE),0)+IF(ISNUMBER(VLOOKUP('Public Expenditure'!$B41,'Local Government'!$B$16:$O$75,'Public Expenditure'!F$1,FALSE)),VLOOKUP('Public Expenditure'!$B41,'Local Government'!$B$16:$O$75,'Public Expenditure'!F$1,FALSE),0)</f>
        <v>45808629.932925873</v>
      </c>
      <c r="G41" s="349">
        <f t="shared" si="2"/>
        <v>1.3500124257441193</v>
      </c>
      <c r="H41" s="209">
        <f t="shared" si="3"/>
        <v>-11013000.272925869</v>
      </c>
      <c r="I41" s="355">
        <f t="shared" si="4"/>
        <v>-24.041322102519487</v>
      </c>
      <c r="J41" s="154">
        <f>+IF(ISNUMBER(VLOOKUP($B41,'Cental Budget'!$B$16:$K$75,'Public Expenditure'!J$1,FALSE)),VLOOKUP($B41,'Cental Budget'!$B$16:$K$75,'Public Expenditure'!J$1,FALSE),0)+IF(ISNUMBER(VLOOKUP('Public Expenditure'!$B41,'Local Government'!$B$16:$O$75,'Public Expenditure'!J$1,FALSE)),VLOOKUP('Public Expenditure'!$B41,'Local Government'!$B$16:$O$75,'Public Expenditure'!J$1,FALSE),0)</f>
        <v>33319283.88000001</v>
      </c>
      <c r="K41" s="349">
        <f t="shared" si="1"/>
        <v>1.0014813309287651</v>
      </c>
      <c r="L41" s="209">
        <f t="shared" si="5"/>
        <v>1476345.7799999937</v>
      </c>
      <c r="M41" s="355">
        <f t="shared" si="6"/>
        <v>4.4309048937458471</v>
      </c>
      <c r="O41" s="81"/>
      <c r="P41" s="215"/>
      <c r="Q41" s="81"/>
      <c r="R41" s="81"/>
      <c r="CD41" s="161"/>
      <c r="CE41" s="161"/>
      <c r="CF41" s="145"/>
      <c r="CG41" s="145"/>
      <c r="CH41" s="145"/>
      <c r="CI41" s="142"/>
    </row>
    <row r="42" spans="1:87" ht="13.5" customHeight="1">
      <c r="B42" s="80">
        <v>414</v>
      </c>
      <c r="C42" s="93" t="s">
        <v>430</v>
      </c>
      <c r="D42" s="154">
        <f>+IF(ISNUMBER(VLOOKUP($B42,'Cental Budget'!$B$16:$K$75,'Public Expenditure'!D$1,FALSE)),VLOOKUP($B42,'Cental Budget'!$B$16:$K$75,'Public Expenditure'!D$1,FALSE),0)+IF(ISNUMBER(VLOOKUP('Public Expenditure'!$B42,'Local Government'!$B$16:$O$75,'Public Expenditure'!D$1,FALSE)),VLOOKUP('Public Expenditure'!$B42,'Local Government'!$B$16:$O$75,'Public Expenditure'!D$1,FALSE),0)</f>
        <v>60086195.729999974</v>
      </c>
      <c r="E42" s="349">
        <f t="shared" si="0"/>
        <v>1.7707822951694228</v>
      </c>
      <c r="F42" s="154">
        <f>+IF(ISNUMBER(VLOOKUP($B42,'Cental Budget'!$B$16:$K$75,'Public Expenditure'!F$1,FALSE)),VLOOKUP($B42,'Cental Budget'!$B$16:$K$75,'Public Expenditure'!F$1,FALSE),0)+IF(ISNUMBER(VLOOKUP('Public Expenditure'!$B42,'Local Government'!$B$16:$O$75,'Public Expenditure'!F$1,FALSE)),VLOOKUP('Public Expenditure'!$B42,'Local Government'!$B$16:$O$75,'Public Expenditure'!F$1,FALSE),0)</f>
        <v>42662529.431537472</v>
      </c>
      <c r="G42" s="349">
        <f t="shared" si="2"/>
        <v>1.2572946392542568</v>
      </c>
      <c r="H42" s="209">
        <f t="shared" si="3"/>
        <v>17423666.298462503</v>
      </c>
      <c r="I42" s="355">
        <f t="shared" si="4"/>
        <v>40.840678062521022</v>
      </c>
      <c r="J42" s="154">
        <f>+IF(ISNUMBER(VLOOKUP($B42,'Cental Budget'!$B$16:$K$75,'Public Expenditure'!J$1,FALSE)),VLOOKUP($B42,'Cental Budget'!$B$16:$K$75,'Public Expenditure'!J$1,FALSE),0)+IF(ISNUMBER(VLOOKUP('Public Expenditure'!$B42,'Local Government'!$B$16:$O$75,'Public Expenditure'!J$1,FALSE)),VLOOKUP('Public Expenditure'!$B42,'Local Government'!$B$16:$O$75,'Public Expenditure'!J$1,FALSE),0)</f>
        <v>56450169.599999994</v>
      </c>
      <c r="K42" s="349">
        <f t="shared" si="1"/>
        <v>1.6967288728584309</v>
      </c>
      <c r="L42" s="209">
        <f t="shared" si="5"/>
        <v>3636026.1299999803</v>
      </c>
      <c r="M42" s="355">
        <f t="shared" si="6"/>
        <v>6.4411252539442927</v>
      </c>
      <c r="O42" s="81"/>
      <c r="P42" s="215"/>
      <c r="Q42" s="81"/>
      <c r="R42" s="81"/>
      <c r="CD42" s="161"/>
      <c r="CE42" s="161"/>
      <c r="CF42" s="145"/>
      <c r="CG42" s="145"/>
      <c r="CH42" s="145"/>
      <c r="CI42" s="142"/>
    </row>
    <row r="43" spans="1:87" ht="13.5" customHeight="1">
      <c r="B43" s="80">
        <v>415</v>
      </c>
      <c r="C43" s="93" t="s">
        <v>431</v>
      </c>
      <c r="D43" s="154">
        <f>+IF(ISNUMBER(VLOOKUP($B43,'Cental Budget'!$B$16:$K$75,'Public Expenditure'!D$1,FALSE)),VLOOKUP($B43,'Cental Budget'!$B$16:$K$75,'Public Expenditure'!D$1,FALSE),0)+IF(ISNUMBER(VLOOKUP('Public Expenditure'!$B43,'Local Government'!$B$16:$O$75,'Public Expenditure'!D$1,FALSE)),VLOOKUP('Public Expenditure'!$B43,'Local Government'!$B$16:$O$75,'Public Expenditure'!D$1,FALSE),0)</f>
        <v>25225819.050000004</v>
      </c>
      <c r="E43" s="349">
        <f t="shared" si="0"/>
        <v>0.7434225650698818</v>
      </c>
      <c r="F43" s="154">
        <f>+IF(ISNUMBER(VLOOKUP($B43,'Cental Budget'!$B$16:$K$75,'Public Expenditure'!F$1,FALSE)),VLOOKUP($B43,'Cental Budget'!$B$16:$K$75,'Public Expenditure'!F$1,FALSE),0)+IF(ISNUMBER(VLOOKUP('Public Expenditure'!$B43,'Local Government'!$B$16:$O$75,'Public Expenditure'!F$1,FALSE)),VLOOKUP('Public Expenditure'!$B43,'Local Government'!$B$16:$O$75,'Public Expenditure'!F$1,FALSE),0)</f>
        <v>25636380.619999997</v>
      </c>
      <c r="G43" s="349">
        <f t="shared" si="2"/>
        <v>0.75552210224976624</v>
      </c>
      <c r="H43" s="209">
        <f t="shared" si="3"/>
        <v>-410561.56999999285</v>
      </c>
      <c r="I43" s="355">
        <f t="shared" si="4"/>
        <v>-1.6014802404661452</v>
      </c>
      <c r="J43" s="154">
        <f>+IF(ISNUMBER(VLOOKUP($B43,'Cental Budget'!$B$16:$K$75,'Public Expenditure'!J$1,FALSE)),VLOOKUP($B43,'Cental Budget'!$B$16:$K$75,'Public Expenditure'!J$1,FALSE),0)+IF(ISNUMBER(VLOOKUP('Public Expenditure'!$B43,'Local Government'!$B$16:$O$75,'Public Expenditure'!J$1,FALSE)),VLOOKUP('Public Expenditure'!$B43,'Local Government'!$B$16:$O$75,'Public Expenditure'!J$1,FALSE),0)</f>
        <v>24268766.889999997</v>
      </c>
      <c r="K43" s="349">
        <f t="shared" si="1"/>
        <v>0.72944895972347445</v>
      </c>
      <c r="L43" s="209">
        <f t="shared" si="5"/>
        <v>957052.1600000076</v>
      </c>
      <c r="M43" s="355">
        <f t="shared" si="6"/>
        <v>3.9435549582635048</v>
      </c>
      <c r="O43" s="81"/>
      <c r="P43" s="215"/>
      <c r="Q43" s="81"/>
      <c r="R43" s="81"/>
      <c r="CD43" s="161"/>
      <c r="CE43" s="161"/>
      <c r="CF43" s="145"/>
      <c r="CG43" s="145"/>
      <c r="CH43" s="145"/>
      <c r="CI43" s="142"/>
    </row>
    <row r="44" spans="1:87" ht="13.5" customHeight="1">
      <c r="B44" s="80">
        <v>416</v>
      </c>
      <c r="C44" s="93" t="s">
        <v>80</v>
      </c>
      <c r="D44" s="154">
        <f>+IF(ISNUMBER(VLOOKUP($B44,'Cental Budget'!$B$16:$K$75,'Public Expenditure'!D$1,FALSE)),VLOOKUP($B44,'Cental Budget'!$B$16:$K$75,'Public Expenditure'!D$1,FALSE),0)+IF(ISNUMBER(VLOOKUP('Public Expenditure'!$B44,'Local Government'!$B$16:$O$75,'Public Expenditure'!D$1,FALSE)),VLOOKUP('Public Expenditure'!$B44,'Local Government'!$B$16:$O$75,'Public Expenditure'!D$1,FALSE),0)</f>
        <v>78367363.980000004</v>
      </c>
      <c r="E44" s="349">
        <f t="shared" si="0"/>
        <v>2.3095411345137933</v>
      </c>
      <c r="F44" s="154">
        <f>+IF(ISNUMBER(VLOOKUP($B44,'Cental Budget'!$B$16:$K$75,'Public Expenditure'!F$1,FALSE)),VLOOKUP($B44,'Cental Budget'!$B$16:$K$75,'Public Expenditure'!F$1,FALSE),0)+IF(ISNUMBER(VLOOKUP('Public Expenditure'!$B44,'Local Government'!$B$16:$O$75,'Public Expenditure'!F$1,FALSE)),VLOOKUP('Public Expenditure'!$B44,'Local Government'!$B$16:$O$75,'Public Expenditure'!F$1,FALSE),0)</f>
        <v>78912654.189999998</v>
      </c>
      <c r="G44" s="349">
        <f t="shared" si="2"/>
        <v>2.3256112191291702</v>
      </c>
      <c r="H44" s="209">
        <f t="shared" si="3"/>
        <v>-545290.20999999344</v>
      </c>
      <c r="I44" s="355">
        <f t="shared" si="4"/>
        <v>-0.69100477686009754</v>
      </c>
      <c r="J44" s="154">
        <f>+IF(ISNUMBER(VLOOKUP($B44,'Cental Budget'!$B$16:$K$75,'Public Expenditure'!J$1,FALSE)),VLOOKUP($B44,'Cental Budget'!$B$16:$K$75,'Public Expenditure'!J$1,FALSE),0)+IF(ISNUMBER(VLOOKUP('Public Expenditure'!$B44,'Local Government'!$B$16:$O$75,'Public Expenditure'!J$1,FALSE)),VLOOKUP('Public Expenditure'!$B44,'Local Government'!$B$16:$O$75,'Public Expenditure'!J$1,FALSE),0)</f>
        <v>71270067.600000009</v>
      </c>
      <c r="K44" s="349">
        <f t="shared" si="1"/>
        <v>2.1421721550946802</v>
      </c>
      <c r="L44" s="209">
        <f t="shared" si="5"/>
        <v>7097296.3799999952</v>
      </c>
      <c r="M44" s="355">
        <f t="shared" si="6"/>
        <v>9.9583129622287601</v>
      </c>
      <c r="O44" s="81"/>
      <c r="P44" s="215"/>
      <c r="Q44" s="81"/>
      <c r="R44" s="81"/>
      <c r="CD44" s="161"/>
      <c r="CE44" s="161"/>
      <c r="CF44" s="145"/>
      <c r="CG44" s="145"/>
      <c r="CH44" s="145"/>
      <c r="CI44" s="142"/>
    </row>
    <row r="45" spans="1:87" ht="13.5" customHeight="1">
      <c r="B45" s="80">
        <v>417</v>
      </c>
      <c r="C45" s="93" t="s">
        <v>82</v>
      </c>
      <c r="D45" s="154">
        <f>+IF(ISNUMBER(VLOOKUP($B45,'Cental Budget'!$B$16:$K$75,'Public Expenditure'!D$1,FALSE)),VLOOKUP($B45,'Cental Budget'!$B$16:$K$75,'Public Expenditure'!D$1,FALSE),0)+IF(ISNUMBER(VLOOKUP('Public Expenditure'!$B45,'Local Government'!$B$16:$O$75,'Public Expenditure'!D$1,FALSE)),VLOOKUP('Public Expenditure'!$B45,'Local Government'!$B$16:$O$75,'Public Expenditure'!D$1,FALSE),0)</f>
        <v>8503174.0899999999</v>
      </c>
      <c r="E45" s="349">
        <f t="shared" si="0"/>
        <v>0.25059449925862987</v>
      </c>
      <c r="F45" s="154">
        <f>+IF(ISNUMBER(VLOOKUP($B45,'Cental Budget'!$B$16:$K$75,'Public Expenditure'!F$1,FALSE)),VLOOKUP($B45,'Cental Budget'!$B$16:$K$75,'Public Expenditure'!F$1,FALSE),0)+IF(ISNUMBER(VLOOKUP('Public Expenditure'!$B45,'Local Government'!$B$16:$O$75,'Public Expenditure'!F$1,FALSE)),VLOOKUP('Public Expenditure'!$B45,'Local Government'!$B$16:$O$75,'Public Expenditure'!F$1,FALSE),0)</f>
        <v>8583579.3200000003</v>
      </c>
      <c r="G45" s="349">
        <f t="shared" si="2"/>
        <v>0.25296409773284212</v>
      </c>
      <c r="H45" s="209">
        <f t="shared" si="3"/>
        <v>-80405.230000000447</v>
      </c>
      <c r="I45" s="355">
        <f t="shared" si="4"/>
        <v>-0.93673311566718098</v>
      </c>
      <c r="J45" s="154">
        <f>+IF(ISNUMBER(VLOOKUP($B45,'Cental Budget'!$B$16:$K$75,'Public Expenditure'!J$1,FALSE)),VLOOKUP($B45,'Cental Budget'!$B$16:$K$75,'Public Expenditure'!J$1,FALSE),0)+IF(ISNUMBER(VLOOKUP('Public Expenditure'!$B45,'Local Government'!$B$16:$O$75,'Public Expenditure'!J$1,FALSE)),VLOOKUP('Public Expenditure'!$B45,'Local Government'!$B$16:$O$75,'Public Expenditure'!J$1,FALSE),0)</f>
        <v>8363818.9900000002</v>
      </c>
      <c r="K45" s="349">
        <f t="shared" si="1"/>
        <v>0.25139221490832586</v>
      </c>
      <c r="L45" s="209">
        <f t="shared" si="5"/>
        <v>139355.09999999963</v>
      </c>
      <c r="M45" s="355">
        <f t="shared" si="6"/>
        <v>1.6661659006085046</v>
      </c>
      <c r="O45" s="81"/>
      <c r="P45" s="215"/>
      <c r="Q45" s="81"/>
      <c r="R45" s="81"/>
      <c r="CD45" s="161"/>
      <c r="CE45" s="161"/>
      <c r="CF45" s="145"/>
      <c r="CG45" s="145"/>
      <c r="CH45" s="145"/>
      <c r="CI45" s="142"/>
    </row>
    <row r="46" spans="1:87" ht="13.5" customHeight="1">
      <c r="B46" s="80">
        <v>418</v>
      </c>
      <c r="C46" s="93" t="s">
        <v>84</v>
      </c>
      <c r="D46" s="154">
        <f>+IF(ISNUMBER(VLOOKUP($B46,'Cental Budget'!$B$16:$K$75,'Public Expenditure'!D$1,FALSE)),VLOOKUP($B46,'Cental Budget'!$B$16:$K$75,'Public Expenditure'!D$1,FALSE),0)+IF(ISNUMBER(VLOOKUP('Public Expenditure'!$B46,'Local Government'!$B$16:$O$75,'Public Expenditure'!D$1,FALSE)),VLOOKUP('Public Expenditure'!$B46,'Local Government'!$B$16:$O$75,'Public Expenditure'!D$1,FALSE),0)</f>
        <v>18844296.169999998</v>
      </c>
      <c r="E46" s="349">
        <f t="shared" si="0"/>
        <v>0.5553546137736981</v>
      </c>
      <c r="F46" s="154">
        <f>+IF(ISNUMBER(VLOOKUP($B46,'Cental Budget'!$B$16:$K$75,'Public Expenditure'!F$1,FALSE)),VLOOKUP($B46,'Cental Budget'!$B$16:$K$75,'Public Expenditure'!F$1,FALSE),0)+IF(ISNUMBER(VLOOKUP('Public Expenditure'!$B46,'Local Government'!$B$16:$O$75,'Public Expenditure'!F$1,FALSE)),VLOOKUP('Public Expenditure'!$B46,'Local Government'!$B$16:$O$75,'Public Expenditure'!F$1,FALSE),0)</f>
        <v>19633594.649999999</v>
      </c>
      <c r="G46" s="349">
        <f t="shared" si="2"/>
        <v>0.57861579310128697</v>
      </c>
      <c r="H46" s="209">
        <f t="shared" si="3"/>
        <v>-789298.48000000045</v>
      </c>
      <c r="I46" s="355">
        <f t="shared" si="4"/>
        <v>-4.0201424857266232</v>
      </c>
      <c r="J46" s="154">
        <f>+IF(ISNUMBER(VLOOKUP($B46,'Cental Budget'!$B$16:$K$75,'Public Expenditure'!J$1,FALSE)),VLOOKUP($B46,'Cental Budget'!$B$16:$K$75,'Public Expenditure'!J$1,FALSE),0)+IF(ISNUMBER(VLOOKUP('Public Expenditure'!$B46,'Local Government'!$B$16:$O$75,'Public Expenditure'!J$1,FALSE)),VLOOKUP('Public Expenditure'!$B46,'Local Government'!$B$16:$O$75,'Public Expenditure'!J$1,FALSE),0)</f>
        <v>18184744.609999999</v>
      </c>
      <c r="K46" s="349">
        <f t="shared" si="1"/>
        <v>0.5465808418996092</v>
      </c>
      <c r="L46" s="209">
        <f t="shared" si="5"/>
        <v>659551.55999999866</v>
      </c>
      <c r="M46" s="355">
        <f t="shared" si="6"/>
        <v>3.626949809552471</v>
      </c>
      <c r="O46" s="81"/>
      <c r="P46" s="215"/>
      <c r="Q46" s="81"/>
      <c r="R46" s="81"/>
      <c r="CD46" s="161"/>
      <c r="CE46" s="161"/>
      <c r="CF46" s="145"/>
      <c r="CG46" s="145"/>
      <c r="CH46" s="145"/>
      <c r="CI46" s="142"/>
    </row>
    <row r="47" spans="1:87" ht="13.5" customHeight="1">
      <c r="B47" s="80">
        <v>419</v>
      </c>
      <c r="C47" s="93" t="s">
        <v>86</v>
      </c>
      <c r="D47" s="154">
        <f>+IF(ISNUMBER(VLOOKUP($B47,'Cental Budget'!$B$16:$K$75,'Public Expenditure'!D$1,FALSE)),VLOOKUP($B47,'Cental Budget'!$B$16:$K$75,'Public Expenditure'!D$1,FALSE),0)+IF(ISNUMBER(VLOOKUP('Public Expenditure'!$B47,'Local Government'!$B$16:$O$75,'Public Expenditure'!D$1,FALSE)),VLOOKUP('Public Expenditure'!$B47,'Local Government'!$B$16:$O$75,'Public Expenditure'!D$1,FALSE),0)</f>
        <v>27306865.830000002</v>
      </c>
      <c r="E47" s="349">
        <f t="shared" si="0"/>
        <v>0.8047524720255893</v>
      </c>
      <c r="F47" s="154">
        <f>+IF(ISNUMBER(VLOOKUP($B47,'Cental Budget'!$B$16:$K$75,'Public Expenditure'!F$1,FALSE)),VLOOKUP($B47,'Cental Budget'!$B$16:$K$75,'Public Expenditure'!F$1,FALSE),0)+IF(ISNUMBER(VLOOKUP('Public Expenditure'!$B47,'Local Government'!$B$16:$O$75,'Public Expenditure'!F$1,FALSE)),VLOOKUP('Public Expenditure'!$B47,'Local Government'!$B$16:$O$75,'Public Expenditure'!F$1,FALSE),0)</f>
        <v>27451428.325536642</v>
      </c>
      <c r="G47" s="349">
        <f t="shared" si="2"/>
        <v>0.80901283007508362</v>
      </c>
      <c r="H47" s="209">
        <f t="shared" si="3"/>
        <v>-144562.49553664029</v>
      </c>
      <c r="I47" s="355">
        <f t="shared" si="4"/>
        <v>-0.52661192642628407</v>
      </c>
      <c r="J47" s="154">
        <f>+IF(ISNUMBER(VLOOKUP($B47,'Cental Budget'!$B$16:$K$75,'Public Expenditure'!J$1,FALSE)),VLOOKUP($B47,'Cental Budget'!$B$16:$K$75,'Public Expenditure'!J$1,FALSE),0)+IF(ISNUMBER(VLOOKUP('Public Expenditure'!$B47,'Local Government'!$B$16:$O$75,'Public Expenditure'!J$1,FALSE)),VLOOKUP('Public Expenditure'!$B47,'Local Government'!$B$16:$O$75,'Public Expenditure'!J$1,FALSE),0)</f>
        <v>23240356.460000005</v>
      </c>
      <c r="K47" s="349">
        <f t="shared" si="1"/>
        <v>0.69853791584009628</v>
      </c>
      <c r="L47" s="209">
        <f t="shared" si="5"/>
        <v>4066509.3699999973</v>
      </c>
      <c r="M47" s="355">
        <f t="shared" si="6"/>
        <v>17.497620473244652</v>
      </c>
      <c r="O47" s="81"/>
      <c r="P47" s="215"/>
      <c r="Q47" s="81"/>
      <c r="R47" s="81"/>
      <c r="CD47" s="161"/>
      <c r="CE47" s="161"/>
      <c r="CF47" s="145"/>
      <c r="CG47" s="145"/>
      <c r="CH47" s="145"/>
      <c r="CI47" s="142"/>
    </row>
    <row r="48" spans="1:87" ht="13.5" customHeight="1">
      <c r="B48" s="80">
        <v>441</v>
      </c>
      <c r="C48" s="93" t="s">
        <v>130</v>
      </c>
      <c r="D48" s="154">
        <f>+IF(ISNUMBER(VLOOKUP($B48,'Cental Budget'!$B$16:$K$75,'Public Expenditure'!D$1,FALSE)),VLOOKUP($B48,'Cental Budget'!$B$16:$K$75,'Public Expenditure'!D$1,FALSE),0)+IF(ISNUMBER(VLOOKUP('Public Expenditure'!$B48,'Local Government'!$B$16:$O$75,'Public Expenditure'!D$1,FALSE)),VLOOKUP('Public Expenditure'!$B48,'Local Government'!$B$16:$O$75,'Public Expenditure'!D$1,FALSE),0)</f>
        <v>64354418.879999995</v>
      </c>
      <c r="E48" s="349">
        <f t="shared" si="0"/>
        <v>1.8965698224712835</v>
      </c>
      <c r="F48" s="154">
        <f>+IF(ISNUMBER(VLOOKUP($B48,'Cental Budget'!$B$16:$K$75,'Public Expenditure'!F$1,FALSE)),VLOOKUP($B48,'Cental Budget'!$B$16:$K$75,'Public Expenditure'!F$1,FALSE),0)+IF(ISNUMBER(VLOOKUP('Public Expenditure'!$B48,'Local Government'!$B$16:$O$75,'Public Expenditure'!F$1,FALSE)),VLOOKUP('Public Expenditure'!$B48,'Local Government'!$B$16:$O$75,'Public Expenditure'!F$1,FALSE),0)</f>
        <v>10347963.32</v>
      </c>
      <c r="G48" s="349">
        <f t="shared" si="2"/>
        <v>0.3049617306520499</v>
      </c>
      <c r="H48" s="209">
        <f>+D48-F48</f>
        <v>54006455.559999995</v>
      </c>
      <c r="I48" s="355">
        <f t="shared" si="4"/>
        <v>521.90420365734337</v>
      </c>
      <c r="J48" s="154">
        <f>+IF(ISNUMBER(VLOOKUP($B48,'Cental Budget'!$B$16:$K$75,'Public Expenditure'!J$1,FALSE)),VLOOKUP($B48,'Cental Budget'!$B$16:$K$75,'Public Expenditure'!J$1,FALSE),0)+IF(ISNUMBER(VLOOKUP('Public Expenditure'!$B48,'Local Government'!$B$16:$O$75,'Public Expenditure'!J$1,FALSE)),VLOOKUP('Public Expenditure'!$B48,'Local Government'!$B$16:$O$75,'Public Expenditure'!J$1,FALSE),0)</f>
        <v>12212230.590000002</v>
      </c>
      <c r="K48" s="349">
        <f t="shared" si="1"/>
        <v>0.36706433994589727</v>
      </c>
      <c r="L48" s="209">
        <f t="shared" si="5"/>
        <v>52142188.289999992</v>
      </c>
      <c r="M48" s="355">
        <f t="shared" si="6"/>
        <v>426.96694846801108</v>
      </c>
      <c r="O48" s="81"/>
      <c r="P48" s="215"/>
      <c r="Q48" s="81"/>
      <c r="R48" s="81"/>
      <c r="CD48" s="161"/>
      <c r="CE48" s="161"/>
      <c r="CF48" s="145"/>
      <c r="CG48" s="145"/>
      <c r="CH48" s="145"/>
      <c r="CI48" s="142"/>
    </row>
    <row r="49" spans="1:87" ht="13.5" customHeight="1">
      <c r="A49" s="80">
        <v>42</v>
      </c>
      <c r="B49" s="80" t="s">
        <v>428</v>
      </c>
      <c r="C49" s="93" t="s">
        <v>87</v>
      </c>
      <c r="D49" s="94">
        <f>+IF(ISNUMBER(VLOOKUP($B49,'Cental Budget'!$B$16:$K$75,'Public Expenditure'!D$1,FALSE)),VLOOKUP($B49,'Cental Budget'!$B$16:$K$75,'Public Expenditure'!D$1,FALSE),0)+IF(ISNUMBER(VLOOKUP('Public Expenditure'!$B49,'Local Government'!$B$16:$M$75,'Public Expenditure'!D$1,FALSE)),VLOOKUP('Public Expenditure'!$B49,'Local Government'!$B$16:$M$75,'Public Expenditure'!D$1,FALSE),0)</f>
        <v>492399491.94</v>
      </c>
      <c r="E49" s="349">
        <f t="shared" si="0"/>
        <v>14.511358089565828</v>
      </c>
      <c r="F49" s="94">
        <f>+IF(ISNUMBER(VLOOKUP($B49,'Cental Budget'!$B$16:$K$75,'Public Expenditure'!F$1,FALSE)),VLOOKUP($B49,'Cental Budget'!$B$16:$K$75,'Public Expenditure'!F$1,FALSE),0)+IF(ISNUMBER(VLOOKUP('Public Expenditure'!$B49,'Local Government'!$B$16:$M$75,'Public Expenditure'!F$1,FALSE)),VLOOKUP('Public Expenditure'!$B49,'Local Government'!$B$16:$M$75,'Public Expenditure'!F$1,FALSE),0)</f>
        <v>495307917.22250009</v>
      </c>
      <c r="G49" s="349">
        <f t="shared" si="2"/>
        <v>14.597071420797796</v>
      </c>
      <c r="H49" s="207">
        <f t="shared" si="3"/>
        <v>-2908425.2825000882</v>
      </c>
      <c r="I49" s="355">
        <f t="shared" si="4"/>
        <v>-0.58719539530267184</v>
      </c>
      <c r="J49" s="94">
        <f>+IF(ISNUMBER(VLOOKUP($B49,'Cental Budget'!$B$16:$K$75,'Public Expenditure'!J$1,FALSE)),VLOOKUP($B49,'Cental Budget'!$B$16:$K$75,'Public Expenditure'!J$1,FALSE),0)+IF(ISNUMBER(VLOOKUP('Public Expenditure'!$B49,'Local Government'!$B$16:$M$75,'Public Expenditure'!J$1,FALSE)),VLOOKUP('Public Expenditure'!$B49,'Local Government'!$B$16:$M$75,'Public Expenditure'!J$1,FALSE),0)</f>
        <v>483403892.99999988</v>
      </c>
      <c r="K49" s="349">
        <f t="shared" si="1"/>
        <v>14.52972326420198</v>
      </c>
      <c r="L49" s="207">
        <f t="shared" si="5"/>
        <v>8995598.9400001168</v>
      </c>
      <c r="M49" s="355">
        <f t="shared" si="6"/>
        <v>1.8608867388662418</v>
      </c>
      <c r="O49" s="215"/>
      <c r="P49" s="81"/>
      <c r="Q49" s="81"/>
      <c r="R49" s="81"/>
      <c r="CD49" s="161"/>
      <c r="CE49" s="161"/>
      <c r="CF49" s="145"/>
      <c r="CG49" s="145"/>
      <c r="CH49" s="145"/>
      <c r="CI49" s="142"/>
    </row>
    <row r="50" spans="1:87" ht="13.5" customHeight="1">
      <c r="B50" s="80">
        <v>421</v>
      </c>
      <c r="C50" s="97" t="s">
        <v>89</v>
      </c>
      <c r="D50" s="156">
        <f>+IF(ISNUMBER(VLOOKUP($B50,'Cental Budget'!$B$16:$K$75,'Public Expenditure'!D$1,FALSE)),VLOOKUP($B50,'Cental Budget'!$B$16:$K$75,'Public Expenditure'!D$1,FALSE),0)+IF(ISNUMBER(VLOOKUP('Public Expenditure'!$B50,'Local Government'!$B$16:$O$75,'Public Expenditure'!D$1,FALSE)),VLOOKUP('Public Expenditure'!$B50,'Local Government'!$B$16:$O$75,'Public Expenditure'!D$1,FALSE),0)</f>
        <v>62116395.839999996</v>
      </c>
      <c r="E50" s="348">
        <f t="shared" si="0"/>
        <v>1.8306137151280693</v>
      </c>
      <c r="F50" s="156">
        <f>+IF(ISNUMBER(VLOOKUP($B50,'Cental Budget'!$B$16:$K$75,'Public Expenditure'!F$1,FALSE)),VLOOKUP($B50,'Cental Budget'!$B$16:$K$75,'Public Expenditure'!F$1,FALSE),0)+IF(ISNUMBER(VLOOKUP('Public Expenditure'!$B50,'Local Government'!$B$16:$O$75,'Public Expenditure'!F$1,FALSE)),VLOOKUP('Public Expenditure'!$B50,'Local Government'!$B$16:$O$75,'Public Expenditure'!F$1,FALSE),0)</f>
        <v>59229518.252500005</v>
      </c>
      <c r="G50" s="348">
        <f t="shared" si="2"/>
        <v>1.7455354095678781</v>
      </c>
      <c r="H50" s="210">
        <f t="shared" si="3"/>
        <v>2886877.5874999911</v>
      </c>
      <c r="I50" s="354">
        <f t="shared" si="4"/>
        <v>4.8740521156917112</v>
      </c>
      <c r="J50" s="156">
        <f>+IF(ISNUMBER(VLOOKUP($B50,'Cental Budget'!$B$16:$K$75,'Public Expenditure'!J$1,FALSE)),VLOOKUP($B50,'Cental Budget'!$B$16:$K$75,'Public Expenditure'!J$1,FALSE),0)+IF(ISNUMBER(VLOOKUP('Public Expenditure'!$B50,'Local Government'!$B$16:$O$75,'Public Expenditure'!J$1,FALSE)),VLOOKUP('Public Expenditure'!$B50,'Local Government'!$B$16:$O$75,'Public Expenditure'!J$1,FALSE),0)</f>
        <v>64036543.990000002</v>
      </c>
      <c r="K50" s="348">
        <f t="shared" si="1"/>
        <v>1.9247533510670274</v>
      </c>
      <c r="L50" s="210">
        <f t="shared" si="5"/>
        <v>-1920148.150000006</v>
      </c>
      <c r="M50" s="354">
        <f t="shared" si="6"/>
        <v>-2.9985193303059248</v>
      </c>
      <c r="O50" s="81"/>
      <c r="P50" s="81"/>
      <c r="Q50" s="81"/>
      <c r="R50" s="81"/>
      <c r="CD50" s="161"/>
      <c r="CE50" s="161"/>
      <c r="CF50" s="145"/>
      <c r="CG50" s="145"/>
      <c r="CH50" s="145"/>
      <c r="CI50" s="142"/>
    </row>
    <row r="51" spans="1:87" ht="13.5" customHeight="1">
      <c r="B51" s="80">
        <v>422</v>
      </c>
      <c r="C51" s="97" t="s">
        <v>91</v>
      </c>
      <c r="D51" s="156">
        <f>+IF(ISNUMBER(VLOOKUP($B51,'Cental Budget'!$B$16:$K$75,'Public Expenditure'!D$1,FALSE)),VLOOKUP($B51,'Cental Budget'!$B$16:$K$75,'Public Expenditure'!D$1,FALSE),0)+IF(ISNUMBER(VLOOKUP('Public Expenditure'!$B51,'Local Government'!$B$16:$O$75,'Public Expenditure'!D$1,FALSE)),VLOOKUP('Public Expenditure'!$B51,'Local Government'!$B$16:$O$75,'Public Expenditure'!D$1,FALSE),0)</f>
        <v>22587777.399999995</v>
      </c>
      <c r="E51" s="348">
        <f t="shared" si="0"/>
        <v>0.66567762896624361</v>
      </c>
      <c r="F51" s="156">
        <f>+IF(ISNUMBER(VLOOKUP($B51,'Cental Budget'!$B$16:$K$75,'Public Expenditure'!F$1,FALSE)),VLOOKUP($B51,'Cental Budget'!$B$16:$K$75,'Public Expenditure'!F$1,FALSE),0)+IF(ISNUMBER(VLOOKUP('Public Expenditure'!$B51,'Local Government'!$B$16:$O$75,'Public Expenditure'!F$1,FALSE)),VLOOKUP('Public Expenditure'!$B51,'Local Government'!$B$16:$O$75,'Public Expenditure'!F$1,FALSE),0)</f>
        <v>17258124</v>
      </c>
      <c r="G51" s="348">
        <f t="shared" si="2"/>
        <v>0.50860900837128953</v>
      </c>
      <c r="H51" s="210">
        <f t="shared" si="3"/>
        <v>5329653.3999999948</v>
      </c>
      <c r="I51" s="354">
        <f t="shared" si="4"/>
        <v>30.881997371209025</v>
      </c>
      <c r="J51" s="156">
        <f>+IF(ISNUMBER(VLOOKUP($B51,'Cental Budget'!$B$16:$K$75,'Public Expenditure'!J$1,FALSE)),VLOOKUP($B51,'Cental Budget'!$B$16:$K$75,'Public Expenditure'!J$1,FALSE),0)+IF(ISNUMBER(VLOOKUP('Public Expenditure'!$B51,'Local Government'!$B$16:$O$75,'Public Expenditure'!J$1,FALSE)),VLOOKUP('Public Expenditure'!$B51,'Local Government'!$B$16:$O$75,'Public Expenditure'!J$1,FALSE),0)</f>
        <v>13086355.519999998</v>
      </c>
      <c r="K51" s="348">
        <f t="shared" si="1"/>
        <v>0.39333800781484818</v>
      </c>
      <c r="L51" s="210">
        <f t="shared" si="5"/>
        <v>9501421.8799999971</v>
      </c>
      <c r="M51" s="354">
        <f t="shared" si="6"/>
        <v>72.605561307568678</v>
      </c>
      <c r="O51" s="81"/>
      <c r="P51" s="81"/>
      <c r="Q51" s="81"/>
      <c r="R51" s="81"/>
      <c r="CD51" s="161"/>
      <c r="CE51" s="161"/>
      <c r="CF51" s="145"/>
      <c r="CG51" s="145"/>
      <c r="CH51" s="145"/>
      <c r="CI51" s="142"/>
    </row>
    <row r="52" spans="1:87" ht="13.5" customHeight="1">
      <c r="B52" s="80">
        <v>423</v>
      </c>
      <c r="C52" s="97" t="s">
        <v>93</v>
      </c>
      <c r="D52" s="156">
        <f>+IF(ISNUMBER(VLOOKUP($B52,'Cental Budget'!$B$16:$K$75,'Public Expenditure'!D$1,FALSE)),VLOOKUP($B52,'Cental Budget'!$B$16:$K$75,'Public Expenditure'!D$1,FALSE),0)+IF(ISNUMBER(VLOOKUP('Public Expenditure'!$B52,'Local Government'!$B$16:$O$75,'Public Expenditure'!D$1,FALSE)),VLOOKUP('Public Expenditure'!$B52,'Local Government'!$B$16:$O$75,'Public Expenditure'!D$1,FALSE),0)</f>
        <v>384390842.84999996</v>
      </c>
      <c r="E52" s="348">
        <f t="shared" si="0"/>
        <v>11.328267510938193</v>
      </c>
      <c r="F52" s="156">
        <f>+IF(ISNUMBER(VLOOKUP($B52,'Cental Budget'!$B$16:$K$75,'Public Expenditure'!F$1,FALSE)),VLOOKUP($B52,'Cental Budget'!$B$16:$K$75,'Public Expenditure'!F$1,FALSE),0)+IF(ISNUMBER(VLOOKUP('Public Expenditure'!$B52,'Local Government'!$B$16:$O$75,'Public Expenditure'!F$1,FALSE)),VLOOKUP('Public Expenditure'!$B52,'Local Government'!$B$16:$O$75,'Public Expenditure'!F$1,FALSE),0)</f>
        <v>397320274.97000009</v>
      </c>
      <c r="G52" s="348">
        <f t="shared" si="2"/>
        <v>11.70930693615945</v>
      </c>
      <c r="H52" s="210">
        <f t="shared" si="3"/>
        <v>-12929432.120000124</v>
      </c>
      <c r="I52" s="354">
        <f t="shared" si="4"/>
        <v>-3.2541586560052451</v>
      </c>
      <c r="J52" s="156">
        <f>+IF(ISNUMBER(VLOOKUP($B52,'Cental Budget'!$B$16:$K$75,'Public Expenditure'!J$1,FALSE)),VLOOKUP($B52,'Cental Budget'!$B$16:$K$75,'Public Expenditure'!J$1,FALSE),0)+IF(ISNUMBER(VLOOKUP('Public Expenditure'!$B52,'Local Government'!$B$16:$O$75,'Public Expenditure'!J$1,FALSE)),VLOOKUP('Public Expenditure'!$B52,'Local Government'!$B$16:$O$75,'Public Expenditure'!J$1,FALSE),0)</f>
        <v>383189899.51999992</v>
      </c>
      <c r="K52" s="348">
        <f t="shared" si="1"/>
        <v>11.517580388337839</v>
      </c>
      <c r="L52" s="210">
        <f t="shared" si="5"/>
        <v>1200943.3300000429</v>
      </c>
      <c r="M52" s="354">
        <f t="shared" si="6"/>
        <v>0.31340683340150122</v>
      </c>
      <c r="O52" s="81"/>
      <c r="P52" s="81"/>
      <c r="Q52" s="81"/>
      <c r="R52" s="81"/>
      <c r="CD52" s="161"/>
      <c r="CE52" s="161"/>
      <c r="CF52" s="145"/>
      <c r="CG52" s="145"/>
      <c r="CH52" s="145"/>
      <c r="CI52" s="142"/>
    </row>
    <row r="53" spans="1:87" ht="13.5" customHeight="1">
      <c r="B53" s="80">
        <v>424</v>
      </c>
      <c r="C53" s="97" t="s">
        <v>95</v>
      </c>
      <c r="D53" s="156">
        <f>+IF(ISNUMBER(VLOOKUP($B53,'Cental Budget'!$B$16:$K$75,'Public Expenditure'!D$1,FALSE)),VLOOKUP($B53,'Cental Budget'!$B$16:$K$75,'Public Expenditure'!D$1,FALSE),0)+IF(ISNUMBER(VLOOKUP('Public Expenditure'!$B53,'Local Government'!$B$16:$O$75,'Public Expenditure'!D$1,FALSE)),VLOOKUP('Public Expenditure'!$B53,'Local Government'!$B$16:$O$75,'Public Expenditure'!D$1,FALSE),0)</f>
        <v>15215135.74</v>
      </c>
      <c r="E53" s="348">
        <f t="shared" si="0"/>
        <v>0.44840071267050624</v>
      </c>
      <c r="F53" s="156">
        <f>+IF(ISNUMBER(VLOOKUP($B53,'Cental Budget'!$B$16:$K$75,'Public Expenditure'!F$1,FALSE)),VLOOKUP($B53,'Cental Budget'!$B$16:$K$75,'Public Expenditure'!F$1,FALSE),0)+IF(ISNUMBER(VLOOKUP('Public Expenditure'!$B53,'Local Government'!$B$16:$O$75,'Public Expenditure'!F$1,FALSE)),VLOOKUP('Public Expenditure'!$B53,'Local Government'!$B$16:$O$75,'Public Expenditure'!F$1,FALSE),0)</f>
        <v>14500000.000000002</v>
      </c>
      <c r="G53" s="348">
        <f t="shared" si="2"/>
        <v>0.42732516126223802</v>
      </c>
      <c r="H53" s="210">
        <f t="shared" si="3"/>
        <v>715135.73999999836</v>
      </c>
      <c r="I53" s="354">
        <f t="shared" si="4"/>
        <v>4.9319706206896399</v>
      </c>
      <c r="J53" s="156">
        <f>+IF(ISNUMBER(VLOOKUP($B53,'Cental Budget'!$B$16:$K$75,'Public Expenditure'!J$1,FALSE)),VLOOKUP($B53,'Cental Budget'!$B$16:$K$75,'Public Expenditure'!J$1,FALSE),0)+IF(ISNUMBER(VLOOKUP('Public Expenditure'!$B53,'Local Government'!$B$16:$O$75,'Public Expenditure'!J$1,FALSE)),VLOOKUP('Public Expenditure'!$B53,'Local Government'!$B$16:$O$75,'Public Expenditure'!J$1,FALSE),0)</f>
        <v>14792096.089999998</v>
      </c>
      <c r="K53" s="348">
        <f t="shared" si="1"/>
        <v>0.44460763721070024</v>
      </c>
      <c r="L53" s="210">
        <f t="shared" si="5"/>
        <v>423039.65000000224</v>
      </c>
      <c r="M53" s="354">
        <f t="shared" si="6"/>
        <v>2.8599033390946715</v>
      </c>
      <c r="O53" s="81"/>
      <c r="P53" s="81"/>
      <c r="Q53" s="81"/>
      <c r="R53" s="81"/>
      <c r="CD53" s="161"/>
      <c r="CE53" s="161"/>
      <c r="CF53" s="145"/>
      <c r="CG53" s="145"/>
      <c r="CH53" s="145"/>
      <c r="CI53" s="142"/>
    </row>
    <row r="54" spans="1:87" ht="13.5" customHeight="1">
      <c r="B54" s="80">
        <v>425</v>
      </c>
      <c r="C54" s="97" t="s">
        <v>432</v>
      </c>
      <c r="D54" s="156">
        <f>+IF(ISNUMBER(VLOOKUP($B54,'Cental Budget'!$B$16:$K$75,'Public Expenditure'!D$1,FALSE)),VLOOKUP($B54,'Cental Budget'!$B$16:$K$75,'Public Expenditure'!D$1,FALSE),0)+IF(ISNUMBER(VLOOKUP('Public Expenditure'!$B54,'Local Government'!$B$16:$O$75,'Public Expenditure'!D$1,FALSE)),VLOOKUP('Public Expenditure'!$B54,'Local Government'!$B$16:$O$75,'Public Expenditure'!D$1,FALSE),0)</f>
        <v>8089340.1100000003</v>
      </c>
      <c r="E54" s="348">
        <f t="shared" si="0"/>
        <v>0.23839852186281654</v>
      </c>
      <c r="F54" s="156">
        <f>+IF(ISNUMBER(VLOOKUP($B54,'Cental Budget'!$B$16:$K$75,'Public Expenditure'!F$1,FALSE)),VLOOKUP($B54,'Cental Budget'!$B$16:$K$75,'Public Expenditure'!F$1,FALSE),0)+IF(ISNUMBER(VLOOKUP('Public Expenditure'!$B54,'Local Government'!$B$16:$O$75,'Public Expenditure'!F$1,FALSE)),VLOOKUP('Public Expenditure'!$B54,'Local Government'!$B$16:$O$75,'Public Expenditure'!F$1,FALSE),0)</f>
        <v>6999999.9999999972</v>
      </c>
      <c r="G54" s="348">
        <f t="shared" si="2"/>
        <v>0.20629490543694234</v>
      </c>
      <c r="H54" s="210">
        <f t="shared" si="3"/>
        <v>1089340.1100000031</v>
      </c>
      <c r="I54" s="354">
        <f t="shared" si="4"/>
        <v>15.562001571428624</v>
      </c>
      <c r="J54" s="156">
        <f>+IF(ISNUMBER(VLOOKUP($B54,'Cental Budget'!$B$16:$K$75,'Public Expenditure'!J$1,FALSE)),VLOOKUP($B54,'Cental Budget'!$B$16:$K$75,'Public Expenditure'!J$1,FALSE),0)+IF(ISNUMBER(VLOOKUP('Public Expenditure'!$B54,'Local Government'!$B$16:$O$75,'Public Expenditure'!J$1,FALSE)),VLOOKUP('Public Expenditure'!$B54,'Local Government'!$B$16:$O$75,'Public Expenditure'!J$1,FALSE),0)</f>
        <v>7862525.3599999994</v>
      </c>
      <c r="K54" s="348">
        <f t="shared" si="1"/>
        <v>0.2363247778779681</v>
      </c>
      <c r="L54" s="210">
        <f t="shared" si="5"/>
        <v>226814.75000000093</v>
      </c>
      <c r="M54" s="354">
        <f t="shared" si="6"/>
        <v>2.8847569911049789</v>
      </c>
      <c r="O54" s="81"/>
      <c r="P54" s="81"/>
      <c r="Q54" s="81"/>
      <c r="R54" s="81"/>
      <c r="CD54" s="161"/>
      <c r="CE54" s="161"/>
      <c r="CF54" s="145"/>
      <c r="CG54" s="145"/>
      <c r="CH54" s="145"/>
      <c r="CI54" s="142"/>
    </row>
    <row r="55" spans="1:87" ht="13.5" customHeight="1">
      <c r="A55" s="80">
        <v>43</v>
      </c>
      <c r="C55" s="93" t="s">
        <v>433</v>
      </c>
      <c r="D55" s="94">
        <f>+SUM(D56:D57)</f>
        <v>130490534.16999999</v>
      </c>
      <c r="E55" s="349">
        <f t="shared" si="0"/>
        <v>3.8456474867166079</v>
      </c>
      <c r="F55" s="94">
        <f>+SUM(F56:F57)</f>
        <v>131796321.71553481</v>
      </c>
      <c r="G55" s="349">
        <f t="shared" si="2"/>
        <v>3.8841299607490143</v>
      </c>
      <c r="H55" s="207">
        <f t="shared" si="3"/>
        <v>-1305787.5455348194</v>
      </c>
      <c r="I55" s="355">
        <f t="shared" si="4"/>
        <v>-0.99076175157087221</v>
      </c>
      <c r="J55" s="94">
        <f>+SUM(J56:J57)</f>
        <v>121543643.50000003</v>
      </c>
      <c r="K55" s="349">
        <f t="shared" si="1"/>
        <v>3.6532504809137367</v>
      </c>
      <c r="L55" s="207">
        <f t="shared" si="5"/>
        <v>8946890.6699999571</v>
      </c>
      <c r="M55" s="355">
        <f t="shared" si="6"/>
        <v>7.3610518924422053</v>
      </c>
      <c r="O55" s="212"/>
      <c r="P55" s="81"/>
      <c r="Q55" s="81"/>
      <c r="R55" s="81"/>
      <c r="CD55" s="161"/>
      <c r="CE55" s="161"/>
      <c r="CF55" s="145"/>
      <c r="CG55" s="145"/>
      <c r="CH55" s="145"/>
      <c r="CI55" s="142"/>
    </row>
    <row r="56" spans="1:87" ht="13.5" customHeight="1">
      <c r="A56" s="80">
        <v>999</v>
      </c>
      <c r="B56" s="80">
        <v>431</v>
      </c>
      <c r="C56" s="97" t="s">
        <v>433</v>
      </c>
      <c r="D56" s="156">
        <f>+IF(ISNUMBER(VLOOKUP($B56,'Cental Budget'!$B$16:$K$75,'Public Expenditure'!D$1,FALSE)),VLOOKUP($B56,'Cental Budget'!$B$16:$K$75,'Public Expenditure'!D$1,FALSE),0)+IF(ISNUMBER(VLOOKUP('Public Expenditure'!$B56,'Local Government'!$B$16:$O$75,'Public Expenditure'!D$1,FALSE)),VLOOKUP('Public Expenditure'!$B56,'Local Government'!$B$16:$O$75,'Public Expenditure'!D$1,FALSE),0)-'Local Government'!D75-1295205.06</f>
        <v>116442801.47999999</v>
      </c>
      <c r="E56" s="348">
        <f t="shared" si="0"/>
        <v>3.4316509600184659</v>
      </c>
      <c r="F56" s="156">
        <f>+IF(ISNUMBER(VLOOKUP($B56,'Cental Budget'!$B$16:$K$75,'Public Expenditure'!F$1,FALSE)),VLOOKUP($B56,'Cental Budget'!$B$16:$K$75,'Public Expenditure'!F$1,FALSE),0)+IF(ISNUMBER(VLOOKUP('Public Expenditure'!$B56,'Local Government'!$B$16:$O$75,'Public Expenditure'!F$1,FALSE)),VLOOKUP('Public Expenditure'!$B56,'Local Government'!$B$16:$O$75,'Public Expenditure'!F$1,FALSE),0)-'Local Government'!F75</f>
        <v>131796321.71553481</v>
      </c>
      <c r="G56" s="348">
        <f t="shared" si="2"/>
        <v>3.8841299607490143</v>
      </c>
      <c r="H56" s="210">
        <f t="shared" si="3"/>
        <v>-15353520.235534817</v>
      </c>
      <c r="I56" s="354">
        <f t="shared" si="4"/>
        <v>-11.649429995985315</v>
      </c>
      <c r="J56" s="156">
        <f>+IF(ISNUMBER(VLOOKUP($B56,'Cental Budget'!$B$16:$K$75,'Public Expenditure'!J$1,FALSE)),VLOOKUP($B56,'Cental Budget'!$B$16:$K$75,'Public Expenditure'!J$1,FALSE),0)+IF(ISNUMBER(VLOOKUP('Public Expenditure'!$B56,'Local Government'!$B$16:$O$75,'Public Expenditure'!J$1,FALSE)),VLOOKUP('Public Expenditure'!$B56,'Local Government'!$B$16:$O$75,'Public Expenditure'!J$1,FALSE),0)-'Local Government'!J75-496557.55</f>
        <v>108193028.36000003</v>
      </c>
      <c r="K56" s="348">
        <f t="shared" si="1"/>
        <v>3.2519695930267516</v>
      </c>
      <c r="L56" s="210">
        <f t="shared" si="5"/>
        <v>8249773.1199999601</v>
      </c>
      <c r="M56" s="354">
        <f t="shared" si="6"/>
        <v>7.6250505647644502</v>
      </c>
      <c r="N56" s="253"/>
      <c r="O56" s="81"/>
      <c r="P56" s="81"/>
      <c r="Q56" s="81"/>
      <c r="R56" s="81"/>
      <c r="CD56" s="161"/>
      <c r="CE56" s="161"/>
      <c r="CF56" s="145"/>
      <c r="CG56" s="145"/>
      <c r="CH56" s="145"/>
      <c r="CI56" s="142"/>
    </row>
    <row r="57" spans="1:87" ht="13.5" customHeight="1" thickBot="1">
      <c r="A57" s="80" t="s">
        <v>428</v>
      </c>
      <c r="B57" s="80">
        <v>432</v>
      </c>
      <c r="C57" s="97" t="s">
        <v>434</v>
      </c>
      <c r="D57" s="156">
        <f>+IF(ISNUMBER(VLOOKUP($B57,'Cental Budget'!$B$16:$K$75,'Public Expenditure'!D$1,FALSE)),VLOOKUP($B57,'Cental Budget'!$B$16:$K$75,'Public Expenditure'!D$1,FALSE),0)+IF(ISNUMBER(VLOOKUP('Public Expenditure'!$B57,'Local Government'!$B$16:$O$75,'Public Expenditure'!D$1,FALSE)),VLOOKUP('Public Expenditure'!$B57,'Local Government'!$B$16:$O$75,'Public Expenditure'!D$1,FALSE),0)</f>
        <v>14047732.689999999</v>
      </c>
      <c r="E57" s="348">
        <f t="shared" si="0"/>
        <v>0.41399652669814219</v>
      </c>
      <c r="F57" s="156">
        <f>+IF(ISNUMBER(VLOOKUP($B57,'Cental Budget'!$B$16:$K$75,'Public Expenditure'!F$1,FALSE)),VLOOKUP($B57,'Cental Budget'!$B$16:$K$75,'Public Expenditure'!F$1,FALSE),0)+IF(ISNUMBER(VLOOKUP('Public Expenditure'!$B57,'Local Government'!$B$16:$O$75,'Public Expenditure'!F$1,FALSE)),VLOOKUP('Public Expenditure'!$B57,'Local Government'!$B$16:$O$75,'Public Expenditure'!F$1,FALSE),0)</f>
        <v>0</v>
      </c>
      <c r="G57" s="348">
        <f t="shared" si="2"/>
        <v>0</v>
      </c>
      <c r="H57" s="210">
        <f t="shared" si="3"/>
        <v>14047732.689999999</v>
      </c>
      <c r="I57" s="354"/>
      <c r="J57" s="156">
        <f>+IF(ISNUMBER(VLOOKUP($B57,'Cental Budget'!$B$16:$K$75,'Public Expenditure'!J$1,FALSE)),VLOOKUP($B57,'Cental Budget'!$B$16:$K$75,'Public Expenditure'!J$1,FALSE),0)+IF(ISNUMBER(VLOOKUP('Public Expenditure'!$B57,'Local Government'!$B$16:$O$75,'Public Expenditure'!J$1,FALSE)),VLOOKUP('Public Expenditure'!$B57,'Local Government'!$B$16:$O$75,'Public Expenditure'!J$1,FALSE),0)</f>
        <v>13350615.139999997</v>
      </c>
      <c r="K57" s="348">
        <f t="shared" si="1"/>
        <v>0.40128088788698513</v>
      </c>
      <c r="L57" s="210">
        <f t="shared" si="5"/>
        <v>697117.55000000261</v>
      </c>
      <c r="M57" s="354">
        <f t="shared" si="6"/>
        <v>5.2216137061082577</v>
      </c>
      <c r="N57" s="220"/>
      <c r="O57" s="81"/>
      <c r="P57" s="81"/>
      <c r="Q57" s="81"/>
      <c r="R57" s="81"/>
      <c r="CD57" s="161"/>
      <c r="CE57" s="161"/>
      <c r="CF57" s="145"/>
      <c r="CG57" s="145"/>
      <c r="CH57" s="145"/>
      <c r="CI57" s="142"/>
    </row>
    <row r="58" spans="1:87" ht="13.5" customHeight="1" thickTop="1" thickBot="1">
      <c r="B58" s="80">
        <v>44</v>
      </c>
      <c r="C58" s="178" t="s">
        <v>281</v>
      </c>
      <c r="D58" s="177">
        <f>+IF(ISNUMBER(VLOOKUP($B58,'Cental Budget'!$B$16:$K$75,'Public Expenditure'!D$1,FALSE)),VLOOKUP($B58,'Cental Budget'!$B$16:$K$75,'Public Expenditure'!D$1,FALSE),0)+IF(ISNUMBER(VLOOKUP('Public Expenditure'!$B58,'Local Government'!$B$16:$O$75,'Public Expenditure'!D$1,FALSE)),VLOOKUP('Public Expenditure'!$B58,'Local Government'!$B$16:$O$75,'Public Expenditure'!D$1,FALSE),0)</f>
        <v>124493858.80000004</v>
      </c>
      <c r="E58" s="346">
        <f t="shared" si="0"/>
        <v>3.6689212612322963</v>
      </c>
      <c r="F58" s="177">
        <f>+IF(ISNUMBER(VLOOKUP($B58,'Cental Budget'!$B$16:$K$75,'Public Expenditure'!F$1,FALSE)),VLOOKUP($B58,'Cental Budget'!$B$16:$K$75,'Public Expenditure'!F$1,FALSE),0)+IF(ISNUMBER(VLOOKUP('Public Expenditure'!$B58,'Local Government'!$B$16:$O$75,'Public Expenditure'!F$1,FALSE)),VLOOKUP('Public Expenditure'!$B58,'Local Government'!$B$16:$O$75,'Public Expenditure'!F$1,FALSE),0)</f>
        <v>125270500</v>
      </c>
      <c r="G58" s="346">
        <f t="shared" si="2"/>
        <v>3.6918094216483572</v>
      </c>
      <c r="H58" s="177">
        <f t="shared" si="3"/>
        <v>-776641.19999995828</v>
      </c>
      <c r="I58" s="346">
        <f t="shared" si="4"/>
        <v>-0.61997134201584458</v>
      </c>
      <c r="J58" s="177">
        <f>+IF(ISNUMBER(VLOOKUP($B58,'Cental Budget'!$B$16:$K$75,'Public Expenditure'!J$1,FALSE)),VLOOKUP($B58,'Cental Budget'!$B$16:$K$75,'Public Expenditure'!J$1,FALSE),0)+IF(ISNUMBER(VLOOKUP('Public Expenditure'!$B58,'Local Government'!$B$16:$O$75,'Public Expenditure'!J$1,FALSE)),VLOOKUP('Public Expenditure'!$B58,'Local Government'!$B$16:$O$75,'Public Expenditure'!J$1,FALSE),0)</f>
        <v>124386769.61000007</v>
      </c>
      <c r="K58" s="346">
        <f t="shared" si="1"/>
        <v>3.7387066308987098</v>
      </c>
      <c r="L58" s="177">
        <f t="shared" si="5"/>
        <v>107089.18999996781</v>
      </c>
      <c r="M58" s="346">
        <f t="shared" si="6"/>
        <v>8.6093714255738973E-2</v>
      </c>
      <c r="O58" s="212"/>
      <c r="P58" s="81"/>
      <c r="Q58" s="81"/>
      <c r="R58" s="81"/>
      <c r="CD58" s="161"/>
      <c r="CE58" s="161"/>
      <c r="CF58" s="145"/>
      <c r="CG58" s="145"/>
      <c r="CH58" s="145"/>
      <c r="CI58" s="142"/>
    </row>
    <row r="59" spans="1:87" ht="13.5" customHeight="1" thickTop="1">
      <c r="B59" s="80">
        <v>451</v>
      </c>
      <c r="C59" s="93" t="s">
        <v>111</v>
      </c>
      <c r="D59" s="154">
        <f>+IF(ISNUMBER(VLOOKUP($B59,'Cental Budget'!$B$16:$K$75,'Public Expenditure'!D$1,FALSE)),VLOOKUP($B59,'Cental Budget'!$B$16:$K$75,'Public Expenditure'!D$1,FALSE),0)+IF(ISNUMBER(VLOOKUP('Public Expenditure'!$B59,'Local Government'!$B$16:$O$75,'Public Expenditure'!D$1,FALSE)),VLOOKUP('Public Expenditure'!$B59,'Local Government'!$B$16:$O$75,'Public Expenditure'!D$1,FALSE),0)</f>
        <v>3761315.8199999994</v>
      </c>
      <c r="E59" s="349">
        <f t="shared" si="0"/>
        <v>0.1108486130579108</v>
      </c>
      <c r="F59" s="154">
        <f>+IF(ISNUMBER(VLOOKUP($B59,'Cental Budget'!$B$16:$K$75,'Public Expenditure'!F$1,FALSE)),VLOOKUP($B59,'Cental Budget'!$B$16:$K$75,'Public Expenditure'!F$1,FALSE),0)+IF(ISNUMBER(VLOOKUP('Public Expenditure'!$B59,'Local Government'!$B$16:$O$75,'Public Expenditure'!F$1,FALSE)),VLOOKUP('Public Expenditure'!$B59,'Local Government'!$B$16:$O$75,'Public Expenditure'!F$1,FALSE),0)</f>
        <v>4346408.9481499996</v>
      </c>
      <c r="G59" s="349">
        <f t="shared" si="2"/>
        <v>0.12809171756412638</v>
      </c>
      <c r="H59" s="209">
        <f t="shared" si="3"/>
        <v>-585093.12815000024</v>
      </c>
      <c r="I59" s="355">
        <f t="shared" si="4"/>
        <v>-13.461529624335938</v>
      </c>
      <c r="J59" s="154">
        <f>+IF(ISNUMBER(VLOOKUP($B59,'Cental Budget'!$B$16:$K$75,'Public Expenditure'!J$1,FALSE)),VLOOKUP($B59,'Cental Budget'!$B$16:$K$75,'Public Expenditure'!J$1,FALSE),0)+IF(ISNUMBER(VLOOKUP('Public Expenditure'!$B59,'Local Government'!$B$16:$O$75,'Public Expenditure'!J$1,FALSE)),VLOOKUP('Public Expenditure'!$B59,'Local Government'!$B$16:$O$75,'Public Expenditure'!J$1,FALSE),0)</f>
        <v>4129219.59</v>
      </c>
      <c r="K59" s="349">
        <f t="shared" si="1"/>
        <v>0.12411240126239856</v>
      </c>
      <c r="L59" s="209">
        <f t="shared" si="5"/>
        <v>-367903.77000000048</v>
      </c>
      <c r="M59" s="355">
        <f t="shared" si="6"/>
        <v>-8.9097651985129858</v>
      </c>
      <c r="O59" s="212"/>
      <c r="P59" s="81"/>
      <c r="Q59" s="81"/>
      <c r="R59" s="81"/>
      <c r="CD59" s="161"/>
      <c r="CE59" s="161"/>
      <c r="CF59" s="145"/>
      <c r="CG59" s="145"/>
      <c r="CH59" s="145"/>
      <c r="CI59" s="142"/>
    </row>
    <row r="60" spans="1:87" ht="13.5" customHeight="1" thickBot="1">
      <c r="B60" s="80">
        <v>47</v>
      </c>
      <c r="C60" s="93" t="s">
        <v>118</v>
      </c>
      <c r="D60" s="154">
        <f>+IF(ISNUMBER(VLOOKUP($B60,'Cental Budget'!$B$16:$K$75,'Public Expenditure'!D$1,FALSE)),VLOOKUP($B60,'Cental Budget'!$B$16:$K$75,'Public Expenditure'!D$1,FALSE),0)+IF(ISNUMBER(VLOOKUP('Public Expenditure'!$B60,'Local Government'!$B$16:$O$75,'Public Expenditure'!D$1,FALSE)),VLOOKUP('Public Expenditure'!$B60,'Local Government'!$B$16:$O$75,'Public Expenditure'!D$1,FALSE),0)</f>
        <v>15997463.289999999</v>
      </c>
      <c r="E60" s="349">
        <f t="shared" si="0"/>
        <v>0.47145645380592976</v>
      </c>
      <c r="F60" s="154">
        <f>+IF(ISNUMBER(VLOOKUP($B60,'Cental Budget'!$B$16:$K$75,'Public Expenditure'!F$1,FALSE)),VLOOKUP($B60,'Cental Budget'!$B$16:$K$75,'Public Expenditure'!F$1,FALSE),0)+IF(ISNUMBER(VLOOKUP('Public Expenditure'!$B60,'Local Government'!$B$16:$O$75,'Public Expenditure'!F$1,FALSE)),VLOOKUP('Public Expenditure'!$B60,'Local Government'!$B$16:$O$75,'Public Expenditure'!F$1,FALSE),0)</f>
        <v>12709151.670149997</v>
      </c>
      <c r="G60" s="349">
        <f t="shared" si="2"/>
        <v>0.37454760599676468</v>
      </c>
      <c r="H60" s="209">
        <f t="shared" si="3"/>
        <v>3288311.6198500022</v>
      </c>
      <c r="I60" s="355">
        <f t="shared" si="4"/>
        <v>25.873572880346245</v>
      </c>
      <c r="J60" s="154">
        <f>+IF(ISNUMBER(VLOOKUP($B60,'Cental Budget'!$B$16:$K$75,'Public Expenditure'!J$1,FALSE)),VLOOKUP($B60,'Cental Budget'!$B$16:$K$75,'Public Expenditure'!J$1,FALSE),0)+IF(ISNUMBER(VLOOKUP('Public Expenditure'!$B60,'Local Government'!$B$16:$O$75,'Public Expenditure'!J$1,FALSE)),VLOOKUP('Public Expenditure'!$B60,'Local Government'!$B$16:$O$75,'Public Expenditure'!J$1,FALSE),0)</f>
        <v>15943054.059999999</v>
      </c>
      <c r="K60" s="349">
        <f t="shared" si="1"/>
        <v>0.47920210580102185</v>
      </c>
      <c r="L60" s="209">
        <f t="shared" si="5"/>
        <v>54409.230000000447</v>
      </c>
      <c r="M60" s="355">
        <f t="shared" si="6"/>
        <v>0.34127231705566885</v>
      </c>
      <c r="O60" s="212"/>
      <c r="P60" s="81"/>
      <c r="Q60" s="81"/>
      <c r="R60" s="81"/>
      <c r="CD60" s="161"/>
      <c r="CE60" s="161"/>
      <c r="CF60" s="145"/>
      <c r="CG60" s="145"/>
      <c r="CH60" s="145"/>
      <c r="CI60" s="142"/>
    </row>
    <row r="61" spans="1:87" ht="13.5" customHeight="1" thickTop="1" thickBot="1">
      <c r="B61" s="80">
        <v>462</v>
      </c>
      <c r="C61" s="148" t="s">
        <v>113</v>
      </c>
      <c r="D61" s="163">
        <f>+IF(ISNUMBER(VLOOKUP($B61,'Cental Budget'!$B$16:$K$75,'Public Expenditure'!D$1,FALSE)),VLOOKUP($B61,'Cental Budget'!$B$16:$K$75,'Public Expenditure'!D$1,FALSE),0)+IF(ISNUMBER(VLOOKUP('Public Expenditure'!$B61,'Local Government'!$B$16:$O$75,'Public Expenditure'!D$1,FALSE)),VLOOKUP('Public Expenditure'!$B61,'Local Government'!$B$16:$O$75,'Public Expenditure'!D$1,FALSE),0)</f>
        <v>18481970.27</v>
      </c>
      <c r="E61" s="350">
        <f t="shared" si="0"/>
        <v>0.54467661559114744</v>
      </c>
      <c r="F61" s="163">
        <f>+IF(ISNUMBER(VLOOKUP($B61,'Cental Budget'!$B$16:$K$75,'Public Expenditure'!F$1,FALSE)),VLOOKUP($B61,'Cental Budget'!$B$16:$K$75,'Public Expenditure'!F$1,FALSE),0)+IF(ISNUMBER(VLOOKUP('Public Expenditure'!$B61,'Local Government'!$B$16:$O$75,'Public Expenditure'!F$1,FALSE)),VLOOKUP('Public Expenditure'!$B61,'Local Government'!$B$16:$O$75,'Public Expenditure'!F$1,FALSE),0)</f>
        <v>0</v>
      </c>
      <c r="G61" s="350">
        <f t="shared" si="2"/>
        <v>0</v>
      </c>
      <c r="H61" s="211">
        <f t="shared" si="3"/>
        <v>18481970.27</v>
      </c>
      <c r="I61" s="356"/>
      <c r="J61" s="163">
        <f>+IF(ISNUMBER(VLOOKUP($B61,'Cental Budget'!$B$16:$K$75,'Public Expenditure'!J$1,FALSE)),VLOOKUP($B61,'Cental Budget'!$B$16:$K$75,'Public Expenditure'!J$1,FALSE),0)+IF(ISNUMBER(VLOOKUP('Public Expenditure'!$B61,'Local Government'!$B$16:$O$75,'Public Expenditure'!J$1,FALSE)),VLOOKUP('Public Expenditure'!$B61,'Local Government'!$B$16:$O$75,'Public Expenditure'!J$1,FALSE),0)</f>
        <v>109131120.38</v>
      </c>
      <c r="K61" s="350">
        <f t="shared" si="1"/>
        <v>3.2801659266606551</v>
      </c>
      <c r="L61" s="211">
        <f t="shared" si="5"/>
        <v>-90649150.109999999</v>
      </c>
      <c r="M61" s="356">
        <f t="shared" si="6"/>
        <v>-83.06443642689193</v>
      </c>
      <c r="O61" s="212"/>
      <c r="P61" s="81"/>
      <c r="Q61" s="81"/>
      <c r="R61" s="81"/>
      <c r="CD61" s="161"/>
      <c r="CE61" s="161"/>
      <c r="CF61" s="145"/>
      <c r="CG61" s="145"/>
      <c r="CH61" s="145"/>
      <c r="CI61" s="142"/>
    </row>
    <row r="62" spans="1:87" ht="13.5" customHeight="1" thickTop="1" thickBot="1">
      <c r="B62" s="80" t="s">
        <v>458</v>
      </c>
      <c r="C62" s="217" t="s">
        <v>116</v>
      </c>
      <c r="D62" s="218">
        <f>+IF(ISNUMBER(VLOOKUP($B62,'Cental Budget'!$B$16:$K$75,'Public Expenditure'!D$1,FALSE)),VLOOKUP($B62,'Cental Budget'!$B$16:$K$75,'Public Expenditure'!D$1,FALSE),0)+IF(ISNUMBER(VLOOKUP('Public Expenditure'!$B62,'Local Government'!$B$16:$O$75,'Public Expenditure'!D$1,FALSE)),VLOOKUP('Public Expenditure'!$B62,'Local Government'!$B$16:$O$75,'Public Expenditure'!D$1,FALSE),0)</f>
        <v>65272880.160000011</v>
      </c>
      <c r="E62" s="351">
        <f>D62/D$11*100</f>
        <v>1.9236375200291544</v>
      </c>
      <c r="F62" s="218">
        <f>+IF(ISNUMBER(VLOOKUP($B62,'Cental Budget'!$B$16:$K$75,'Public Expenditure'!F$1,FALSE)),VLOOKUP($B62,'Cental Budget'!$B$16:$K$75,'Public Expenditure'!F$1,FALSE),0)+IF(ISNUMBER(VLOOKUP('Public Expenditure'!$B62,'Local Government'!$B$16:$O$75,'Public Expenditure'!F$1,FALSE)),VLOOKUP('Public Expenditure'!$B62,'Local Government'!$B$16:$O$75,'Public Expenditure'!F$1,FALSE),0)</f>
        <v>0</v>
      </c>
      <c r="G62" s="351">
        <f>F62/D$11*100</f>
        <v>0</v>
      </c>
      <c r="H62" s="219">
        <f>+D62-F62</f>
        <v>65272880.160000011</v>
      </c>
      <c r="I62" s="357"/>
      <c r="J62" s="218">
        <f>+IF(ISNUMBER(VLOOKUP($B62,'Cental Budget'!$B$16:$K$75,'Public Expenditure'!J$1,FALSE)),VLOOKUP($B62,'Cental Budget'!$B$16:$K$75,'Public Expenditure'!J$1,FALSE),0)+IF(ISNUMBER(VLOOKUP('Public Expenditure'!$B62,'Local Government'!$B$16:$O$75,'Public Expenditure'!J$1,FALSE)),VLOOKUP('Public Expenditure'!$B62,'Local Government'!$B$16:$O$75,'Public Expenditure'!J$1,FALSE),0)</f>
        <v>60543190.100000009</v>
      </c>
      <c r="K62" s="351">
        <f>J62/J$11*100</f>
        <v>1.8197532341448754</v>
      </c>
      <c r="L62" s="219">
        <f>+D62-J62</f>
        <v>4729690.0600000024</v>
      </c>
      <c r="M62" s="357">
        <f>+D62/J62*100-100</f>
        <v>7.8120925775267267</v>
      </c>
      <c r="O62" s="81"/>
      <c r="P62" s="81"/>
      <c r="Q62" s="81"/>
      <c r="R62" s="81"/>
      <c r="CD62" s="161"/>
      <c r="CE62" s="161"/>
      <c r="CF62" s="145"/>
      <c r="CG62" s="145"/>
      <c r="CH62" s="145"/>
      <c r="CI62" s="142"/>
    </row>
    <row r="63" spans="1:87" ht="13.5" customHeight="1" thickTop="1" thickBot="1">
      <c r="B63" s="80">
        <v>990</v>
      </c>
      <c r="C63" s="147" t="s">
        <v>152</v>
      </c>
      <c r="D63" s="154">
        <f>+IF(ISNUMBER(VLOOKUP($B63,'Cental Budget'!$B$16:$K$75,'Public Expenditure'!D$1,FALSE)),VLOOKUP($B63,'Cental Budget'!$B$16:$K$75,'Public Expenditure'!D$1,FALSE),0)+IF(ISNUMBER(VLOOKUP('Public Expenditure'!$B63,'Local Government'!$B$16:$O$75,'Public Expenditure'!D$1,FALSE)),VLOOKUP('Public Expenditure'!$B63,'Local Government'!$B$16:$O$75,'Public Expenditure'!D$1,FALSE),0)</f>
        <v>0</v>
      </c>
      <c r="E63" s="349">
        <f t="shared" si="0"/>
        <v>0</v>
      </c>
      <c r="F63" s="154">
        <f>+IF(ISNUMBER(VLOOKUP($B63,'Cental Budget'!$B$16:$K$75,'Public Expenditure'!F$1,FALSE)),VLOOKUP($B63,'Cental Budget'!$B$16:$K$75,'Public Expenditure'!F$1,FALSE),0)+IF(ISNUMBER(VLOOKUP('Public Expenditure'!$B63,'Local Government'!$B$16:$O$75,'Public Expenditure'!F$1,FALSE)),VLOOKUP('Public Expenditure'!$B63,'Local Government'!$B$16:$O$75,'Public Expenditure'!F$1,FALSE),0)</f>
        <v>0</v>
      </c>
      <c r="G63" s="349">
        <f t="shared" si="2"/>
        <v>0</v>
      </c>
      <c r="H63" s="209">
        <f t="shared" si="3"/>
        <v>0</v>
      </c>
      <c r="I63" s="355"/>
      <c r="J63" s="154">
        <f>+IF(ISNUMBER(VLOOKUP($B63,'Cental Budget'!$B$16:$K$75,'Public Expenditure'!J$1,FALSE)),VLOOKUP($B63,'Cental Budget'!$B$16:$K$75,'Public Expenditure'!J$1,FALSE),0)+IF(ISNUMBER(VLOOKUP('Public Expenditure'!$B63,'Local Government'!$B$16:$O$75,'Public Expenditure'!J$1,FALSE)),VLOOKUP('Public Expenditure'!$B63,'Local Government'!$B$16:$O$75,'Public Expenditure'!J$1,FALSE),0)</f>
        <v>14438105.227299999</v>
      </c>
      <c r="K63" s="349">
        <f t="shared" si="1"/>
        <v>0.43396769544033659</v>
      </c>
      <c r="L63" s="209">
        <f t="shared" si="5"/>
        <v>-14438105.227299999</v>
      </c>
      <c r="M63" s="355">
        <f t="shared" si="6"/>
        <v>-100</v>
      </c>
      <c r="O63" s="81"/>
      <c r="P63" s="81"/>
      <c r="Q63" s="81"/>
      <c r="R63" s="81"/>
      <c r="CD63" s="161"/>
      <c r="CE63" s="161"/>
      <c r="CF63" s="145"/>
      <c r="CG63" s="145"/>
      <c r="CH63" s="145"/>
      <c r="CI63" s="142"/>
    </row>
    <row r="64" spans="1:87" ht="13.5" customHeight="1" thickTop="1" thickBot="1">
      <c r="C64" s="178" t="s">
        <v>132</v>
      </c>
      <c r="D64" s="173">
        <f>+D16-D36</f>
        <v>-46141116.359999895</v>
      </c>
      <c r="E64" s="346">
        <f t="shared" si="0"/>
        <v>-1.3598110337487339</v>
      </c>
      <c r="F64" s="173">
        <f>+F16-F36</f>
        <v>-22653084.71378684</v>
      </c>
      <c r="G64" s="346">
        <f t="shared" si="2"/>
        <v>-0.66760228126938614</v>
      </c>
      <c r="H64" s="173">
        <f t="shared" si="3"/>
        <v>-23488031.646213055</v>
      </c>
      <c r="I64" s="346">
        <f t="shared" si="4"/>
        <v>103.68579795191454</v>
      </c>
      <c r="J64" s="173">
        <f>+J16-J36-J63</f>
        <v>-160489001.39730006</v>
      </c>
      <c r="K64" s="346">
        <f>J64/J$11*100</f>
        <v>-4.8238353290441855</v>
      </c>
      <c r="L64" s="173">
        <f t="shared" si="5"/>
        <v>114347885.03730017</v>
      </c>
      <c r="M64" s="346">
        <f t="shared" si="6"/>
        <v>-71.249670719942472</v>
      </c>
      <c r="O64" s="212"/>
      <c r="P64" s="212"/>
      <c r="Q64" s="81"/>
      <c r="R64" s="81"/>
      <c r="CD64" s="161"/>
      <c r="CE64" s="161"/>
      <c r="CF64" s="145"/>
      <c r="CG64" s="145"/>
      <c r="CH64" s="145"/>
      <c r="CI64" s="142"/>
    </row>
    <row r="65" spans="2:87" ht="13.5" customHeight="1" thickTop="1" thickBot="1">
      <c r="C65" s="178" t="s">
        <v>133</v>
      </c>
      <c r="D65" s="173">
        <f>+D64+D44</f>
        <v>32226247.620000109</v>
      </c>
      <c r="E65" s="346">
        <f t="shared" si="0"/>
        <v>0.94973010076505915</v>
      </c>
      <c r="F65" s="173">
        <f>+F64+F44</f>
        <v>56259569.476213157</v>
      </c>
      <c r="G65" s="346">
        <f t="shared" si="2"/>
        <v>1.658008937859784</v>
      </c>
      <c r="H65" s="173">
        <f t="shared" si="3"/>
        <v>-24033321.856213048</v>
      </c>
      <c r="I65" s="346">
        <f t="shared" si="4"/>
        <v>-42.718638055654623</v>
      </c>
      <c r="J65" s="173">
        <f>+J64+J44</f>
        <v>-89218933.797300056</v>
      </c>
      <c r="K65" s="346">
        <f t="shared" si="1"/>
        <v>-2.6816631739495058</v>
      </c>
      <c r="L65" s="173">
        <f t="shared" si="5"/>
        <v>121445181.41730016</v>
      </c>
      <c r="M65" s="346">
        <f t="shared" si="6"/>
        <v>-136.12041328942146</v>
      </c>
      <c r="O65" s="212"/>
      <c r="P65" s="81"/>
      <c r="Q65" s="81"/>
      <c r="R65" s="81"/>
      <c r="CD65" s="161"/>
      <c r="CE65" s="161"/>
      <c r="CF65" s="145"/>
      <c r="CG65" s="145"/>
      <c r="CH65" s="145"/>
      <c r="CI65" s="142"/>
    </row>
    <row r="66" spans="2:87" ht="13.5" customHeight="1" thickTop="1" thickBot="1">
      <c r="C66" s="178" t="s">
        <v>0</v>
      </c>
      <c r="D66" s="173">
        <f>+SUM(D67:D69)</f>
        <v>265179644.28</v>
      </c>
      <c r="E66" s="346">
        <f t="shared" si="0"/>
        <v>7.8150299486492338</v>
      </c>
      <c r="F66" s="173">
        <f>+SUM(F67:F69)</f>
        <v>220426905.48999995</v>
      </c>
      <c r="G66" s="346">
        <f t="shared" si="2"/>
        <v>6.4961353748310566</v>
      </c>
      <c r="H66" s="173">
        <f t="shared" si="3"/>
        <v>44752738.790000051</v>
      </c>
      <c r="I66" s="346">
        <f t="shared" si="4"/>
        <v>20.302756911873601</v>
      </c>
      <c r="J66" s="173">
        <f>+SUM(J67:J69)</f>
        <v>239030895.66999996</v>
      </c>
      <c r="K66" s="346">
        <f t="shared" si="1"/>
        <v>7.1845775674782075</v>
      </c>
      <c r="L66" s="173">
        <f t="shared" si="5"/>
        <v>26148748.610000044</v>
      </c>
      <c r="M66" s="346">
        <f t="shared" si="6"/>
        <v>10.939484846385866</v>
      </c>
      <c r="O66" s="81"/>
      <c r="P66" s="81"/>
      <c r="Q66" s="81"/>
      <c r="R66" s="81"/>
      <c r="CD66" s="161"/>
      <c r="CE66" s="161"/>
      <c r="CF66" s="145"/>
      <c r="CG66" s="145"/>
      <c r="CH66" s="145"/>
      <c r="CI66" s="142"/>
    </row>
    <row r="67" spans="2:87" ht="13.5" customHeight="1" thickTop="1">
      <c r="B67" s="80">
        <v>4611</v>
      </c>
      <c r="C67" s="97" t="s">
        <v>135</v>
      </c>
      <c r="D67" s="156">
        <f>+IF(ISNUMBER(VLOOKUP($B67,'Cental Budget'!$B$16:$K$75,'Public Expenditure'!D$1,FALSE)),VLOOKUP($B67,'Cental Budget'!$B$16:$K$75,'Public Expenditure'!D$1,FALSE),0)+IF(ISNUMBER(VLOOKUP('Public Expenditure'!$B67,'Local Government'!$B$16:$O$75,'Public Expenditure'!D$1,FALSE)),VLOOKUP('Public Expenditure'!$B67,'Local Government'!$B$16:$O$75,'Public Expenditure'!D$1,FALSE),0)</f>
        <v>111880923.46999998</v>
      </c>
      <c r="E67" s="348">
        <f t="shared" si="0"/>
        <v>3.2972092182059201</v>
      </c>
      <c r="F67" s="156">
        <f>+IF(ISNUMBER(VLOOKUP($B67,'Cental Budget'!$B$16:$K$75,'Public Expenditure'!F$1,FALSE)),VLOOKUP($B67,'Cental Budget'!$B$16:$K$75,'Public Expenditure'!F$1,FALSE),0)+IF(ISNUMBER(VLOOKUP('Public Expenditure'!$B67,'Local Government'!$B$16:$O$75,'Public Expenditure'!F$1,FALSE)),VLOOKUP('Public Expenditure'!$B67,'Local Government'!$B$16:$O$75,'Public Expenditure'!F$1,FALSE),0)</f>
        <v>34508345.269999996</v>
      </c>
      <c r="G67" s="348">
        <f t="shared" si="2"/>
        <v>1.01698511775143</v>
      </c>
      <c r="H67" s="210">
        <f t="shared" si="3"/>
        <v>77372578.199999988</v>
      </c>
      <c r="I67" s="354">
        <f t="shared" si="4"/>
        <v>224.21410703591238</v>
      </c>
      <c r="J67" s="156">
        <f>+IF(ISNUMBER(VLOOKUP($B67,'Cental Budget'!$B$16:$K$75,'Public Expenditure'!J$1,FALSE)),VLOOKUP($B67,'Cental Budget'!$B$16:$K$75,'Public Expenditure'!J$1,FALSE),0)+IF(ISNUMBER(VLOOKUP('Public Expenditure'!$B67,'Local Government'!$B$16:$O$75,'Public Expenditure'!J$1,FALSE)),VLOOKUP('Public Expenditure'!$B67,'Local Government'!$B$16:$O$75,'Public Expenditure'!J$1,FALSE),0)</f>
        <v>118017243.25999999</v>
      </c>
      <c r="K67" s="348">
        <f t="shared" si="1"/>
        <v>3.547257086263901</v>
      </c>
      <c r="L67" s="210">
        <f t="shared" si="5"/>
        <v>-6136319.7900000066</v>
      </c>
      <c r="M67" s="354">
        <f t="shared" si="6"/>
        <v>-5.1995112074269372</v>
      </c>
      <c r="O67" s="81"/>
      <c r="P67" s="81"/>
      <c r="Q67" s="81"/>
      <c r="R67" s="81"/>
      <c r="CD67" s="161"/>
      <c r="CE67" s="161"/>
      <c r="CF67" s="145"/>
      <c r="CG67" s="145"/>
      <c r="CH67" s="145"/>
      <c r="CI67" s="142"/>
    </row>
    <row r="68" spans="2:87" ht="13.5" customHeight="1">
      <c r="B68" s="80">
        <v>4612</v>
      </c>
      <c r="C68" s="97" t="s">
        <v>137</v>
      </c>
      <c r="D68" s="156">
        <f>+IF(ISNUMBER(VLOOKUP($B68,'Cental Budget'!$B$16:$K$75,'Public Expenditure'!D$1,FALSE)),VLOOKUP($B68,'Cental Budget'!$B$16:$K$75,'Public Expenditure'!D$1,FALSE),0)+IF(ISNUMBER(VLOOKUP('Public Expenditure'!$B68,'Local Government'!$B$16:$O$75,'Public Expenditure'!D$1,FALSE)),VLOOKUP('Public Expenditure'!$B68,'Local Government'!$B$16:$O$75,'Public Expenditure'!D$1,FALSE),0)</f>
        <v>112739058.28000002</v>
      </c>
      <c r="E68" s="348">
        <f t="shared" si="0"/>
        <v>3.3224990524175069</v>
      </c>
      <c r="F68" s="156">
        <f>+IF(ISNUMBER(VLOOKUP($B68,'Cental Budget'!$B$16:$K$75,'Public Expenditure'!F$1,FALSE)),VLOOKUP($B68,'Cental Budget'!$B$16:$K$75,'Public Expenditure'!F$1,FALSE),0)+IF(ISNUMBER(VLOOKUP('Public Expenditure'!$B68,'Local Government'!$B$16:$O$75,'Public Expenditure'!F$1,FALSE)),VLOOKUP('Public Expenditure'!$B68,'Local Government'!$B$16:$O$75,'Public Expenditure'!F$1,FALSE),0)</f>
        <v>112580400.24999999</v>
      </c>
      <c r="G68" s="348">
        <f t="shared" si="2"/>
        <v>3.3178232890895538</v>
      </c>
      <c r="H68" s="210">
        <f t="shared" si="3"/>
        <v>158658.03000003099</v>
      </c>
      <c r="I68" s="354">
        <f t="shared" si="4"/>
        <v>0.14092864268356209</v>
      </c>
      <c r="J68" s="156">
        <f>+IF(ISNUMBER(VLOOKUP($B68,'Cental Budget'!$B$16:$K$75,'Public Expenditure'!J$1,FALSE)),VLOOKUP($B68,'Cental Budget'!$B$16:$K$75,'Public Expenditure'!J$1,FALSE),0)+IF(ISNUMBER(VLOOKUP('Public Expenditure'!$B68,'Local Government'!$B$16:$O$75,'Public Expenditure'!J$1,FALSE)),VLOOKUP('Public Expenditure'!$B68,'Local Government'!$B$16:$O$75,'Public Expenditure'!J$1,FALSE),0)</f>
        <v>68320208.149999991</v>
      </c>
      <c r="K68" s="348">
        <f t="shared" si="1"/>
        <v>2.0535079095281032</v>
      </c>
      <c r="L68" s="210">
        <f t="shared" si="5"/>
        <v>44418850.130000025</v>
      </c>
      <c r="M68" s="354">
        <f t="shared" si="6"/>
        <v>65.015683255057581</v>
      </c>
      <c r="O68" s="81"/>
      <c r="P68" s="81"/>
      <c r="Q68" s="81"/>
      <c r="R68" s="81"/>
      <c r="CD68" s="161"/>
      <c r="CE68" s="161"/>
      <c r="CF68" s="145"/>
      <c r="CG68" s="145"/>
      <c r="CH68" s="145"/>
      <c r="CI68" s="142"/>
    </row>
    <row r="69" spans="2:87" ht="13.5" customHeight="1" thickBot="1">
      <c r="B69" s="80" t="s">
        <v>459</v>
      </c>
      <c r="C69" s="97" t="s">
        <v>116</v>
      </c>
      <c r="D69" s="156">
        <f>+IF(ISNUMBER(VLOOKUP($B69,'Cental Budget'!$B$16:$K$75,'Public Expenditure'!D$1,FALSE)),VLOOKUP($B69,'Cental Budget'!$B$16:$K$75,'Public Expenditure'!D$1,FALSE),0)+IF(ISNUMBER(VLOOKUP('Public Expenditure'!$B69,'Local Government'!$B$16:$O$75,'Public Expenditure'!D$1,FALSE)),VLOOKUP('Public Expenditure'!$B69,'Local Government'!$B$16:$O$75,'Public Expenditure'!D$1,FALSE),0)</f>
        <v>40559662.529999994</v>
      </c>
      <c r="E69" s="348">
        <f t="shared" si="0"/>
        <v>1.1953216780258067</v>
      </c>
      <c r="F69" s="156">
        <f>+IF(ISNUMBER(VLOOKUP($B69,'Cental Budget'!$B$16:$K$75,'Public Expenditure'!F$1,FALSE)),VLOOKUP($B69,'Cental Budget'!$B$16:$K$75,'Public Expenditure'!F$1,FALSE),0)+IF(ISNUMBER(VLOOKUP('Public Expenditure'!$B69,'Local Government'!$B$16:$O$75,'Public Expenditure'!F$1,FALSE)),VLOOKUP('Public Expenditure'!$B69,'Local Government'!$B$16:$O$75,'Public Expenditure'!F$1,FALSE),0)</f>
        <v>73338159.969999984</v>
      </c>
      <c r="G69" s="348">
        <f t="shared" si="2"/>
        <v>2.1613269679900724</v>
      </c>
      <c r="H69" s="210">
        <f t="shared" si="3"/>
        <v>-32778497.43999999</v>
      </c>
      <c r="I69" s="354">
        <f t="shared" si="4"/>
        <v>-44.695009328579417</v>
      </c>
      <c r="J69" s="156">
        <f>+IF(ISNUMBER(VLOOKUP($B69,'Cental Budget'!$B$16:$K$75,'Public Expenditure'!J$1,FALSE)),VLOOKUP($B69,'Cental Budget'!$B$16:$K$75,'Public Expenditure'!J$1,FALSE),0)+IF(ISNUMBER(VLOOKUP('Public Expenditure'!$B69,'Local Government'!$B$16:$O$75,'Public Expenditure'!J$1,FALSE)),VLOOKUP('Public Expenditure'!$B69,'Local Government'!$B$16:$O$75,'Public Expenditure'!J$1,FALSE),0)</f>
        <v>52693444.259999983</v>
      </c>
      <c r="K69" s="348">
        <f t="shared" si="1"/>
        <v>1.5838125716862033</v>
      </c>
      <c r="L69" s="210">
        <f t="shared" si="5"/>
        <v>-12133781.729999989</v>
      </c>
      <c r="M69" s="354">
        <f t="shared" si="6"/>
        <v>-23.027118269455855</v>
      </c>
      <c r="O69" s="81"/>
      <c r="P69" s="81"/>
      <c r="Q69" s="81"/>
      <c r="R69" s="81"/>
      <c r="CD69" s="161"/>
      <c r="CE69" s="161"/>
      <c r="CF69" s="145"/>
      <c r="CG69" s="145"/>
      <c r="CH69" s="145"/>
      <c r="CI69" s="142"/>
    </row>
    <row r="70" spans="2:87" ht="13.5" customHeight="1" thickTop="1" thickBot="1">
      <c r="C70" s="178" t="s">
        <v>141</v>
      </c>
      <c r="D70" s="173">
        <f>+D64-D66</f>
        <v>-311320760.63999987</v>
      </c>
      <c r="E70" s="346">
        <f t="shared" si="0"/>
        <v>-9.1748409823979671</v>
      </c>
      <c r="F70" s="173">
        <f>+F64-F66</f>
        <v>-243079990.20378679</v>
      </c>
      <c r="G70" s="346">
        <f t="shared" si="2"/>
        <v>-7.1637376561004427</v>
      </c>
      <c r="H70" s="173">
        <f t="shared" si="3"/>
        <v>-68240770.436213076</v>
      </c>
      <c r="I70" s="346">
        <f t="shared" si="4"/>
        <v>28.073380445261364</v>
      </c>
      <c r="J70" s="173">
        <f>+J64-J66</f>
        <v>-399519897.06730002</v>
      </c>
      <c r="K70" s="346">
        <f t="shared" si="1"/>
        <v>-12.008412896522392</v>
      </c>
      <c r="L70" s="173">
        <f t="shared" si="5"/>
        <v>88199136.427300155</v>
      </c>
      <c r="M70" s="346">
        <f t="shared" si="6"/>
        <v>-22.076281325343558</v>
      </c>
      <c r="O70" s="81"/>
      <c r="P70" s="81"/>
      <c r="Q70" s="81"/>
      <c r="R70" s="81"/>
      <c r="CD70" s="161"/>
      <c r="CE70" s="161"/>
      <c r="CF70" s="145"/>
      <c r="CG70" s="145"/>
      <c r="CH70" s="145"/>
      <c r="CI70" s="142"/>
    </row>
    <row r="71" spans="2:87" ht="13.5" customHeight="1" thickTop="1" thickBot="1">
      <c r="C71" s="178" t="s">
        <v>121</v>
      </c>
      <c r="D71" s="173">
        <f>+SUM(D72:D75)</f>
        <v>311320760.63999987</v>
      </c>
      <c r="E71" s="346">
        <f t="shared" si="0"/>
        <v>9.1748409823979671</v>
      </c>
      <c r="F71" s="173">
        <f>+SUM(F72:F75)</f>
        <v>243079990.20378679</v>
      </c>
      <c r="G71" s="346">
        <f t="shared" si="2"/>
        <v>7.1637376561004427</v>
      </c>
      <c r="H71" s="173">
        <f t="shared" si="3"/>
        <v>68240770.436213076</v>
      </c>
      <c r="I71" s="346">
        <f t="shared" si="4"/>
        <v>28.073380445261364</v>
      </c>
      <c r="J71" s="173">
        <f>+SUM(J72:J75)</f>
        <v>399519897.06730002</v>
      </c>
      <c r="K71" s="346">
        <f t="shared" si="1"/>
        <v>12.008412896522392</v>
      </c>
      <c r="L71" s="173">
        <f t="shared" si="5"/>
        <v>-88199136.427300155</v>
      </c>
      <c r="M71" s="346">
        <f t="shared" si="6"/>
        <v>-22.076281325343558</v>
      </c>
      <c r="O71" s="81"/>
      <c r="P71" s="81"/>
      <c r="Q71" s="81"/>
      <c r="R71" s="81"/>
      <c r="CD71" s="161"/>
      <c r="CE71" s="161"/>
      <c r="CF71" s="145"/>
      <c r="CG71" s="145"/>
      <c r="CH71" s="145"/>
      <c r="CI71" s="142"/>
    </row>
    <row r="72" spans="2:87" ht="13.5" customHeight="1" thickTop="1">
      <c r="B72" s="80">
        <v>7511</v>
      </c>
      <c r="C72" s="97" t="s">
        <v>144</v>
      </c>
      <c r="D72" s="156">
        <f>+IF(ISNUMBER(VLOOKUP($B72,'Cental Budget'!$B$16:$K$75,'Public Expenditure'!D$1,FALSE)),VLOOKUP($B72,'Cental Budget'!$B$16:$K$75,'Public Expenditure'!D$1,FALSE),0)+IF(ISNUMBER(VLOOKUP('Public Expenditure'!$B72,'Local Government'!$B$16:$O$75,'Public Expenditure'!D$1,FALSE)),VLOOKUP('Public Expenditure'!$B72,'Local Government'!$B$16:$O$75,'Public Expenditure'!D$1,FALSE),0)</f>
        <v>109574311.59999999</v>
      </c>
      <c r="E72" s="348">
        <f t="shared" si="0"/>
        <v>3.2292317499771523</v>
      </c>
      <c r="F72" s="156">
        <f>+IF(ISNUMBER(VLOOKUP($B72,'Cental Budget'!$B$16:$K$75,'Public Expenditure'!F$1,FALSE)),VLOOKUP($B72,'Cental Budget'!$B$16:$K$75,'Public Expenditure'!F$1,FALSE),0)+IF(ISNUMBER(VLOOKUP('Public Expenditure'!$B72,'Local Government'!$B$16:$O$75,'Public Expenditure'!F$1,FALSE)),VLOOKUP('Public Expenditure'!$B72,'Local Government'!$B$16:$O$75,'Public Expenditure'!F$1,FALSE),0)</f>
        <v>6000000</v>
      </c>
      <c r="G72" s="348">
        <f t="shared" si="2"/>
        <v>0.17682420466023638</v>
      </c>
      <c r="H72" s="210">
        <f t="shared" si="3"/>
        <v>103574311.59999999</v>
      </c>
      <c r="I72" s="354">
        <f t="shared" si="4"/>
        <v>1726.2385266666665</v>
      </c>
      <c r="J72" s="156">
        <f>+IF(ISNUMBER(VLOOKUP($B72,'Cental Budget'!$B$16:$K$75,'Public Expenditure'!J$1,FALSE)),VLOOKUP($B72,'Cental Budget'!$B$16:$K$75,'Public Expenditure'!J$1,FALSE),0)+IF(ISNUMBER(VLOOKUP('Public Expenditure'!$B72,'Local Government'!$B$16:$O$75,'Public Expenditure'!J$1,FALSE)),VLOOKUP('Public Expenditure'!$B72,'Local Government'!$B$16:$O$75,'Public Expenditure'!J$1,FALSE),0)</f>
        <v>151293864.06</v>
      </c>
      <c r="K72" s="348">
        <f t="shared" si="1"/>
        <v>4.5474560883678992</v>
      </c>
      <c r="L72" s="210">
        <f t="shared" si="5"/>
        <v>-41719552.460000008</v>
      </c>
      <c r="M72" s="354">
        <f t="shared" si="6"/>
        <v>-27.575178094106249</v>
      </c>
      <c r="O72" s="81"/>
      <c r="P72" s="81"/>
      <c r="Q72" s="81"/>
      <c r="R72" s="81"/>
      <c r="CD72" s="161"/>
      <c r="CE72" s="161"/>
      <c r="CF72" s="145"/>
      <c r="CG72" s="145"/>
      <c r="CH72" s="145"/>
      <c r="CI72" s="142"/>
    </row>
    <row r="73" spans="2:87" ht="13.5" customHeight="1">
      <c r="B73" s="80">
        <v>7512</v>
      </c>
      <c r="C73" s="97" t="s">
        <v>122</v>
      </c>
      <c r="D73" s="156">
        <f>+IF(ISNUMBER(VLOOKUP($B73,'Cental Budget'!$B$16:$K$75,'Public Expenditure'!D$1,FALSE)),VLOOKUP($B73,'Cental Budget'!$B$16:$K$75,'Public Expenditure'!D$1,FALSE),0)+IF(ISNUMBER(VLOOKUP('Public Expenditure'!$B73,'Local Government'!$B$16:$O$75,'Public Expenditure'!D$1,FALSE)),VLOOKUP('Public Expenditure'!$B73,'Local Government'!$B$16:$O$75,'Public Expenditure'!D$1,FALSE),0)</f>
        <v>210326795.70999998</v>
      </c>
      <c r="E73" s="348">
        <f t="shared" si="0"/>
        <v>6.1984780616927946</v>
      </c>
      <c r="F73" s="156">
        <f>+IF(ISNUMBER(VLOOKUP($B73,'Cental Budget'!$B$16:$K$75,'Public Expenditure'!F$1,FALSE)),VLOOKUP($B73,'Cental Budget'!$B$16:$K$75,'Public Expenditure'!F$1,FALSE),0)+IF(ISNUMBER(VLOOKUP('Public Expenditure'!$B73,'Local Government'!$B$16:$O$75,'Public Expenditure'!F$1,FALSE)),VLOOKUP('Public Expenditure'!$B73,'Local Government'!$B$16:$O$75,'Public Expenditure'!F$1,FALSE),0)</f>
        <v>227975575.86282948</v>
      </c>
      <c r="G73" s="348">
        <f t="shared" si="2"/>
        <v>6.7185999806507013</v>
      </c>
      <c r="H73" s="210">
        <f t="shared" si="3"/>
        <v>-17648780.152829498</v>
      </c>
      <c r="I73" s="354">
        <f t="shared" si="4"/>
        <v>-7.7415223477485995</v>
      </c>
      <c r="J73" s="156">
        <f>+IF(ISNUMBER(VLOOKUP($B73,'Cental Budget'!$B$16:$K$75,'Public Expenditure'!J$1,FALSE)),VLOOKUP($B73,'Cental Budget'!$B$16:$K$75,'Public Expenditure'!J$1,FALSE),0)+IF(ISNUMBER(VLOOKUP('Public Expenditure'!$B73,'Local Government'!$B$16:$O$75,'Public Expenditure'!J$1,FALSE)),VLOOKUP('Public Expenditure'!$B73,'Local Government'!$B$16:$O$75,'Public Expenditure'!J$1,FALSE),0)</f>
        <v>191431078.85000002</v>
      </c>
      <c r="K73" s="348">
        <f t="shared" si="1"/>
        <v>5.7538647084460477</v>
      </c>
      <c r="L73" s="210">
        <f t="shared" si="5"/>
        <v>18895716.859999955</v>
      </c>
      <c r="M73" s="354">
        <f t="shared" si="6"/>
        <v>9.8707675752097259</v>
      </c>
      <c r="O73" s="81"/>
      <c r="P73" s="81"/>
      <c r="Q73" s="81"/>
      <c r="R73" s="81"/>
      <c r="CD73" s="161"/>
      <c r="CE73" s="161"/>
      <c r="CF73" s="145"/>
      <c r="CG73" s="145"/>
      <c r="CH73" s="145"/>
      <c r="CI73" s="142"/>
    </row>
    <row r="74" spans="2:87" ht="13.5" customHeight="1" thickBot="1">
      <c r="B74" s="80">
        <v>72</v>
      </c>
      <c r="C74" s="103" t="s">
        <v>329</v>
      </c>
      <c r="D74" s="156">
        <f>+IF(ISNUMBER(VLOOKUP($B74,'Cental Budget'!$B$16:$K$75,'Public Expenditure'!D$1,FALSE)),VLOOKUP($B74,'Cental Budget'!$B$16:$K$75,'Public Expenditure'!D$1,FALSE),0)+IF(ISNUMBER(VLOOKUP('Public Expenditure'!$B74,'Local Government'!$B$16:$O$75,'Public Expenditure'!D$1,FALSE)),VLOOKUP('Public Expenditure'!$B74,'Local Government'!$B$16:$O$75,'Public Expenditure'!D$1,FALSE),0)</f>
        <v>11772414.07</v>
      </c>
      <c r="E74" s="352">
        <f t="shared" si="0"/>
        <v>0.34694129247645444</v>
      </c>
      <c r="F74" s="156">
        <f>+IF(ISNUMBER(VLOOKUP($B74,'Cental Budget'!$B$16:$K$75,'Public Expenditure'!F$1,FALSE)),VLOOKUP($B74,'Cental Budget'!$B$16:$K$75,'Public Expenditure'!F$1,FALSE),0)+IF(ISNUMBER(VLOOKUP('Public Expenditure'!$B74,'Local Government'!$B$16:$O$75,'Public Expenditure'!F$1,FALSE)),VLOOKUP('Public Expenditure'!$B74,'Local Government'!$B$16:$O$75,'Public Expenditure'!F$1,FALSE),0)</f>
        <v>7000000</v>
      </c>
      <c r="G74" s="352">
        <f t="shared" si="2"/>
        <v>0.20629490543694246</v>
      </c>
      <c r="H74" s="210">
        <f t="shared" si="3"/>
        <v>4772414.07</v>
      </c>
      <c r="I74" s="354">
        <f t="shared" si="4"/>
        <v>68.177343857142858</v>
      </c>
      <c r="J74" s="156">
        <f>+IF(ISNUMBER(VLOOKUP($B74,'Cental Budget'!$B$16:$K$75,'Public Expenditure'!J$1,FALSE)),VLOOKUP($B74,'Cental Budget'!$B$16:$K$75,'Public Expenditure'!J$1,FALSE),0)+IF(ISNUMBER(VLOOKUP('Public Expenditure'!$B74,'Local Government'!$B$16:$O$75,'Public Expenditure'!J$1,FALSE)),VLOOKUP('Public Expenditure'!$B74,'Local Government'!$B$16:$O$75,'Public Expenditure'!J$1,FALSE),0)</f>
        <v>26782889.810000002</v>
      </c>
      <c r="K74" s="352">
        <f t="shared" si="1"/>
        <v>0.80501622512774273</v>
      </c>
      <c r="L74" s="210">
        <f t="shared" si="5"/>
        <v>-15010475.740000002</v>
      </c>
      <c r="M74" s="354">
        <f t="shared" si="6"/>
        <v>-56.045019213705231</v>
      </c>
      <c r="O74" s="81"/>
      <c r="P74" s="81"/>
      <c r="Q74" s="81"/>
      <c r="R74" s="81"/>
      <c r="CD74" s="161"/>
      <c r="CE74" s="161"/>
      <c r="CF74" s="145"/>
      <c r="CG74" s="145"/>
      <c r="CH74" s="145"/>
      <c r="CI74" s="142"/>
    </row>
    <row r="75" spans="2:87" ht="13.5" customHeight="1" thickTop="1" thickBot="1">
      <c r="C75" s="148" t="s">
        <v>125</v>
      </c>
      <c r="D75" s="149">
        <f>-D70-SUM(D72:D74)</f>
        <v>-20352760.740000069</v>
      </c>
      <c r="E75" s="350">
        <f t="shared" si="0"/>
        <v>-0.59981012174843285</v>
      </c>
      <c r="F75" s="149">
        <f>-F70-SUM(F72:F74)</f>
        <v>2104414.3409573138</v>
      </c>
      <c r="G75" s="350">
        <f t="shared" si="2"/>
        <v>6.2018565352562088E-2</v>
      </c>
      <c r="H75" s="208">
        <f t="shared" si="3"/>
        <v>-22457175.080957383</v>
      </c>
      <c r="I75" s="356">
        <f t="shared" si="4"/>
        <v>-1067.1460768862394</v>
      </c>
      <c r="J75" s="149">
        <f>-J70-SUM(J72:J74)</f>
        <v>30012064.347299993</v>
      </c>
      <c r="K75" s="350">
        <f t="shared" si="1"/>
        <v>0.90207587458070315</v>
      </c>
      <c r="L75" s="208">
        <f t="shared" si="5"/>
        <v>-50364825.087300062</v>
      </c>
      <c r="M75" s="356">
        <f t="shared" si="6"/>
        <v>-167.81526423666716</v>
      </c>
      <c r="O75" s="81"/>
      <c r="P75" s="81"/>
      <c r="Q75" s="81"/>
      <c r="R75" s="81"/>
      <c r="CD75" s="161"/>
      <c r="CE75" s="161"/>
      <c r="CF75" s="145"/>
      <c r="CG75" s="145"/>
      <c r="CH75" s="145"/>
      <c r="CI75" s="142"/>
    </row>
    <row r="76" spans="2:87" ht="13.5" thickTop="1">
      <c r="C76" s="106" t="str">
        <f>IF(MasterSheet!$A$1=1,MasterSheet!C151,MasterSheet!B151)</f>
        <v>Izvor: Ministarstvo finansija Crne Gore</v>
      </c>
      <c r="D76" s="107"/>
      <c r="E76" s="107"/>
      <c r="F76" s="107"/>
      <c r="G76" s="107"/>
      <c r="H76" s="107"/>
      <c r="I76" s="107"/>
      <c r="J76" s="107"/>
      <c r="K76" s="107"/>
      <c r="L76" s="107"/>
      <c r="M76" s="107" t="s">
        <v>428</v>
      </c>
      <c r="O76" s="81"/>
      <c r="P76" s="81"/>
      <c r="Q76" s="81"/>
      <c r="R76" s="81"/>
    </row>
    <row r="81" spans="4:10">
      <c r="D81" s="102"/>
      <c r="F81" s="102"/>
      <c r="J81" s="102"/>
    </row>
    <row r="82" spans="4:10">
      <c r="D82" s="102"/>
      <c r="F82" s="102"/>
      <c r="J82" s="102"/>
    </row>
  </sheetData>
  <sheetProtection formatCells="0" formatColumns="0" formatRows="0" sort="0" autoFilter="0"/>
  <mergeCells count="12">
    <mergeCell ref="H11:I11"/>
    <mergeCell ref="J11:K11"/>
    <mergeCell ref="L11:M11"/>
    <mergeCell ref="D11:G11"/>
    <mergeCell ref="C14:C15"/>
    <mergeCell ref="D14:E14"/>
    <mergeCell ref="F14:G14"/>
    <mergeCell ref="H14:I14"/>
    <mergeCell ref="J14:K14"/>
    <mergeCell ref="L14:M14"/>
    <mergeCell ref="D13:E13"/>
    <mergeCell ref="J13:K13"/>
  </mergeCells>
  <printOptions horizontalCentered="1" verticalCentered="1"/>
  <pageMargins left="0" right="0" top="0.19685039370078741" bottom="0.19685039370078741" header="0" footer="0"/>
  <pageSetup paperSize="9" scale="1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6081" r:id="rId4" name="List Box 1">
              <controlPr defaultSize="0" autoLine="0" autoPict="0">
                <anchor moveWithCells="1">
                  <from>
                    <xdr:col>0</xdr:col>
                    <xdr:colOff>9525</xdr:colOff>
                    <xdr:row>0</xdr:row>
                    <xdr:rowOff>0</xdr:rowOff>
                  </from>
                  <to>
                    <xdr:col>2</xdr:col>
                    <xdr:colOff>1247775</xdr:colOff>
                    <xdr:row>9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G59"/>
  <sheetViews>
    <sheetView workbookViewId="0">
      <selection activeCell="F5" sqref="F5"/>
    </sheetView>
  </sheetViews>
  <sheetFormatPr defaultRowHeight="15"/>
  <cols>
    <col min="1" max="2" width="9.140625" style="29"/>
    <col min="3" max="3" width="51.7109375" style="29" bestFit="1" customWidth="1"/>
    <col min="4" max="4" width="15.42578125" style="29" bestFit="1" customWidth="1"/>
    <col min="5" max="5" width="9.140625" style="29"/>
    <col min="6" max="6" width="15.5703125" style="29" bestFit="1" customWidth="1"/>
    <col min="7" max="7" width="15.42578125" style="29" bestFit="1" customWidth="1"/>
    <col min="8" max="16384" width="9.140625" style="29"/>
  </cols>
  <sheetData>
    <row r="2" spans="2:7" ht="15.75" thickBot="1">
      <c r="D2" s="179" t="s">
        <v>437</v>
      </c>
    </row>
    <row r="3" spans="2:7" ht="55.5" thickTop="1" thickBot="1">
      <c r="B3" s="30" t="s">
        <v>394</v>
      </c>
      <c r="C3" s="31" t="s">
        <v>395</v>
      </c>
      <c r="D3" s="32" t="s">
        <v>396</v>
      </c>
      <c r="G3" s="29" t="s">
        <v>397</v>
      </c>
    </row>
    <row r="4" spans="2:7" ht="16.5" thickTop="1" thickBot="1">
      <c r="B4" s="33">
        <v>7</v>
      </c>
      <c r="C4" s="34" t="s">
        <v>398</v>
      </c>
      <c r="D4" s="35" t="e">
        <f>+D5+D36+D55+D52+D44</f>
        <v>#REF!</v>
      </c>
      <c r="F4" s="70" t="e">
        <f>+#REF!+#REF!+#REF!+#REF!+#REF!</f>
        <v>#REF!</v>
      </c>
      <c r="G4" s="36" t="e">
        <f>+D4-F4</f>
        <v>#REF!</v>
      </c>
    </row>
    <row r="5" spans="2:7" ht="15.75" thickTop="1">
      <c r="B5" s="37">
        <v>71</v>
      </c>
      <c r="C5" s="38" t="s">
        <v>399</v>
      </c>
      <c r="D5" s="39" t="e">
        <f>+D6+D14+D19+D24+D31</f>
        <v>#REF!</v>
      </c>
      <c r="F5" s="40"/>
    </row>
    <row r="6" spans="2:7">
      <c r="B6" s="41">
        <v>711</v>
      </c>
      <c r="C6" s="42" t="s">
        <v>2</v>
      </c>
      <c r="D6" s="43" t="e">
        <f>SUM(D7:D13)</f>
        <v>#REF!</v>
      </c>
    </row>
    <row r="7" spans="2:7">
      <c r="B7" s="44">
        <v>7111</v>
      </c>
      <c r="C7" s="45" t="s">
        <v>3</v>
      </c>
      <c r="D7" s="46" t="e">
        <f>+#REF!</f>
        <v>#REF!</v>
      </c>
      <c r="E7" s="40"/>
    </row>
    <row r="8" spans="2:7">
      <c r="B8" s="44">
        <v>7112</v>
      </c>
      <c r="C8" s="45" t="s">
        <v>5</v>
      </c>
      <c r="D8" s="46" t="e">
        <f>+#REF!</f>
        <v>#REF!</v>
      </c>
    </row>
    <row r="9" spans="2:7">
      <c r="B9" s="44">
        <v>7113</v>
      </c>
      <c r="C9" s="45" t="s">
        <v>305</v>
      </c>
      <c r="D9" s="46" t="e">
        <f>+#REF!</f>
        <v>#REF!</v>
      </c>
    </row>
    <row r="10" spans="2:7">
      <c r="B10" s="44">
        <v>7114</v>
      </c>
      <c r="C10" s="45" t="s">
        <v>9</v>
      </c>
      <c r="D10" s="46" t="e">
        <f>+#REF!</f>
        <v>#REF!</v>
      </c>
    </row>
    <row r="11" spans="2:7">
      <c r="B11" s="44">
        <v>7115</v>
      </c>
      <c r="C11" s="45" t="s">
        <v>306</v>
      </c>
      <c r="D11" s="46" t="e">
        <f>+#REF!</f>
        <v>#REF!</v>
      </c>
    </row>
    <row r="12" spans="2:7">
      <c r="B12" s="44">
        <v>7116</v>
      </c>
      <c r="C12" s="45" t="s">
        <v>14</v>
      </c>
      <c r="D12" s="46" t="e">
        <f>+#REF!</f>
        <v>#REF!</v>
      </c>
    </row>
    <row r="13" spans="2:7">
      <c r="B13" s="44">
        <v>7118</v>
      </c>
      <c r="C13" s="45" t="s">
        <v>16</v>
      </c>
      <c r="D13" s="46" t="e">
        <f>+#REF!</f>
        <v>#REF!</v>
      </c>
    </row>
    <row r="14" spans="2:7">
      <c r="B14" s="41">
        <v>712</v>
      </c>
      <c r="C14" s="42" t="s">
        <v>19</v>
      </c>
      <c r="D14" s="43" t="e">
        <f>SUM(D15:D18)</f>
        <v>#REF!</v>
      </c>
    </row>
    <row r="15" spans="2:7">
      <c r="B15" s="44">
        <v>7121</v>
      </c>
      <c r="C15" s="45" t="s">
        <v>21</v>
      </c>
      <c r="D15" s="46" t="e">
        <f>+#REF!</f>
        <v>#REF!</v>
      </c>
      <c r="F15" s="40"/>
    </row>
    <row r="16" spans="2:7">
      <c r="B16" s="44">
        <v>7122</v>
      </c>
      <c r="C16" s="45" t="s">
        <v>23</v>
      </c>
      <c r="D16" s="46" t="e">
        <f>+#REF!</f>
        <v>#REF!</v>
      </c>
    </row>
    <row r="17" spans="2:4">
      <c r="B17" s="44">
        <v>7123</v>
      </c>
      <c r="C17" s="45" t="s">
        <v>25</v>
      </c>
      <c r="D17" s="46" t="e">
        <f>+#REF!</f>
        <v>#REF!</v>
      </c>
    </row>
    <row r="18" spans="2:4">
      <c r="B18" s="44">
        <v>7124</v>
      </c>
      <c r="C18" s="45" t="s">
        <v>27</v>
      </c>
      <c r="D18" s="46" t="e">
        <f>+#REF!</f>
        <v>#REF!</v>
      </c>
    </row>
    <row r="19" spans="2:4">
      <c r="B19" s="41">
        <v>713</v>
      </c>
      <c r="C19" s="42" t="s">
        <v>29</v>
      </c>
      <c r="D19" s="43" t="e">
        <f>SUM(D20:D23)</f>
        <v>#REF!</v>
      </c>
    </row>
    <row r="20" spans="2:4">
      <c r="B20" s="44">
        <v>7131</v>
      </c>
      <c r="C20" s="47" t="s">
        <v>31</v>
      </c>
      <c r="D20" s="46" t="e">
        <f>+#REF!</f>
        <v>#REF!</v>
      </c>
    </row>
    <row r="21" spans="2:4">
      <c r="B21" s="44">
        <v>7132</v>
      </c>
      <c r="C21" s="47" t="s">
        <v>32</v>
      </c>
      <c r="D21" s="46" t="e">
        <f>+#REF!</f>
        <v>#REF!</v>
      </c>
    </row>
    <row r="22" spans="2:4">
      <c r="B22" s="44">
        <v>7133</v>
      </c>
      <c r="C22" s="47" t="s">
        <v>34</v>
      </c>
      <c r="D22" s="46" t="e">
        <f>+#REF!</f>
        <v>#REF!</v>
      </c>
    </row>
    <row r="23" spans="2:4">
      <c r="B23" s="44">
        <v>7136</v>
      </c>
      <c r="C23" s="47" t="s">
        <v>37</v>
      </c>
      <c r="D23" s="46" t="e">
        <f>+#REF!</f>
        <v>#REF!</v>
      </c>
    </row>
    <row r="24" spans="2:4">
      <c r="B24" s="41">
        <v>714</v>
      </c>
      <c r="C24" s="42" t="s">
        <v>39</v>
      </c>
      <c r="D24" s="43" t="e">
        <f>SUM(D25:D30)</f>
        <v>#REF!</v>
      </c>
    </row>
    <row r="25" spans="2:4">
      <c r="B25" s="44">
        <v>7141</v>
      </c>
      <c r="C25" s="45" t="s">
        <v>40</v>
      </c>
      <c r="D25" s="46" t="e">
        <f>+#REF!</f>
        <v>#REF!</v>
      </c>
    </row>
    <row r="26" spans="2:4">
      <c r="B26" s="44">
        <v>7142</v>
      </c>
      <c r="C26" s="45" t="s">
        <v>400</v>
      </c>
      <c r="D26" s="46" t="e">
        <f>+#REF!</f>
        <v>#REF!</v>
      </c>
    </row>
    <row r="27" spans="2:4">
      <c r="B27" s="44">
        <v>7143</v>
      </c>
      <c r="C27" s="45" t="s">
        <v>45</v>
      </c>
      <c r="D27" s="46" t="e">
        <f>+#REF!</f>
        <v>#REF!</v>
      </c>
    </row>
    <row r="28" spans="2:4">
      <c r="B28" s="44">
        <v>7144</v>
      </c>
      <c r="C28" s="45" t="s">
        <v>47</v>
      </c>
      <c r="D28" s="46" t="e">
        <f>+#REF!</f>
        <v>#REF!</v>
      </c>
    </row>
    <row r="29" spans="2:4">
      <c r="B29" s="44">
        <v>7148</v>
      </c>
      <c r="C29" s="45" t="s">
        <v>313</v>
      </c>
      <c r="D29" s="46" t="e">
        <f>+#REF!</f>
        <v>#REF!</v>
      </c>
    </row>
    <row r="30" spans="2:4">
      <c r="B30" s="44">
        <v>7149</v>
      </c>
      <c r="C30" s="45" t="s">
        <v>51</v>
      </c>
      <c r="D30" s="46" t="e">
        <f>+#REF!</f>
        <v>#REF!</v>
      </c>
    </row>
    <row r="31" spans="2:4">
      <c r="B31" s="41">
        <v>715</v>
      </c>
      <c r="C31" s="42" t="s">
        <v>53</v>
      </c>
      <c r="D31" s="43" t="e">
        <f>SUM(D32:D35)</f>
        <v>#REF!</v>
      </c>
    </row>
    <row r="32" spans="2:4">
      <c r="B32" s="44">
        <v>7151</v>
      </c>
      <c r="C32" s="48" t="s">
        <v>55</v>
      </c>
      <c r="D32" s="46" t="e">
        <f>+#REF!</f>
        <v>#REF!</v>
      </c>
    </row>
    <row r="33" spans="2:4">
      <c r="B33" s="44">
        <v>7152</v>
      </c>
      <c r="C33" s="48" t="s">
        <v>57</v>
      </c>
      <c r="D33" s="46" t="e">
        <f>+#REF!</f>
        <v>#REF!</v>
      </c>
    </row>
    <row r="34" spans="2:4" ht="16.5" customHeight="1">
      <c r="B34" s="44">
        <v>7153</v>
      </c>
      <c r="C34" s="48" t="s">
        <v>59</v>
      </c>
      <c r="D34" s="46" t="e">
        <f>+#REF!</f>
        <v>#REF!</v>
      </c>
    </row>
    <row r="35" spans="2:4">
      <c r="B35" s="44">
        <v>7155</v>
      </c>
      <c r="C35" s="48" t="s">
        <v>53</v>
      </c>
      <c r="D35" s="46" t="e">
        <f>+#REF!</f>
        <v>#REF!</v>
      </c>
    </row>
    <row r="36" spans="2:4">
      <c r="B36" s="49">
        <v>72</v>
      </c>
      <c r="C36" s="50" t="s">
        <v>401</v>
      </c>
      <c r="D36" s="43" t="e">
        <f>+D37+D38+D41</f>
        <v>#REF!</v>
      </c>
    </row>
    <row r="37" spans="2:4">
      <c r="B37" s="51">
        <v>7200</v>
      </c>
      <c r="C37" s="48" t="s">
        <v>402</v>
      </c>
      <c r="D37" s="46" t="e">
        <f>+#REF!</f>
        <v>#REF!</v>
      </c>
    </row>
    <row r="38" spans="2:4" hidden="1">
      <c r="B38" s="52">
        <v>721</v>
      </c>
      <c r="C38" s="48" t="s">
        <v>403</v>
      </c>
      <c r="D38" s="46"/>
    </row>
    <row r="39" spans="2:4" hidden="1">
      <c r="B39" s="51">
        <v>7211</v>
      </c>
      <c r="C39" s="48" t="s">
        <v>404</v>
      </c>
      <c r="D39" s="46"/>
    </row>
    <row r="40" spans="2:4" hidden="1">
      <c r="B40" s="51">
        <v>7213</v>
      </c>
      <c r="C40" s="48" t="s">
        <v>405</v>
      </c>
      <c r="D40" s="46"/>
    </row>
    <row r="41" spans="2:4" hidden="1">
      <c r="B41" s="52">
        <v>722</v>
      </c>
      <c r="C41" s="48" t="s">
        <v>406</v>
      </c>
      <c r="D41" s="46">
        <v>0</v>
      </c>
    </row>
    <row r="42" spans="2:4" hidden="1">
      <c r="B42" s="44">
        <v>7221</v>
      </c>
      <c r="C42" s="48" t="s">
        <v>407</v>
      </c>
      <c r="D42" s="46"/>
    </row>
    <row r="43" spans="2:4" hidden="1">
      <c r="B43" s="44">
        <v>7222</v>
      </c>
      <c r="C43" s="48" t="s">
        <v>408</v>
      </c>
      <c r="D43" s="46"/>
    </row>
    <row r="44" spans="2:4">
      <c r="B44" s="49">
        <v>73</v>
      </c>
      <c r="C44" s="50" t="s">
        <v>409</v>
      </c>
      <c r="D44" s="43" t="e">
        <f>+D45</f>
        <v>#REF!</v>
      </c>
    </row>
    <row r="45" spans="2:4">
      <c r="B45" s="52">
        <v>731</v>
      </c>
      <c r="C45" s="45" t="s">
        <v>409</v>
      </c>
      <c r="D45" s="46" t="e">
        <f>+#REF!</f>
        <v>#REF!</v>
      </c>
    </row>
    <row r="46" spans="2:4" ht="27" hidden="1">
      <c r="B46" s="51">
        <v>7311</v>
      </c>
      <c r="C46" s="48" t="s">
        <v>410</v>
      </c>
      <c r="D46" s="46"/>
    </row>
    <row r="47" spans="2:4" hidden="1">
      <c r="B47" s="52">
        <v>7312</v>
      </c>
      <c r="C47" s="48" t="s">
        <v>411</v>
      </c>
      <c r="D47" s="46"/>
    </row>
    <row r="48" spans="2:4" hidden="1">
      <c r="B48" s="52">
        <v>7313</v>
      </c>
      <c r="C48" s="48" t="s">
        <v>412</v>
      </c>
      <c r="D48" s="46"/>
    </row>
    <row r="49" spans="2:4" hidden="1">
      <c r="B49" s="52">
        <v>7314</v>
      </c>
      <c r="C49" s="48" t="s">
        <v>413</v>
      </c>
      <c r="D49" s="46"/>
    </row>
    <row r="50" spans="2:4" hidden="1">
      <c r="B50" s="52">
        <v>732</v>
      </c>
      <c r="C50" s="45" t="s">
        <v>414</v>
      </c>
      <c r="D50" s="46"/>
    </row>
    <row r="51" spans="2:4" hidden="1">
      <c r="B51" s="44">
        <v>7321</v>
      </c>
      <c r="C51" s="48" t="s">
        <v>415</v>
      </c>
      <c r="D51" s="46"/>
    </row>
    <row r="52" spans="2:4">
      <c r="B52" s="49">
        <v>74</v>
      </c>
      <c r="C52" s="50" t="s">
        <v>416</v>
      </c>
      <c r="D52" s="43" t="e">
        <f>+D53</f>
        <v>#REF!</v>
      </c>
    </row>
    <row r="53" spans="2:4">
      <c r="B53" s="52">
        <v>741</v>
      </c>
      <c r="C53" s="48" t="s">
        <v>416</v>
      </c>
      <c r="D53" s="46" t="e">
        <f>+#REF!</f>
        <v>#REF!</v>
      </c>
    </row>
    <row r="54" spans="2:4" hidden="1">
      <c r="B54" s="44">
        <v>7411</v>
      </c>
      <c r="C54" s="48" t="s">
        <v>417</v>
      </c>
      <c r="D54" s="46">
        <v>0</v>
      </c>
    </row>
    <row r="55" spans="2:4">
      <c r="B55" s="49">
        <v>75</v>
      </c>
      <c r="C55" s="50" t="s">
        <v>111</v>
      </c>
      <c r="D55" s="43" t="e">
        <f>+D56</f>
        <v>#REF!</v>
      </c>
    </row>
    <row r="56" spans="2:4">
      <c r="B56" s="53">
        <v>751</v>
      </c>
      <c r="C56" s="54" t="s">
        <v>111</v>
      </c>
      <c r="D56" s="55" t="e">
        <f>+D57+D58</f>
        <v>#REF!</v>
      </c>
    </row>
    <row r="57" spans="2:4">
      <c r="B57" s="51">
        <v>7511</v>
      </c>
      <c r="C57" s="48" t="s">
        <v>144</v>
      </c>
      <c r="D57" s="46" t="e">
        <f>+#REF!</f>
        <v>#REF!</v>
      </c>
    </row>
    <row r="58" spans="2:4" ht="15.75" thickBot="1">
      <c r="B58" s="56">
        <v>7512</v>
      </c>
      <c r="C58" s="57" t="s">
        <v>122</v>
      </c>
      <c r="D58" s="58" t="e">
        <f>+#REF!</f>
        <v>#REF!</v>
      </c>
    </row>
    <row r="59" spans="2:4" ht="15.75" thickTop="1"/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D2:G24"/>
  <sheetViews>
    <sheetView workbookViewId="0">
      <selection activeCell="G24" sqref="G24"/>
    </sheetView>
  </sheetViews>
  <sheetFormatPr defaultRowHeight="15"/>
  <cols>
    <col min="1" max="3" width="9.140625" style="29"/>
    <col min="4" max="4" width="44.28515625" style="29" customWidth="1"/>
    <col min="5" max="5" width="18.28515625" style="29" customWidth="1"/>
    <col min="6" max="6" width="9.140625" style="29"/>
    <col min="7" max="7" width="14.5703125" style="29" bestFit="1" customWidth="1"/>
    <col min="8" max="16384" width="9.140625" style="29"/>
  </cols>
  <sheetData>
    <row r="2" spans="4:7" ht="15.75" thickBot="1"/>
    <row r="3" spans="4:7" ht="16.5" thickTop="1" thickBot="1">
      <c r="D3" s="59" t="s">
        <v>127</v>
      </c>
      <c r="E3" s="60" t="s">
        <v>396</v>
      </c>
    </row>
    <row r="4" spans="4:7" ht="16.5" thickTop="1" thickBot="1">
      <c r="D4" s="61" t="s">
        <v>418</v>
      </c>
      <c r="E4" s="62" t="e">
        <f>+E5+E6</f>
        <v>#REF!</v>
      </c>
      <c r="G4" s="63" t="e">
        <f>+E4-#REF!</f>
        <v>#REF!</v>
      </c>
    </row>
    <row r="5" spans="4:7" ht="16.5" thickTop="1">
      <c r="D5" s="71" t="s">
        <v>419</v>
      </c>
      <c r="E5" s="72" t="e">
        <f>+PRIMICI!D6+PRIMICI!D14</f>
        <v>#REF!</v>
      </c>
      <c r="G5" s="65"/>
    </row>
    <row r="6" spans="4:7" ht="16.5" thickBot="1">
      <c r="D6" s="73" t="s">
        <v>53</v>
      </c>
      <c r="E6" s="74" t="e">
        <f>+PRIMICI!D19+PRIMICI!D24+PRIMICI!D31+PRIMICI!D44</f>
        <v>#REF!</v>
      </c>
      <c r="G6" s="65"/>
    </row>
    <row r="7" spans="4:7" ht="16.5" thickTop="1" thickBot="1">
      <c r="D7" s="66" t="s">
        <v>420</v>
      </c>
      <c r="E7" s="62" t="e">
        <f>+E8+E9</f>
        <v>#REF!</v>
      </c>
      <c r="G7" s="63" t="e">
        <f>+E7-#REF!</f>
        <v>#REF!</v>
      </c>
    </row>
    <row r="8" spans="4:7" ht="16.5" thickTop="1">
      <c r="D8" s="75" t="s">
        <v>126</v>
      </c>
      <c r="E8" s="72" t="e">
        <f>+#REF!</f>
        <v>#REF!</v>
      </c>
      <c r="G8" s="65"/>
    </row>
    <row r="9" spans="4:7" ht="16.5" thickBot="1">
      <c r="D9" s="73" t="s">
        <v>421</v>
      </c>
      <c r="E9" s="74" t="e">
        <f>+#REF!</f>
        <v>#REF!</v>
      </c>
      <c r="G9" s="65"/>
    </row>
    <row r="10" spans="4:7" ht="16.5" thickTop="1" thickBot="1">
      <c r="D10" s="67" t="s">
        <v>422</v>
      </c>
      <c r="E10" s="62" t="e">
        <f>+E4-E7</f>
        <v>#REF!</v>
      </c>
      <c r="G10" s="63" t="e">
        <f>+E10-#REF!</f>
        <v>#REF!</v>
      </c>
    </row>
    <row r="11" spans="4:7" ht="16.5" thickTop="1" thickBot="1">
      <c r="D11" s="67" t="s">
        <v>423</v>
      </c>
      <c r="E11" s="62" t="e">
        <f>+#REF!</f>
        <v>#REF!</v>
      </c>
      <c r="G11" s="65"/>
    </row>
    <row r="12" spans="4:7" ht="16.5" thickTop="1" thickBot="1">
      <c r="D12" s="67" t="s">
        <v>424</v>
      </c>
      <c r="E12" s="62" t="e">
        <f>+E13+E14+E15</f>
        <v>#REF!</v>
      </c>
      <c r="G12" s="63" t="e">
        <f>+E12-#REF!</f>
        <v>#REF!</v>
      </c>
    </row>
    <row r="13" spans="4:7" ht="16.5" thickTop="1" thickBot="1">
      <c r="D13" s="76" t="s">
        <v>158</v>
      </c>
      <c r="E13" s="72" t="e">
        <f>+#REF!</f>
        <v>#REF!</v>
      </c>
      <c r="G13" s="65"/>
    </row>
    <row r="14" spans="4:7" ht="16.5" thickTop="1" thickBot="1">
      <c r="D14" s="77" t="s">
        <v>159</v>
      </c>
      <c r="E14" s="72" t="e">
        <f>+#REF!</f>
        <v>#REF!</v>
      </c>
      <c r="G14" s="65"/>
    </row>
    <row r="15" spans="4:7" ht="16.5" thickTop="1" thickBot="1">
      <c r="D15" s="78" t="s">
        <v>160</v>
      </c>
      <c r="E15" s="72" t="e">
        <f>+#REF!</f>
        <v>#REF!</v>
      </c>
      <c r="G15" s="65"/>
    </row>
    <row r="16" spans="4:7" ht="15.75" hidden="1" thickBot="1">
      <c r="D16" s="68" t="s">
        <v>113</v>
      </c>
      <c r="E16" s="64">
        <v>0</v>
      </c>
      <c r="G16" s="65"/>
    </row>
    <row r="17" spans="4:7" ht="16.5" thickTop="1" thickBot="1">
      <c r="D17" s="67" t="s">
        <v>425</v>
      </c>
      <c r="E17" s="62" t="e">
        <f>+E10-E12</f>
        <v>#REF!</v>
      </c>
      <c r="G17" s="63" t="e">
        <f>+E17-#REF!</f>
        <v>#REF!</v>
      </c>
    </row>
    <row r="18" spans="4:7" ht="16.5" thickTop="1" thickBot="1">
      <c r="D18" s="67" t="s">
        <v>426</v>
      </c>
      <c r="E18" s="62" t="e">
        <f>SUM(E19:E23)</f>
        <v>#REF!</v>
      </c>
      <c r="G18" s="63" t="e">
        <f>+E18-#REF!</f>
        <v>#REF!</v>
      </c>
    </row>
    <row r="19" spans="4:7" ht="16.5" thickTop="1" thickBot="1">
      <c r="D19" s="76" t="s">
        <v>144</v>
      </c>
      <c r="E19" s="72" t="e">
        <f>+#REF!</f>
        <v>#REF!</v>
      </c>
      <c r="G19" s="65"/>
    </row>
    <row r="20" spans="4:7" ht="16.5" thickTop="1" thickBot="1">
      <c r="D20" s="77" t="s">
        <v>122</v>
      </c>
      <c r="E20" s="72" t="e">
        <f>+#REF!</f>
        <v>#REF!</v>
      </c>
      <c r="G20" s="65"/>
    </row>
    <row r="21" spans="4:7" ht="16.5" thickTop="1" thickBot="1">
      <c r="D21" s="77" t="s">
        <v>123</v>
      </c>
      <c r="E21" s="72" t="e">
        <f>+#REF!</f>
        <v>#REF!</v>
      </c>
      <c r="G21" s="65"/>
    </row>
    <row r="22" spans="4:7" ht="15.75" thickTop="1">
      <c r="D22" s="77" t="s">
        <v>124</v>
      </c>
      <c r="E22" s="72" t="e">
        <f>+#REF!</f>
        <v>#REF!</v>
      </c>
      <c r="G22" s="65"/>
    </row>
    <row r="23" spans="4:7" ht="15.75" thickBot="1">
      <c r="D23" s="78" t="s">
        <v>161</v>
      </c>
      <c r="E23" s="79" t="e">
        <f>-E17-SUM(E19:E22)</f>
        <v>#REF!</v>
      </c>
      <c r="G23" s="69" t="e">
        <f>+E23-#REF!</f>
        <v>#REF!</v>
      </c>
    </row>
    <row r="24" spans="4:7" ht="15.75" thickTop="1"/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W444"/>
  <sheetViews>
    <sheetView topLeftCell="C324" workbookViewId="0">
      <selection activeCell="G429" sqref="G429"/>
    </sheetView>
  </sheetViews>
  <sheetFormatPr defaultColWidth="9.140625" defaultRowHeight="12.75"/>
  <cols>
    <col min="1" max="1" width="2" style="11" customWidth="1"/>
    <col min="2" max="2" width="62" style="11" customWidth="1"/>
    <col min="3" max="3" width="63.140625" style="11" customWidth="1"/>
    <col min="4" max="4" width="41.7109375" style="11" customWidth="1"/>
    <col min="5" max="5" width="20" style="11" customWidth="1"/>
    <col min="6" max="6" width="8.5703125" style="11" customWidth="1"/>
    <col min="7" max="7" width="5.42578125" style="11" customWidth="1"/>
    <col min="8" max="8" width="6.42578125" style="11" customWidth="1"/>
    <col min="9" max="9" width="8" style="11" customWidth="1"/>
    <col min="10" max="10" width="6.42578125" style="11" customWidth="1"/>
    <col min="11" max="11" width="9.28515625" style="11" customWidth="1"/>
    <col min="12" max="12" width="7.42578125" style="11" customWidth="1"/>
    <col min="13" max="13" width="17" style="11" customWidth="1"/>
    <col min="14" max="14" width="8.85546875" style="11" customWidth="1"/>
    <col min="15" max="15" width="83.140625" style="11" customWidth="1"/>
    <col min="16" max="16" width="6.42578125" style="11" customWidth="1"/>
    <col min="17" max="17" width="5.42578125" style="11" customWidth="1"/>
    <col min="18" max="18" width="6.42578125" style="11" customWidth="1"/>
    <col min="19" max="19" width="2.7109375" style="11" customWidth="1"/>
    <col min="20" max="20" width="6.5703125" style="11" customWidth="1"/>
    <col min="21" max="21" width="5.7109375" style="11" customWidth="1"/>
    <col min="22" max="22" width="11.7109375" style="1" customWidth="1"/>
    <col min="23" max="16384" width="9.140625" style="1"/>
  </cols>
  <sheetData>
    <row r="1" spans="1:3">
      <c r="A1" s="10">
        <v>2</v>
      </c>
      <c r="B1" s="11" t="s">
        <v>251</v>
      </c>
    </row>
    <row r="3" spans="1:3">
      <c r="B3" s="293" t="s">
        <v>196</v>
      </c>
      <c r="C3" s="293"/>
    </row>
    <row r="5" spans="1:3" ht="15" customHeight="1">
      <c r="B5" s="11" t="s">
        <v>199</v>
      </c>
      <c r="C5" s="11" t="s">
        <v>197</v>
      </c>
    </row>
    <row r="6" spans="1:3">
      <c r="B6" s="11" t="s">
        <v>200</v>
      </c>
      <c r="C6" s="11" t="s">
        <v>198</v>
      </c>
    </row>
    <row r="8" spans="1:3">
      <c r="B8" s="11" t="s">
        <v>208</v>
      </c>
      <c r="C8" s="11" t="s">
        <v>365</v>
      </c>
    </row>
    <row r="9" spans="1:3">
      <c r="B9" s="11" t="s">
        <v>206</v>
      </c>
      <c r="C9" s="11" t="s">
        <v>207</v>
      </c>
    </row>
    <row r="10" spans="1:3">
      <c r="B10" s="11" t="s">
        <v>213</v>
      </c>
      <c r="C10" s="11" t="s">
        <v>215</v>
      </c>
    </row>
    <row r="11" spans="1:3">
      <c r="B11" s="11" t="s">
        <v>214</v>
      </c>
      <c r="C11" s="11" t="s">
        <v>212</v>
      </c>
    </row>
    <row r="12" spans="1:3">
      <c r="B12" s="11" t="s">
        <v>216</v>
      </c>
      <c r="C12" s="11" t="s">
        <v>217</v>
      </c>
    </row>
    <row r="13" spans="1:3">
      <c r="B13" s="11" t="s">
        <v>211</v>
      </c>
      <c r="C13" s="11" t="s">
        <v>366</v>
      </c>
    </row>
    <row r="14" spans="1:3">
      <c r="B14" s="11" t="s">
        <v>367</v>
      </c>
      <c r="C14" s="11" t="s">
        <v>368</v>
      </c>
    </row>
    <row r="15" spans="1:3">
      <c r="B15" s="11" t="s">
        <v>209</v>
      </c>
      <c r="C15" s="11" t="s">
        <v>210</v>
      </c>
    </row>
    <row r="16" spans="1:3">
      <c r="B16" s="11" t="s">
        <v>201</v>
      </c>
      <c r="C16" s="11" t="s">
        <v>202</v>
      </c>
    </row>
    <row r="17" spans="2:3" ht="15" customHeight="1">
      <c r="B17" s="11" t="s">
        <v>203</v>
      </c>
      <c r="C17" s="11" t="s">
        <v>290</v>
      </c>
    </row>
    <row r="18" spans="2:3">
      <c r="B18" s="11" t="s">
        <v>369</v>
      </c>
      <c r="C18" s="11" t="s">
        <v>370</v>
      </c>
    </row>
    <row r="19" spans="2:3">
      <c r="B19" s="11" t="s">
        <v>291</v>
      </c>
      <c r="C19" s="11" t="s">
        <v>292</v>
      </c>
    </row>
    <row r="21" spans="2:3">
      <c r="B21" s="11" t="s">
        <v>221</v>
      </c>
      <c r="C21" s="11" t="s">
        <v>222</v>
      </c>
    </row>
    <row r="22" spans="2:3">
      <c r="B22" s="11" t="s">
        <v>204</v>
      </c>
      <c r="C22" s="11" t="s">
        <v>205</v>
      </c>
    </row>
    <row r="24" spans="2:3">
      <c r="B24" s="11" t="s">
        <v>331</v>
      </c>
    </row>
    <row r="25" spans="2:3">
      <c r="B25" s="11" t="s">
        <v>220</v>
      </c>
    </row>
    <row r="27" spans="2:3">
      <c r="B27" s="12" t="s">
        <v>172</v>
      </c>
    </row>
    <row r="28" spans="2:3">
      <c r="B28" s="12" t="s">
        <v>171</v>
      </c>
    </row>
    <row r="30" spans="2:3">
      <c r="B30" s="11" t="s">
        <v>218</v>
      </c>
    </row>
    <row r="31" spans="2:3">
      <c r="B31" s="11" t="s">
        <v>219</v>
      </c>
    </row>
    <row r="37" spans="2:20">
      <c r="B37" s="293" t="s">
        <v>244</v>
      </c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</row>
    <row r="40" spans="2:20" ht="12.75" customHeight="1">
      <c r="B40" s="292" t="s">
        <v>239</v>
      </c>
      <c r="C40" s="292"/>
      <c r="D40" s="297" t="s">
        <v>245</v>
      </c>
      <c r="E40" s="297"/>
      <c r="F40" s="292" t="s">
        <v>240</v>
      </c>
      <c r="G40" s="292"/>
      <c r="H40" s="292"/>
      <c r="I40" s="2" t="s">
        <v>241</v>
      </c>
      <c r="J40" s="292" t="s">
        <v>242</v>
      </c>
      <c r="K40" s="292"/>
      <c r="L40" s="292"/>
      <c r="M40" s="292" t="s">
        <v>243</v>
      </c>
      <c r="N40" s="292"/>
      <c r="O40" s="292"/>
      <c r="P40" s="292"/>
    </row>
    <row r="41" spans="2:20">
      <c r="B41" s="292"/>
      <c r="C41" s="292"/>
      <c r="D41" s="297"/>
      <c r="E41" s="297"/>
      <c r="F41" s="13">
        <v>2008</v>
      </c>
      <c r="G41" s="14">
        <v>2009</v>
      </c>
      <c r="H41" s="14">
        <v>2010</v>
      </c>
      <c r="I41" s="14">
        <v>2011</v>
      </c>
      <c r="J41" s="14">
        <v>2012</v>
      </c>
      <c r="K41" s="14">
        <v>2013</v>
      </c>
      <c r="L41" s="14">
        <v>2014</v>
      </c>
      <c r="M41" s="14">
        <v>2011</v>
      </c>
      <c r="N41" s="14">
        <v>2012</v>
      </c>
      <c r="O41" s="14">
        <v>2013</v>
      </c>
      <c r="P41" s="14">
        <v>2014</v>
      </c>
    </row>
    <row r="42" spans="2:20">
      <c r="B42" s="295" t="s">
        <v>223</v>
      </c>
      <c r="C42" s="15" t="s">
        <v>224</v>
      </c>
      <c r="D42" s="298" t="s">
        <v>181</v>
      </c>
      <c r="E42" s="16" t="s">
        <v>182</v>
      </c>
      <c r="F42" s="298" t="s">
        <v>247</v>
      </c>
      <c r="G42" s="298"/>
      <c r="H42" s="298"/>
      <c r="I42" s="17" t="s">
        <v>248</v>
      </c>
      <c r="J42" s="299" t="s">
        <v>249</v>
      </c>
      <c r="K42" s="299"/>
      <c r="L42" s="299"/>
      <c r="M42" s="298" t="s">
        <v>250</v>
      </c>
      <c r="N42" s="298"/>
      <c r="O42" s="298"/>
      <c r="P42" s="298"/>
    </row>
    <row r="43" spans="2:20">
      <c r="B43" s="295"/>
      <c r="C43" s="18" t="s">
        <v>225</v>
      </c>
      <c r="D43" s="298"/>
      <c r="E43" s="16" t="s">
        <v>183</v>
      </c>
      <c r="G43" s="16"/>
      <c r="H43" s="16"/>
      <c r="I43" s="17"/>
      <c r="J43" s="16"/>
      <c r="K43" s="17"/>
      <c r="L43" s="16"/>
      <c r="M43" s="17"/>
      <c r="N43" s="16"/>
    </row>
    <row r="44" spans="2:20">
      <c r="B44" s="295"/>
      <c r="C44" s="15" t="s">
        <v>226</v>
      </c>
      <c r="D44" s="298"/>
      <c r="E44" s="16" t="s">
        <v>184</v>
      </c>
      <c r="F44" s="16"/>
      <c r="G44" s="17"/>
      <c r="H44" s="16"/>
      <c r="I44" s="17"/>
      <c r="J44" s="17"/>
      <c r="K44" s="17"/>
      <c r="L44" s="16"/>
      <c r="M44" s="16"/>
      <c r="N44" s="16"/>
    </row>
    <row r="45" spans="2:20">
      <c r="B45" s="295"/>
      <c r="C45" s="15" t="s">
        <v>227</v>
      </c>
      <c r="D45" s="298"/>
      <c r="E45" s="17" t="s">
        <v>185</v>
      </c>
      <c r="F45" s="17"/>
      <c r="G45" s="17"/>
      <c r="H45" s="17"/>
      <c r="I45" s="17"/>
      <c r="J45" s="17"/>
      <c r="K45" s="17"/>
      <c r="L45" s="17"/>
      <c r="M45" s="17"/>
      <c r="N45" s="17"/>
    </row>
    <row r="46" spans="2:20">
      <c r="B46" s="295"/>
      <c r="C46" s="15" t="s">
        <v>228</v>
      </c>
      <c r="D46" s="298"/>
      <c r="E46" s="17" t="s">
        <v>186</v>
      </c>
      <c r="F46" s="17"/>
      <c r="G46" s="17"/>
      <c r="H46" s="17"/>
      <c r="I46" s="17"/>
      <c r="J46" s="17"/>
      <c r="K46" s="17"/>
      <c r="L46" s="17"/>
      <c r="M46" s="17"/>
      <c r="N46" s="17"/>
    </row>
    <row r="47" spans="2:20">
      <c r="B47" s="295"/>
      <c r="C47" s="15" t="s">
        <v>229</v>
      </c>
      <c r="D47" s="298"/>
      <c r="E47" s="16" t="s">
        <v>187</v>
      </c>
      <c r="F47" s="17"/>
      <c r="G47" s="17"/>
      <c r="H47" s="17"/>
      <c r="I47" s="16"/>
      <c r="J47" s="16"/>
      <c r="K47" s="16"/>
      <c r="L47" s="16"/>
      <c r="M47" s="16"/>
      <c r="N47" s="16"/>
    </row>
    <row r="48" spans="2:20">
      <c r="B48" s="295"/>
      <c r="C48" s="15" t="s">
        <v>230</v>
      </c>
      <c r="D48" s="298"/>
      <c r="E48" s="17" t="s">
        <v>188</v>
      </c>
      <c r="F48" s="17"/>
      <c r="G48" s="17"/>
      <c r="H48" s="17"/>
      <c r="I48" s="17"/>
      <c r="J48" s="17"/>
      <c r="K48" s="17"/>
      <c r="L48" s="17"/>
      <c r="M48" s="17"/>
      <c r="N48" s="17"/>
    </row>
    <row r="49" spans="2:20">
      <c r="B49" s="295"/>
      <c r="C49" s="19" t="s">
        <v>231</v>
      </c>
      <c r="D49" s="298"/>
      <c r="E49" s="16" t="s">
        <v>246</v>
      </c>
      <c r="F49" s="17"/>
      <c r="G49" s="16"/>
      <c r="H49" s="16"/>
      <c r="I49" s="16"/>
      <c r="J49" s="16"/>
      <c r="K49" s="16"/>
      <c r="L49" s="16"/>
      <c r="M49" s="16"/>
      <c r="N49" s="16"/>
    </row>
    <row r="50" spans="2:20">
      <c r="B50" s="295"/>
      <c r="C50" s="15" t="s">
        <v>232</v>
      </c>
      <c r="D50" s="298"/>
      <c r="E50" s="17" t="s">
        <v>189</v>
      </c>
      <c r="F50" s="17"/>
      <c r="G50" s="17"/>
      <c r="H50" s="17"/>
      <c r="I50" s="17"/>
      <c r="J50" s="17"/>
      <c r="K50" s="17"/>
      <c r="L50" s="17"/>
      <c r="M50" s="17"/>
      <c r="N50" s="17"/>
    </row>
    <row r="51" spans="2:20">
      <c r="B51" s="295"/>
      <c r="C51" s="15" t="s">
        <v>379</v>
      </c>
      <c r="D51" s="298"/>
      <c r="E51" s="17" t="s">
        <v>380</v>
      </c>
      <c r="F51" s="17"/>
      <c r="G51" s="17"/>
      <c r="H51" s="17"/>
      <c r="I51" s="17"/>
      <c r="J51" s="17"/>
      <c r="K51" s="17"/>
      <c r="L51" s="17"/>
      <c r="M51" s="17"/>
      <c r="N51" s="17"/>
    </row>
    <row r="52" spans="2:20">
      <c r="B52" s="296" t="s">
        <v>233</v>
      </c>
      <c r="C52" s="20" t="s">
        <v>234</v>
      </c>
      <c r="D52" s="298" t="s">
        <v>190</v>
      </c>
      <c r="E52" s="17" t="s">
        <v>191</v>
      </c>
      <c r="F52" s="17"/>
      <c r="G52" s="17"/>
      <c r="H52" s="17"/>
      <c r="I52" s="17"/>
      <c r="J52" s="17"/>
      <c r="K52" s="17"/>
      <c r="L52" s="17"/>
      <c r="M52" s="17"/>
      <c r="N52" s="17"/>
    </row>
    <row r="53" spans="2:20">
      <c r="B53" s="296"/>
      <c r="C53" s="20" t="s">
        <v>235</v>
      </c>
      <c r="D53" s="298"/>
      <c r="E53" s="17" t="s">
        <v>192</v>
      </c>
      <c r="F53" s="17"/>
      <c r="G53" s="17"/>
      <c r="H53" s="17"/>
      <c r="I53" s="17"/>
      <c r="J53" s="17"/>
      <c r="K53" s="17"/>
      <c r="L53" s="17"/>
      <c r="M53" s="17"/>
      <c r="N53" s="17"/>
    </row>
    <row r="54" spans="2:20">
      <c r="B54" s="296"/>
      <c r="C54" s="20" t="s">
        <v>236</v>
      </c>
      <c r="D54" s="298"/>
      <c r="E54" s="17" t="s">
        <v>374</v>
      </c>
      <c r="F54" s="17"/>
      <c r="G54" s="17"/>
      <c r="H54" s="17"/>
      <c r="I54" s="17"/>
      <c r="J54" s="17"/>
      <c r="K54" s="16"/>
      <c r="L54" s="17"/>
      <c r="M54" s="17"/>
      <c r="N54" s="17"/>
    </row>
    <row r="55" spans="2:20">
      <c r="B55" s="296"/>
      <c r="C55" s="20" t="s">
        <v>375</v>
      </c>
      <c r="D55" s="298"/>
      <c r="E55" s="20" t="s">
        <v>377</v>
      </c>
      <c r="F55" s="17"/>
      <c r="G55" s="17"/>
      <c r="H55" s="17"/>
      <c r="I55" s="17"/>
      <c r="J55" s="17"/>
      <c r="K55" s="16"/>
      <c r="L55" s="17"/>
      <c r="M55" s="17"/>
      <c r="N55" s="17"/>
    </row>
    <row r="56" spans="2:20">
      <c r="B56" s="296"/>
      <c r="C56" s="20" t="s">
        <v>80</v>
      </c>
      <c r="D56" s="298"/>
      <c r="E56" s="17" t="s">
        <v>193</v>
      </c>
      <c r="F56" s="17"/>
      <c r="G56" s="16"/>
      <c r="H56" s="21"/>
      <c r="I56" s="21"/>
      <c r="J56" s="21"/>
      <c r="K56" s="21"/>
      <c r="L56" s="21"/>
      <c r="M56" s="21"/>
      <c r="N56" s="16"/>
    </row>
    <row r="57" spans="2:20">
      <c r="B57" s="296"/>
      <c r="C57" s="20" t="s">
        <v>237</v>
      </c>
      <c r="D57" s="298"/>
      <c r="E57" s="17" t="s">
        <v>194</v>
      </c>
      <c r="F57" s="17"/>
      <c r="G57" s="17"/>
      <c r="H57" s="17"/>
      <c r="I57" s="17"/>
      <c r="J57" s="21"/>
      <c r="K57" s="16"/>
      <c r="L57" s="17"/>
      <c r="M57" s="17"/>
      <c r="N57" s="17"/>
    </row>
    <row r="58" spans="2:20">
      <c r="B58" s="296"/>
      <c r="C58" s="20" t="s">
        <v>376</v>
      </c>
      <c r="D58" s="298"/>
      <c r="E58" s="17" t="s">
        <v>378</v>
      </c>
      <c r="F58" s="17"/>
      <c r="G58" s="17"/>
      <c r="H58" s="17"/>
      <c r="I58" s="17"/>
      <c r="J58" s="21"/>
      <c r="K58" s="16"/>
      <c r="L58" s="17"/>
      <c r="M58" s="17"/>
      <c r="N58" s="17"/>
    </row>
    <row r="59" spans="2:20">
      <c r="B59" s="296"/>
      <c r="C59" s="20" t="s">
        <v>238</v>
      </c>
      <c r="D59" s="298"/>
      <c r="E59" s="17" t="s">
        <v>195</v>
      </c>
      <c r="F59" s="17"/>
      <c r="G59" s="17"/>
      <c r="H59" s="17"/>
      <c r="I59" s="17"/>
      <c r="J59" s="17"/>
      <c r="K59" s="17"/>
      <c r="L59" s="21"/>
      <c r="M59" s="17"/>
      <c r="N59" s="17"/>
    </row>
    <row r="60" spans="2:20">
      <c r="B60" s="11" t="s">
        <v>333</v>
      </c>
      <c r="D60" s="11" t="s">
        <v>332</v>
      </c>
    </row>
    <row r="62" spans="2:20">
      <c r="B62" s="293" t="s">
        <v>252</v>
      </c>
      <c r="C62" s="293"/>
      <c r="D62" s="293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</row>
    <row r="66" spans="2:22">
      <c r="B66" s="11" t="s">
        <v>371</v>
      </c>
    </row>
    <row r="67" spans="2:22">
      <c r="B67" s="11" t="s">
        <v>372</v>
      </c>
      <c r="M67" s="11" t="s">
        <v>338</v>
      </c>
      <c r="O67" s="11" t="s">
        <v>381</v>
      </c>
    </row>
    <row r="68" spans="2:22">
      <c r="D68" s="22"/>
      <c r="E68" s="23"/>
      <c r="F68" s="22"/>
      <c r="G68" s="23"/>
      <c r="H68" s="22"/>
      <c r="I68" s="23"/>
      <c r="J68" s="22"/>
      <c r="K68" s="23"/>
      <c r="L68" s="22"/>
      <c r="M68" s="23" t="s">
        <v>337</v>
      </c>
      <c r="N68" s="22"/>
      <c r="O68" s="23" t="s">
        <v>382</v>
      </c>
      <c r="P68" s="22"/>
      <c r="Q68" s="23"/>
      <c r="R68" s="22"/>
      <c r="S68" s="23"/>
      <c r="T68" s="22"/>
    </row>
    <row r="69" spans="2:22">
      <c r="C69" s="4">
        <v>2006</v>
      </c>
      <c r="D69" s="4"/>
      <c r="E69" s="4">
        <v>2007</v>
      </c>
      <c r="F69" s="4"/>
      <c r="G69" s="4">
        <v>2008</v>
      </c>
      <c r="H69" s="4"/>
      <c r="I69" s="4">
        <v>2009</v>
      </c>
      <c r="J69" s="4"/>
      <c r="K69" s="4">
        <v>2010</v>
      </c>
      <c r="L69" s="4"/>
      <c r="M69" s="4">
        <v>2011</v>
      </c>
      <c r="N69" s="4"/>
      <c r="O69" s="4">
        <v>2012</v>
      </c>
      <c r="P69" s="4"/>
      <c r="Q69" s="4">
        <v>2013</v>
      </c>
      <c r="R69" s="4"/>
      <c r="S69" s="4">
        <v>2014</v>
      </c>
      <c r="T69" s="4"/>
      <c r="U69" s="11">
        <v>2015</v>
      </c>
    </row>
    <row r="70" spans="2:22">
      <c r="B70" s="5" t="s">
        <v>127</v>
      </c>
      <c r="C70" s="6" t="s">
        <v>263</v>
      </c>
      <c r="D70" s="6" t="s">
        <v>150</v>
      </c>
      <c r="E70" s="6" t="s">
        <v>263</v>
      </c>
      <c r="F70" s="6" t="s">
        <v>150</v>
      </c>
      <c r="G70" s="6" t="s">
        <v>263</v>
      </c>
      <c r="H70" s="6" t="s">
        <v>150</v>
      </c>
      <c r="I70" s="6" t="s">
        <v>263</v>
      </c>
      <c r="J70" s="6" t="s">
        <v>150</v>
      </c>
      <c r="K70" s="6" t="s">
        <v>263</v>
      </c>
      <c r="L70" s="6" t="s">
        <v>150</v>
      </c>
      <c r="M70" s="6" t="s">
        <v>263</v>
      </c>
      <c r="N70" s="6" t="s">
        <v>150</v>
      </c>
      <c r="O70" s="6" t="s">
        <v>263</v>
      </c>
      <c r="P70" s="6" t="s">
        <v>150</v>
      </c>
      <c r="Q70" s="6" t="s">
        <v>263</v>
      </c>
      <c r="R70" s="6" t="s">
        <v>150</v>
      </c>
      <c r="S70" s="6" t="s">
        <v>263</v>
      </c>
      <c r="T70" s="6" t="s">
        <v>150</v>
      </c>
      <c r="U70" s="6" t="s">
        <v>263</v>
      </c>
      <c r="V70" s="3" t="s">
        <v>150</v>
      </c>
    </row>
    <row r="71" spans="2:22">
      <c r="B71" s="5" t="s">
        <v>253</v>
      </c>
      <c r="C71" s="6" t="s">
        <v>263</v>
      </c>
      <c r="D71" s="6" t="s">
        <v>166</v>
      </c>
      <c r="E71" s="6" t="s">
        <v>263</v>
      </c>
      <c r="F71" s="6" t="s">
        <v>166</v>
      </c>
      <c r="G71" s="6" t="s">
        <v>263</v>
      </c>
      <c r="H71" s="6" t="s">
        <v>166</v>
      </c>
      <c r="I71" s="6" t="s">
        <v>263</v>
      </c>
      <c r="J71" s="6" t="s">
        <v>166</v>
      </c>
      <c r="K71" s="6" t="s">
        <v>263</v>
      </c>
      <c r="L71" s="6" t="s">
        <v>166</v>
      </c>
      <c r="M71" s="6" t="s">
        <v>263</v>
      </c>
      <c r="N71" s="6" t="s">
        <v>166</v>
      </c>
      <c r="O71" s="6" t="s">
        <v>263</v>
      </c>
      <c r="P71" s="6" t="s">
        <v>166</v>
      </c>
      <c r="Q71" s="6" t="s">
        <v>263</v>
      </c>
      <c r="R71" s="6" t="s">
        <v>166</v>
      </c>
      <c r="S71" s="6" t="s">
        <v>263</v>
      </c>
      <c r="T71" s="6" t="s">
        <v>166</v>
      </c>
      <c r="U71" s="6" t="s">
        <v>263</v>
      </c>
      <c r="V71" s="3" t="s">
        <v>166</v>
      </c>
    </row>
    <row r="72" spans="2:22">
      <c r="B72" s="7" t="s">
        <v>128</v>
      </c>
      <c r="C72" s="23" t="s">
        <v>1</v>
      </c>
      <c r="D72" s="24"/>
      <c r="E72" s="25"/>
      <c r="F72" s="24"/>
      <c r="G72" s="25"/>
      <c r="H72" s="24"/>
      <c r="I72" s="25"/>
      <c r="J72" s="24"/>
      <c r="K72" s="25"/>
      <c r="L72" s="24"/>
      <c r="M72" s="25"/>
      <c r="N72" s="24"/>
      <c r="O72" s="25"/>
      <c r="P72" s="24"/>
      <c r="Q72" s="25"/>
      <c r="R72" s="24"/>
      <c r="S72" s="25"/>
      <c r="T72" s="24"/>
    </row>
    <row r="73" spans="2:22">
      <c r="B73" s="7" t="s">
        <v>2</v>
      </c>
      <c r="C73" s="23" t="s">
        <v>167</v>
      </c>
      <c r="D73" s="22"/>
      <c r="E73" s="23"/>
      <c r="F73" s="22"/>
      <c r="G73" s="23"/>
      <c r="H73" s="22"/>
      <c r="I73" s="23"/>
      <c r="J73" s="22"/>
      <c r="K73" s="23"/>
      <c r="L73" s="22"/>
      <c r="M73" s="23"/>
      <c r="N73" s="22"/>
      <c r="O73" s="23"/>
      <c r="P73" s="22"/>
      <c r="Q73" s="23"/>
      <c r="R73" s="22"/>
      <c r="S73" s="23"/>
      <c r="T73" s="22"/>
    </row>
    <row r="74" spans="2:22">
      <c r="B74" s="8" t="s">
        <v>3</v>
      </c>
      <c r="C74" s="23" t="s">
        <v>69</v>
      </c>
      <c r="D74" s="22"/>
      <c r="E74" s="23"/>
      <c r="F74" s="22"/>
      <c r="G74" s="23"/>
      <c r="H74" s="22"/>
      <c r="I74" s="23"/>
      <c r="J74" s="22"/>
      <c r="K74" s="23"/>
      <c r="L74" s="22"/>
      <c r="M74" s="23"/>
      <c r="N74" s="22"/>
      <c r="O74" s="23"/>
      <c r="P74" s="22"/>
      <c r="Q74" s="23"/>
      <c r="R74" s="22"/>
      <c r="S74" s="23"/>
      <c r="T74" s="22"/>
    </row>
    <row r="75" spans="2:22">
      <c r="B75" s="7" t="s">
        <v>5</v>
      </c>
      <c r="C75" s="23" t="s">
        <v>254</v>
      </c>
      <c r="D75" s="22"/>
      <c r="E75" s="23"/>
      <c r="F75" s="22"/>
      <c r="G75" s="23"/>
      <c r="H75" s="22"/>
      <c r="I75" s="23"/>
      <c r="J75" s="22"/>
      <c r="K75" s="23"/>
      <c r="L75" s="22"/>
      <c r="M75" s="23"/>
      <c r="N75" s="22"/>
      <c r="O75" s="23"/>
      <c r="P75" s="22"/>
      <c r="Q75" s="23"/>
      <c r="R75" s="22"/>
      <c r="S75" s="23"/>
      <c r="T75" s="22"/>
    </row>
    <row r="76" spans="2:22">
      <c r="B76" s="7" t="s">
        <v>7</v>
      </c>
      <c r="C76" s="26" t="s">
        <v>8</v>
      </c>
      <c r="D76" s="22"/>
      <c r="E76" s="23"/>
      <c r="F76" s="22"/>
      <c r="G76" s="23"/>
      <c r="H76" s="22"/>
      <c r="I76" s="23"/>
      <c r="J76" s="22"/>
      <c r="K76" s="23"/>
      <c r="L76" s="22"/>
      <c r="M76" s="23"/>
      <c r="N76" s="22"/>
      <c r="O76" s="23"/>
      <c r="P76" s="22"/>
      <c r="Q76" s="23"/>
      <c r="R76" s="22"/>
      <c r="S76" s="23"/>
      <c r="T76" s="22"/>
    </row>
    <row r="77" spans="2:22">
      <c r="B77" s="7" t="s">
        <v>9</v>
      </c>
      <c r="C77" s="26" t="s">
        <v>10</v>
      </c>
      <c r="D77" s="24"/>
      <c r="E77" s="25"/>
      <c r="F77" s="24"/>
      <c r="G77" s="25"/>
      <c r="H77" s="24"/>
      <c r="I77" s="25"/>
      <c r="J77" s="24"/>
      <c r="K77" s="25"/>
      <c r="L77" s="24"/>
      <c r="M77" s="25"/>
      <c r="N77" s="24"/>
      <c r="O77" s="25"/>
      <c r="P77" s="24"/>
      <c r="Q77" s="25"/>
      <c r="R77" s="24"/>
      <c r="S77" s="25"/>
      <c r="T77" s="24"/>
    </row>
    <row r="78" spans="2:22">
      <c r="B78" s="7" t="s">
        <v>12</v>
      </c>
      <c r="C78" s="26" t="s">
        <v>13</v>
      </c>
      <c r="D78" s="24"/>
      <c r="E78" s="23"/>
      <c r="F78" s="24"/>
      <c r="G78" s="23"/>
      <c r="H78" s="24"/>
      <c r="I78" s="23"/>
      <c r="J78" s="24"/>
      <c r="K78" s="23"/>
      <c r="L78" s="24"/>
      <c r="M78" s="23"/>
      <c r="N78" s="24"/>
      <c r="O78" s="23"/>
      <c r="P78" s="24"/>
      <c r="Q78" s="23"/>
      <c r="R78" s="24"/>
      <c r="S78" s="23"/>
      <c r="T78" s="24"/>
    </row>
    <row r="79" spans="2:22">
      <c r="B79" s="7" t="s">
        <v>14</v>
      </c>
      <c r="C79" s="26" t="s">
        <v>15</v>
      </c>
      <c r="D79" s="24"/>
      <c r="E79" s="23"/>
      <c r="F79" s="24"/>
      <c r="G79" s="23"/>
      <c r="H79" s="24"/>
      <c r="I79" s="23"/>
      <c r="J79" s="24"/>
      <c r="K79" s="23"/>
      <c r="L79" s="24"/>
      <c r="M79" s="23"/>
      <c r="N79" s="24"/>
      <c r="O79" s="23"/>
      <c r="P79" s="24"/>
      <c r="Q79" s="23"/>
      <c r="R79" s="24"/>
      <c r="S79" s="23"/>
      <c r="T79" s="24"/>
    </row>
    <row r="80" spans="2:22">
      <c r="B80" s="7" t="s">
        <v>17</v>
      </c>
      <c r="C80" s="26" t="s">
        <v>18</v>
      </c>
      <c r="D80" s="24"/>
      <c r="E80" s="23"/>
      <c r="F80" s="24"/>
      <c r="G80" s="23"/>
      <c r="H80" s="24"/>
      <c r="I80" s="23"/>
      <c r="J80" s="24"/>
      <c r="K80" s="23"/>
      <c r="L80" s="24"/>
      <c r="M80" s="23"/>
      <c r="N80" s="24"/>
      <c r="O80" s="23"/>
      <c r="P80" s="24"/>
      <c r="Q80" s="23"/>
      <c r="R80" s="24"/>
      <c r="S80" s="23"/>
      <c r="T80" s="24"/>
    </row>
    <row r="81" spans="2:20">
      <c r="B81" s="7" t="s">
        <v>19</v>
      </c>
      <c r="C81" s="26" t="s">
        <v>20</v>
      </c>
      <c r="D81" s="24"/>
      <c r="E81" s="23"/>
      <c r="F81" s="24"/>
      <c r="G81" s="23"/>
      <c r="H81" s="24"/>
      <c r="I81" s="23"/>
      <c r="J81" s="24"/>
      <c r="K81" s="23"/>
      <c r="L81" s="24"/>
      <c r="M81" s="23"/>
      <c r="N81" s="24"/>
      <c r="O81" s="23"/>
      <c r="P81" s="24"/>
      <c r="Q81" s="23"/>
      <c r="R81" s="24"/>
      <c r="S81" s="23"/>
      <c r="T81" s="24"/>
    </row>
    <row r="82" spans="2:20">
      <c r="B82" s="7" t="s">
        <v>21</v>
      </c>
      <c r="C82" s="26" t="s">
        <v>22</v>
      </c>
      <c r="D82" s="24"/>
      <c r="E82" s="25"/>
      <c r="F82" s="24"/>
      <c r="G82" s="25"/>
      <c r="H82" s="24"/>
      <c r="I82" s="25"/>
      <c r="J82" s="24"/>
      <c r="K82" s="25"/>
      <c r="L82" s="24"/>
      <c r="M82" s="25"/>
      <c r="N82" s="24"/>
      <c r="O82" s="25"/>
      <c r="P82" s="24"/>
      <c r="Q82" s="25"/>
      <c r="R82" s="24"/>
      <c r="S82" s="25"/>
      <c r="T82" s="24"/>
    </row>
    <row r="83" spans="2:20">
      <c r="B83" s="7" t="s">
        <v>23</v>
      </c>
      <c r="C83" s="26" t="s">
        <v>24</v>
      </c>
      <c r="D83" s="24"/>
      <c r="E83" s="23"/>
      <c r="F83" s="24"/>
      <c r="G83" s="23"/>
      <c r="H83" s="24"/>
      <c r="I83" s="23"/>
      <c r="J83" s="24"/>
      <c r="K83" s="23"/>
      <c r="L83" s="24"/>
      <c r="M83" s="23"/>
      <c r="N83" s="24"/>
      <c r="O83" s="23"/>
      <c r="P83" s="24"/>
      <c r="Q83" s="23"/>
      <c r="R83" s="24"/>
      <c r="S83" s="23"/>
      <c r="T83" s="24"/>
    </row>
    <row r="84" spans="2:20">
      <c r="B84" s="7" t="s">
        <v>25</v>
      </c>
      <c r="C84" s="26" t="s">
        <v>26</v>
      </c>
      <c r="D84" s="24"/>
      <c r="E84" s="23"/>
      <c r="F84" s="24"/>
      <c r="G84" s="23"/>
      <c r="H84" s="24"/>
      <c r="I84" s="23"/>
      <c r="J84" s="24"/>
      <c r="K84" s="23"/>
      <c r="L84" s="24"/>
      <c r="M84" s="23"/>
      <c r="N84" s="24"/>
      <c r="O84" s="23"/>
      <c r="P84" s="24"/>
      <c r="Q84" s="23"/>
      <c r="R84" s="24"/>
      <c r="S84" s="23"/>
      <c r="T84" s="24"/>
    </row>
    <row r="85" spans="2:20">
      <c r="B85" s="7" t="s">
        <v>27</v>
      </c>
      <c r="C85" s="26" t="s">
        <v>28</v>
      </c>
      <c r="D85" s="24"/>
      <c r="E85" s="23"/>
      <c r="F85" s="24"/>
      <c r="G85" s="23"/>
      <c r="H85" s="24"/>
      <c r="I85" s="23"/>
      <c r="J85" s="24"/>
      <c r="K85" s="23"/>
      <c r="L85" s="24"/>
      <c r="M85" s="23"/>
      <c r="N85" s="24"/>
      <c r="O85" s="23"/>
      <c r="P85" s="24"/>
      <c r="Q85" s="23"/>
      <c r="R85" s="24"/>
      <c r="S85" s="23"/>
      <c r="T85" s="24"/>
    </row>
    <row r="86" spans="2:20">
      <c r="B86" s="7" t="s">
        <v>29</v>
      </c>
      <c r="C86" s="26" t="s">
        <v>30</v>
      </c>
      <c r="D86" s="24"/>
      <c r="E86" s="23"/>
      <c r="F86" s="24"/>
      <c r="G86" s="23"/>
      <c r="H86" s="24"/>
      <c r="I86" s="23"/>
      <c r="J86" s="24"/>
      <c r="K86" s="23"/>
      <c r="L86" s="24"/>
      <c r="M86" s="23"/>
      <c r="N86" s="24"/>
      <c r="O86" s="23"/>
      <c r="P86" s="24"/>
      <c r="Q86" s="23"/>
      <c r="R86" s="24"/>
      <c r="S86" s="23"/>
      <c r="T86" s="24"/>
    </row>
    <row r="87" spans="2:20">
      <c r="B87" s="7" t="s">
        <v>31</v>
      </c>
      <c r="C87" s="26" t="s">
        <v>175</v>
      </c>
      <c r="D87" s="24"/>
      <c r="E87" s="23"/>
      <c r="F87" s="24"/>
      <c r="G87" s="23"/>
      <c r="H87" s="24"/>
      <c r="I87" s="23"/>
      <c r="J87" s="24"/>
      <c r="K87" s="23"/>
      <c r="L87" s="24"/>
      <c r="M87" s="23"/>
      <c r="N87" s="24"/>
      <c r="O87" s="23"/>
      <c r="P87" s="24"/>
      <c r="Q87" s="23"/>
      <c r="R87" s="24"/>
      <c r="S87" s="23"/>
      <c r="T87" s="24"/>
    </row>
    <row r="88" spans="2:20">
      <c r="B88" s="7" t="s">
        <v>32</v>
      </c>
      <c r="C88" s="12" t="s">
        <v>33</v>
      </c>
      <c r="D88" s="24"/>
      <c r="E88" s="23"/>
      <c r="F88" s="24"/>
      <c r="G88" s="23"/>
      <c r="H88" s="24"/>
      <c r="I88" s="23"/>
      <c r="J88" s="24"/>
      <c r="K88" s="23"/>
      <c r="L88" s="24"/>
      <c r="M88" s="23"/>
      <c r="N88" s="24"/>
      <c r="O88" s="23"/>
      <c r="P88" s="24"/>
      <c r="Q88" s="23"/>
      <c r="R88" s="24"/>
      <c r="S88" s="23"/>
      <c r="T88" s="24"/>
    </row>
    <row r="89" spans="2:20">
      <c r="B89" s="7" t="s">
        <v>34</v>
      </c>
      <c r="C89" s="12" t="s">
        <v>35</v>
      </c>
      <c r="D89" s="24"/>
      <c r="E89" s="25"/>
      <c r="F89" s="24"/>
      <c r="G89" s="25"/>
      <c r="H89" s="24"/>
      <c r="I89" s="25"/>
      <c r="J89" s="24"/>
      <c r="K89" s="25"/>
      <c r="L89" s="24"/>
      <c r="M89" s="25"/>
      <c r="N89" s="24"/>
      <c r="O89" s="25"/>
      <c r="P89" s="24"/>
      <c r="Q89" s="25"/>
      <c r="R89" s="24"/>
      <c r="S89" s="25"/>
      <c r="T89" s="24"/>
    </row>
    <row r="90" spans="2:20">
      <c r="B90" s="7" t="s">
        <v>37</v>
      </c>
      <c r="C90" s="12" t="s">
        <v>38</v>
      </c>
      <c r="D90" s="24"/>
      <c r="E90" s="23"/>
      <c r="F90" s="24"/>
      <c r="G90" s="23"/>
      <c r="H90" s="24"/>
      <c r="I90" s="23"/>
      <c r="J90" s="24"/>
      <c r="K90" s="23"/>
      <c r="L90" s="24"/>
      <c r="M90" s="23"/>
      <c r="N90" s="24"/>
      <c r="O90" s="23"/>
      <c r="P90" s="24"/>
      <c r="Q90" s="23"/>
      <c r="R90" s="24"/>
      <c r="S90" s="23"/>
      <c r="T90" s="24"/>
    </row>
    <row r="91" spans="2:20">
      <c r="B91" s="7" t="s">
        <v>39</v>
      </c>
      <c r="C91" s="12" t="s">
        <v>168</v>
      </c>
      <c r="D91" s="24"/>
      <c r="E91" s="23"/>
      <c r="F91" s="24"/>
      <c r="G91" s="23"/>
      <c r="H91" s="24"/>
      <c r="I91" s="23"/>
      <c r="J91" s="24"/>
      <c r="K91" s="23"/>
      <c r="L91" s="24"/>
      <c r="M91" s="23"/>
      <c r="N91" s="24"/>
      <c r="O91" s="23"/>
      <c r="P91" s="24"/>
      <c r="Q91" s="23"/>
      <c r="R91" s="24"/>
      <c r="S91" s="23"/>
      <c r="T91" s="24"/>
    </row>
    <row r="92" spans="2:20">
      <c r="B92" s="7" t="s">
        <v>40</v>
      </c>
      <c r="C92" s="12" t="s">
        <v>41</v>
      </c>
      <c r="D92" s="24"/>
      <c r="E92" s="23"/>
      <c r="F92" s="24"/>
      <c r="G92" s="23"/>
      <c r="H92" s="24"/>
      <c r="I92" s="23"/>
      <c r="J92" s="24"/>
      <c r="K92" s="23"/>
      <c r="L92" s="24"/>
      <c r="M92" s="23"/>
      <c r="N92" s="24"/>
      <c r="O92" s="23"/>
      <c r="P92" s="24"/>
      <c r="Q92" s="23"/>
      <c r="R92" s="24"/>
      <c r="S92" s="23"/>
      <c r="T92" s="24"/>
    </row>
    <row r="93" spans="2:20">
      <c r="B93" s="7" t="s">
        <v>42</v>
      </c>
      <c r="C93" s="12" t="s">
        <v>43</v>
      </c>
      <c r="D93" s="24"/>
      <c r="E93" s="23"/>
      <c r="F93" s="24"/>
      <c r="G93" s="23"/>
      <c r="H93" s="24"/>
      <c r="I93" s="23"/>
      <c r="J93" s="24"/>
      <c r="K93" s="23"/>
      <c r="L93" s="24"/>
      <c r="M93" s="23"/>
      <c r="N93" s="24"/>
      <c r="O93" s="23"/>
      <c r="P93" s="24"/>
      <c r="Q93" s="23"/>
      <c r="R93" s="24"/>
      <c r="S93" s="23"/>
      <c r="T93" s="24"/>
    </row>
    <row r="94" spans="2:20">
      <c r="B94" s="7" t="s">
        <v>45</v>
      </c>
      <c r="C94" s="12" t="s">
        <v>46</v>
      </c>
      <c r="D94" s="24"/>
      <c r="E94" s="25"/>
      <c r="F94" s="24"/>
      <c r="G94" s="25"/>
      <c r="H94" s="24"/>
      <c r="I94" s="25"/>
      <c r="J94" s="24"/>
      <c r="K94" s="25"/>
      <c r="L94" s="24"/>
      <c r="M94" s="25"/>
      <c r="N94" s="24"/>
      <c r="O94" s="25"/>
      <c r="P94" s="24"/>
      <c r="Q94" s="25"/>
      <c r="R94" s="24"/>
      <c r="S94" s="25"/>
      <c r="T94" s="24"/>
    </row>
    <row r="95" spans="2:20">
      <c r="B95" s="7" t="s">
        <v>47</v>
      </c>
      <c r="C95" s="12" t="s">
        <v>48</v>
      </c>
      <c r="D95" s="24"/>
      <c r="E95" s="25"/>
      <c r="F95" s="24"/>
      <c r="G95" s="25"/>
      <c r="H95" s="24"/>
      <c r="I95" s="25"/>
      <c r="J95" s="24"/>
      <c r="K95" s="25"/>
      <c r="L95" s="24"/>
      <c r="M95" s="25"/>
      <c r="N95" s="24"/>
      <c r="O95" s="25"/>
      <c r="P95" s="24"/>
      <c r="Q95" s="25"/>
      <c r="R95" s="24"/>
      <c r="S95" s="25"/>
      <c r="T95" s="24"/>
    </row>
    <row r="96" spans="2:20">
      <c r="B96" s="7" t="s">
        <v>50</v>
      </c>
      <c r="C96" s="12" t="s">
        <v>169</v>
      </c>
      <c r="D96" s="24"/>
      <c r="E96" s="25"/>
      <c r="F96" s="24"/>
      <c r="G96" s="25"/>
      <c r="H96" s="24"/>
      <c r="I96" s="25"/>
      <c r="J96" s="24"/>
      <c r="K96" s="25"/>
      <c r="L96" s="24"/>
      <c r="M96" s="25"/>
      <c r="N96" s="24"/>
      <c r="O96" s="25"/>
      <c r="P96" s="24"/>
      <c r="Q96" s="25"/>
      <c r="R96" s="24"/>
      <c r="S96" s="25"/>
      <c r="T96" s="24"/>
    </row>
    <row r="97" spans="2:20">
      <c r="B97" s="7" t="s">
        <v>51</v>
      </c>
      <c r="C97" s="12" t="s">
        <v>52</v>
      </c>
      <c r="D97" s="22"/>
      <c r="E97" s="23"/>
      <c r="F97" s="22"/>
      <c r="G97" s="23"/>
      <c r="H97" s="22"/>
      <c r="I97" s="23"/>
      <c r="J97" s="22"/>
      <c r="K97" s="23"/>
      <c r="L97" s="22"/>
      <c r="M97" s="23"/>
      <c r="N97" s="22"/>
      <c r="O97" s="23"/>
      <c r="P97" s="22"/>
      <c r="Q97" s="23"/>
      <c r="R97" s="22"/>
      <c r="S97" s="23"/>
      <c r="T97" s="22"/>
    </row>
    <row r="98" spans="2:20">
      <c r="B98" s="7" t="s">
        <v>53</v>
      </c>
      <c r="C98" s="12" t="s">
        <v>54</v>
      </c>
      <c r="D98" s="22"/>
      <c r="E98" s="23"/>
      <c r="F98" s="22"/>
      <c r="G98" s="23"/>
      <c r="H98" s="22"/>
      <c r="I98" s="23"/>
      <c r="J98" s="22"/>
      <c r="K98" s="23"/>
      <c r="L98" s="22"/>
      <c r="M98" s="23"/>
      <c r="N98" s="22"/>
      <c r="O98" s="23"/>
      <c r="P98" s="22"/>
      <c r="Q98" s="23"/>
      <c r="R98" s="22"/>
      <c r="S98" s="23"/>
      <c r="T98" s="22"/>
    </row>
    <row r="99" spans="2:20">
      <c r="B99" s="7" t="s">
        <v>55</v>
      </c>
      <c r="C99" s="12" t="s">
        <v>56</v>
      </c>
      <c r="D99" s="22"/>
      <c r="E99" s="23"/>
      <c r="F99" s="22"/>
      <c r="G99" s="23"/>
      <c r="H99" s="22"/>
      <c r="I99" s="23"/>
      <c r="J99" s="22"/>
      <c r="K99" s="23"/>
      <c r="L99" s="22"/>
      <c r="M99" s="23"/>
      <c r="N99" s="22"/>
      <c r="O99" s="23"/>
      <c r="P99" s="22"/>
      <c r="Q99" s="23"/>
      <c r="R99" s="22"/>
      <c r="S99" s="23"/>
      <c r="T99" s="22"/>
    </row>
    <row r="100" spans="2:20">
      <c r="B100" s="7" t="s">
        <v>57</v>
      </c>
      <c r="C100" s="12" t="s">
        <v>58</v>
      </c>
      <c r="D100" s="22"/>
      <c r="E100" s="23"/>
      <c r="F100" s="22"/>
      <c r="G100" s="23"/>
      <c r="H100" s="22"/>
      <c r="I100" s="23"/>
      <c r="J100" s="22"/>
      <c r="K100" s="23"/>
      <c r="L100" s="22"/>
      <c r="M100" s="23"/>
      <c r="N100" s="22"/>
      <c r="O100" s="23"/>
      <c r="P100" s="22"/>
      <c r="Q100" s="23"/>
      <c r="R100" s="22"/>
      <c r="S100" s="23"/>
      <c r="T100" s="22"/>
    </row>
    <row r="101" spans="2:20">
      <c r="B101" s="7" t="s">
        <v>59</v>
      </c>
      <c r="C101" s="12" t="s">
        <v>60</v>
      </c>
      <c r="D101" s="22"/>
      <c r="E101" s="23"/>
      <c r="F101" s="22"/>
      <c r="G101" s="23"/>
      <c r="H101" s="22"/>
      <c r="I101" s="23"/>
      <c r="J101" s="22"/>
      <c r="K101" s="23"/>
      <c r="L101" s="22"/>
      <c r="M101" s="23"/>
      <c r="N101" s="22"/>
      <c r="O101" s="23"/>
      <c r="P101" s="22"/>
      <c r="Q101" s="23"/>
      <c r="R101" s="22"/>
      <c r="S101" s="23"/>
      <c r="T101" s="22"/>
    </row>
    <row r="102" spans="2:20">
      <c r="B102" s="7" t="s">
        <v>53</v>
      </c>
      <c r="C102" s="12" t="s">
        <v>54</v>
      </c>
      <c r="D102" s="22"/>
      <c r="E102" s="23"/>
      <c r="F102" s="22"/>
      <c r="G102" s="23"/>
      <c r="H102" s="22"/>
      <c r="I102" s="23"/>
      <c r="J102" s="22"/>
      <c r="K102" s="23"/>
      <c r="L102" s="22"/>
      <c r="M102" s="23"/>
      <c r="N102" s="22"/>
      <c r="O102" s="23"/>
      <c r="P102" s="22"/>
      <c r="Q102" s="23"/>
      <c r="R102" s="22"/>
      <c r="S102" s="23"/>
      <c r="T102" s="22"/>
    </row>
    <row r="103" spans="2:20">
      <c r="B103" s="7" t="s">
        <v>255</v>
      </c>
      <c r="C103" s="12" t="s">
        <v>61</v>
      </c>
      <c r="D103" s="22"/>
      <c r="E103" s="23"/>
      <c r="F103" s="22"/>
      <c r="G103" s="23"/>
      <c r="H103" s="22"/>
      <c r="I103" s="23"/>
      <c r="J103" s="22"/>
      <c r="K103" s="23"/>
      <c r="L103" s="22"/>
      <c r="M103" s="23"/>
      <c r="N103" s="22"/>
      <c r="O103" s="23"/>
      <c r="P103" s="22"/>
      <c r="Q103" s="23"/>
      <c r="R103" s="22"/>
      <c r="S103" s="23"/>
      <c r="T103" s="22"/>
    </row>
    <row r="104" spans="2:20">
      <c r="B104" s="7" t="s">
        <v>62</v>
      </c>
      <c r="C104" s="12" t="s">
        <v>340</v>
      </c>
      <c r="D104" s="22"/>
      <c r="E104" s="23"/>
      <c r="F104" s="22"/>
      <c r="G104" s="23"/>
      <c r="H104" s="22"/>
      <c r="I104" s="23"/>
      <c r="J104" s="22"/>
      <c r="K104" s="23"/>
      <c r="L104" s="22"/>
      <c r="M104" s="23"/>
      <c r="N104" s="22"/>
      <c r="O104" s="23"/>
      <c r="P104" s="22"/>
      <c r="Q104" s="23"/>
      <c r="R104" s="22"/>
      <c r="S104" s="23"/>
      <c r="T104" s="22"/>
    </row>
    <row r="105" spans="2:20">
      <c r="B105" s="7" t="s">
        <v>126</v>
      </c>
      <c r="C105" s="12" t="s">
        <v>170</v>
      </c>
      <c r="D105" s="22"/>
      <c r="E105" s="23"/>
      <c r="F105" s="22"/>
      <c r="G105" s="23"/>
      <c r="H105" s="22"/>
      <c r="I105" s="23"/>
      <c r="J105" s="22"/>
      <c r="K105" s="23"/>
      <c r="L105" s="22"/>
      <c r="M105" s="23"/>
      <c r="N105" s="22"/>
      <c r="O105" s="23"/>
      <c r="P105" s="22"/>
      <c r="Q105" s="23"/>
      <c r="R105" s="22"/>
      <c r="S105" s="23"/>
      <c r="T105" s="22"/>
    </row>
    <row r="106" spans="2:20">
      <c r="B106" s="9" t="s">
        <v>63</v>
      </c>
      <c r="C106" s="12" t="s">
        <v>341</v>
      </c>
      <c r="D106" s="22"/>
      <c r="E106" s="23"/>
      <c r="F106" s="22"/>
      <c r="G106" s="23"/>
      <c r="H106" s="22"/>
      <c r="I106" s="23"/>
      <c r="J106" s="22"/>
      <c r="K106" s="23"/>
      <c r="L106" s="22"/>
      <c r="M106" s="23"/>
      <c r="N106" s="22"/>
      <c r="O106" s="23"/>
      <c r="P106" s="22"/>
      <c r="Q106" s="23"/>
      <c r="R106" s="22"/>
      <c r="S106" s="23"/>
      <c r="T106" s="22"/>
    </row>
    <row r="107" spans="2:20">
      <c r="B107" s="9" t="s">
        <v>64</v>
      </c>
      <c r="C107" s="12" t="s">
        <v>65</v>
      </c>
      <c r="D107" s="22"/>
      <c r="E107" s="23"/>
      <c r="F107" s="22"/>
      <c r="G107" s="23"/>
      <c r="H107" s="22"/>
      <c r="I107" s="23"/>
      <c r="J107" s="22"/>
      <c r="K107" s="23"/>
      <c r="L107" s="22"/>
      <c r="M107" s="23"/>
      <c r="N107" s="22"/>
      <c r="O107" s="23"/>
      <c r="P107" s="22"/>
      <c r="Q107" s="23"/>
      <c r="R107" s="22"/>
      <c r="S107" s="23"/>
      <c r="T107" s="22"/>
    </row>
    <row r="108" spans="2:20">
      <c r="B108" s="9" t="s">
        <v>66</v>
      </c>
      <c r="C108" s="12" t="s">
        <v>67</v>
      </c>
      <c r="D108" s="22"/>
      <c r="E108" s="23"/>
      <c r="F108" s="22"/>
      <c r="G108" s="23"/>
      <c r="H108" s="22"/>
      <c r="I108" s="23"/>
      <c r="J108" s="22"/>
      <c r="K108" s="23"/>
      <c r="L108" s="22"/>
      <c r="M108" s="23"/>
      <c r="N108" s="22"/>
      <c r="O108" s="23"/>
      <c r="P108" s="22"/>
      <c r="Q108" s="23"/>
      <c r="R108" s="22"/>
      <c r="S108" s="23"/>
      <c r="T108" s="22"/>
    </row>
    <row r="109" spans="2:20">
      <c r="B109" s="9" t="s">
        <v>68</v>
      </c>
      <c r="C109" s="12" t="s">
        <v>69</v>
      </c>
      <c r="D109" s="22"/>
      <c r="E109" s="23"/>
      <c r="F109" s="22"/>
      <c r="G109" s="23"/>
      <c r="H109" s="22"/>
      <c r="I109" s="23"/>
      <c r="J109" s="22"/>
      <c r="K109" s="23"/>
      <c r="L109" s="22"/>
      <c r="M109" s="23"/>
      <c r="N109" s="22"/>
      <c r="O109" s="23"/>
      <c r="P109" s="22"/>
      <c r="Q109" s="23"/>
      <c r="R109" s="22"/>
      <c r="S109" s="23"/>
      <c r="T109" s="22"/>
    </row>
    <row r="110" spans="2:20">
      <c r="B110" s="9" t="s">
        <v>70</v>
      </c>
      <c r="C110" s="12" t="s">
        <v>71</v>
      </c>
      <c r="D110" s="22"/>
      <c r="E110" s="23"/>
      <c r="F110" s="22"/>
      <c r="G110" s="23"/>
      <c r="H110" s="22"/>
      <c r="I110" s="23"/>
      <c r="J110" s="22"/>
      <c r="K110" s="23"/>
      <c r="L110" s="22"/>
      <c r="M110" s="23"/>
      <c r="N110" s="22"/>
      <c r="O110" s="23"/>
      <c r="P110" s="22"/>
      <c r="Q110" s="23"/>
      <c r="R110" s="22"/>
      <c r="S110" s="23"/>
      <c r="T110" s="22"/>
    </row>
    <row r="111" spans="2:20">
      <c r="B111" s="9" t="s">
        <v>72</v>
      </c>
      <c r="C111" s="12" t="s">
        <v>73</v>
      </c>
      <c r="D111" s="22"/>
      <c r="E111" s="23"/>
      <c r="F111" s="22"/>
      <c r="G111" s="23"/>
      <c r="H111" s="22"/>
      <c r="I111" s="23"/>
      <c r="J111" s="22"/>
      <c r="K111" s="23"/>
      <c r="L111" s="22"/>
      <c r="M111" s="23"/>
      <c r="N111" s="22"/>
      <c r="O111" s="23"/>
      <c r="P111" s="22"/>
      <c r="Q111" s="23"/>
      <c r="R111" s="22"/>
      <c r="S111" s="23"/>
      <c r="T111" s="22"/>
    </row>
    <row r="112" spans="2:20">
      <c r="B112" s="9" t="s">
        <v>129</v>
      </c>
      <c r="C112" s="12" t="s">
        <v>179</v>
      </c>
      <c r="D112" s="24"/>
      <c r="E112" s="25"/>
      <c r="F112" s="24"/>
      <c r="G112" s="25"/>
      <c r="H112" s="24"/>
      <c r="I112" s="25"/>
      <c r="J112" s="24"/>
      <c r="K112" s="25"/>
      <c r="L112" s="24"/>
      <c r="M112" s="25"/>
      <c r="N112" s="24"/>
      <c r="O112" s="25"/>
      <c r="P112" s="24"/>
      <c r="Q112" s="25"/>
      <c r="R112" s="24"/>
      <c r="S112" s="25"/>
      <c r="T112" s="24"/>
    </row>
    <row r="113" spans="2:20">
      <c r="B113" s="9" t="s">
        <v>75</v>
      </c>
      <c r="C113" s="12" t="s">
        <v>76</v>
      </c>
      <c r="D113" s="22"/>
      <c r="E113" s="23"/>
      <c r="F113" s="22"/>
      <c r="G113" s="23"/>
      <c r="H113" s="22"/>
      <c r="I113" s="23"/>
      <c r="J113" s="22"/>
      <c r="K113" s="23"/>
      <c r="L113" s="22"/>
      <c r="M113" s="23"/>
      <c r="N113" s="22"/>
      <c r="O113" s="23"/>
      <c r="P113" s="22"/>
      <c r="Q113" s="23"/>
      <c r="R113" s="22"/>
      <c r="S113" s="23"/>
      <c r="T113" s="22"/>
    </row>
    <row r="114" spans="2:20">
      <c r="B114" s="9" t="s">
        <v>77</v>
      </c>
      <c r="C114" s="12" t="s">
        <v>78</v>
      </c>
      <c r="D114" s="22"/>
      <c r="E114" s="23"/>
      <c r="F114" s="22"/>
      <c r="G114" s="23"/>
      <c r="H114" s="22"/>
      <c r="I114" s="23"/>
      <c r="J114" s="22"/>
      <c r="K114" s="23"/>
      <c r="L114" s="22"/>
      <c r="M114" s="23"/>
      <c r="N114" s="22"/>
      <c r="O114" s="23"/>
      <c r="P114" s="22"/>
      <c r="Q114" s="23"/>
      <c r="R114" s="22"/>
      <c r="S114" s="23"/>
      <c r="T114" s="22"/>
    </row>
    <row r="115" spans="2:20">
      <c r="B115" s="9" t="s">
        <v>79</v>
      </c>
      <c r="C115" s="12" t="s">
        <v>151</v>
      </c>
      <c r="D115" s="22"/>
      <c r="E115" s="23"/>
      <c r="F115" s="22"/>
      <c r="G115" s="23"/>
      <c r="H115" s="22"/>
      <c r="I115" s="23"/>
      <c r="J115" s="22"/>
      <c r="K115" s="23"/>
      <c r="L115" s="22"/>
      <c r="M115" s="23"/>
      <c r="N115" s="22"/>
      <c r="O115" s="23"/>
      <c r="P115" s="22"/>
      <c r="Q115" s="23"/>
      <c r="R115" s="22"/>
      <c r="S115" s="23"/>
      <c r="T115" s="22"/>
    </row>
    <row r="116" spans="2:20">
      <c r="B116" s="9" t="s">
        <v>80</v>
      </c>
      <c r="C116" s="12" t="s">
        <v>81</v>
      </c>
      <c r="D116" s="22"/>
      <c r="E116" s="23"/>
      <c r="F116" s="22"/>
      <c r="G116" s="23"/>
      <c r="H116" s="22"/>
      <c r="I116" s="23"/>
      <c r="J116" s="22"/>
      <c r="K116" s="23"/>
      <c r="L116" s="22"/>
      <c r="M116" s="23"/>
      <c r="N116" s="22"/>
      <c r="O116" s="23"/>
      <c r="P116" s="22"/>
      <c r="Q116" s="23"/>
      <c r="R116" s="22"/>
      <c r="S116" s="23"/>
      <c r="T116" s="22"/>
    </row>
    <row r="117" spans="2:20">
      <c r="B117" s="9" t="s">
        <v>82</v>
      </c>
      <c r="C117" s="12" t="s">
        <v>83</v>
      </c>
      <c r="D117" s="22"/>
      <c r="E117" s="23"/>
      <c r="F117" s="22"/>
      <c r="G117" s="23"/>
      <c r="H117" s="22"/>
      <c r="I117" s="23"/>
      <c r="J117" s="22"/>
      <c r="K117" s="23"/>
      <c r="L117" s="22"/>
      <c r="M117" s="23"/>
      <c r="N117" s="22"/>
      <c r="O117" s="23"/>
      <c r="P117" s="22"/>
      <c r="Q117" s="23"/>
      <c r="R117" s="22"/>
      <c r="S117" s="23"/>
      <c r="T117" s="22"/>
    </row>
    <row r="118" spans="2:20">
      <c r="B118" s="9" t="s">
        <v>84</v>
      </c>
      <c r="C118" s="12" t="s">
        <v>85</v>
      </c>
      <c r="D118" s="24"/>
      <c r="E118" s="25"/>
      <c r="F118" s="24"/>
      <c r="G118" s="25"/>
      <c r="H118" s="24"/>
      <c r="I118" s="25"/>
      <c r="J118" s="24"/>
      <c r="K118" s="25"/>
      <c r="L118" s="24"/>
      <c r="M118" s="25"/>
      <c r="N118" s="24"/>
      <c r="O118" s="25"/>
      <c r="P118" s="24"/>
      <c r="Q118" s="25"/>
      <c r="R118" s="24"/>
      <c r="S118" s="25"/>
      <c r="T118" s="24"/>
    </row>
    <row r="119" spans="2:20">
      <c r="B119" s="9" t="s">
        <v>86</v>
      </c>
      <c r="C119" s="12" t="s">
        <v>342</v>
      </c>
      <c r="D119" s="22"/>
      <c r="E119" s="23"/>
      <c r="F119" s="22"/>
      <c r="G119" s="23"/>
      <c r="H119" s="22"/>
      <c r="I119" s="23"/>
      <c r="J119" s="22"/>
      <c r="K119" s="23"/>
      <c r="L119" s="22"/>
      <c r="M119" s="23"/>
      <c r="N119" s="22"/>
      <c r="O119" s="23"/>
      <c r="P119" s="22"/>
      <c r="Q119" s="23"/>
      <c r="R119" s="22"/>
      <c r="S119" s="23"/>
      <c r="T119" s="22"/>
    </row>
    <row r="120" spans="2:20">
      <c r="B120" s="9" t="s">
        <v>130</v>
      </c>
      <c r="C120" s="12" t="s">
        <v>180</v>
      </c>
      <c r="D120" s="22"/>
      <c r="E120" s="23"/>
      <c r="F120" s="22"/>
      <c r="G120" s="23"/>
      <c r="H120" s="22"/>
      <c r="I120" s="23"/>
      <c r="J120" s="22"/>
      <c r="K120" s="23"/>
      <c r="L120" s="22"/>
      <c r="M120" s="23"/>
      <c r="N120" s="22"/>
      <c r="O120" s="23"/>
      <c r="P120" s="22"/>
      <c r="Q120" s="23"/>
      <c r="R120" s="22"/>
      <c r="S120" s="23"/>
      <c r="T120" s="22"/>
    </row>
    <row r="121" spans="2:20">
      <c r="B121" s="9" t="s">
        <v>87</v>
      </c>
      <c r="C121" s="12" t="s">
        <v>88</v>
      </c>
      <c r="D121" s="22"/>
      <c r="E121" s="23"/>
      <c r="F121" s="22"/>
      <c r="G121" s="23"/>
      <c r="H121" s="22"/>
      <c r="I121" s="23"/>
      <c r="J121" s="22"/>
      <c r="K121" s="23"/>
      <c r="L121" s="22"/>
      <c r="M121" s="23"/>
      <c r="N121" s="22"/>
      <c r="O121" s="23"/>
      <c r="P121" s="22"/>
      <c r="Q121" s="23"/>
      <c r="R121" s="22"/>
      <c r="S121" s="23"/>
      <c r="T121" s="22"/>
    </row>
    <row r="122" spans="2:20">
      <c r="B122" s="9" t="s">
        <v>89</v>
      </c>
      <c r="C122" s="12" t="s">
        <v>90</v>
      </c>
      <c r="D122" s="22"/>
      <c r="E122" s="23"/>
      <c r="F122" s="22"/>
      <c r="G122" s="23"/>
      <c r="H122" s="22"/>
      <c r="I122" s="23"/>
      <c r="J122" s="22"/>
      <c r="K122" s="23"/>
      <c r="L122" s="22"/>
      <c r="M122" s="23"/>
      <c r="N122" s="22"/>
      <c r="O122" s="23"/>
      <c r="P122" s="22"/>
      <c r="Q122" s="23"/>
      <c r="R122" s="22"/>
      <c r="S122" s="23"/>
      <c r="T122" s="22"/>
    </row>
    <row r="123" spans="2:20">
      <c r="B123" s="9" t="s">
        <v>91</v>
      </c>
      <c r="C123" s="12" t="s">
        <v>92</v>
      </c>
      <c r="D123" s="22"/>
      <c r="E123" s="23"/>
      <c r="F123" s="22"/>
      <c r="G123" s="23"/>
      <c r="H123" s="22"/>
      <c r="I123" s="23"/>
      <c r="J123" s="22"/>
      <c r="K123" s="23"/>
      <c r="L123" s="22"/>
      <c r="M123" s="23"/>
      <c r="N123" s="22"/>
      <c r="O123" s="23"/>
      <c r="P123" s="22"/>
      <c r="Q123" s="23"/>
      <c r="R123" s="22"/>
      <c r="S123" s="23"/>
      <c r="T123" s="22"/>
    </row>
    <row r="124" spans="2:20">
      <c r="B124" s="9" t="s">
        <v>93</v>
      </c>
      <c r="C124" s="12" t="s">
        <v>94</v>
      </c>
      <c r="D124" s="24"/>
      <c r="E124" s="25"/>
      <c r="F124" s="24"/>
      <c r="G124" s="25"/>
      <c r="H124" s="24"/>
      <c r="I124" s="25"/>
      <c r="J124" s="24"/>
      <c r="K124" s="25"/>
      <c r="L124" s="24"/>
      <c r="M124" s="25"/>
      <c r="N124" s="24"/>
      <c r="O124" s="25"/>
      <c r="P124" s="24"/>
      <c r="Q124" s="25"/>
      <c r="R124" s="24"/>
      <c r="S124" s="25"/>
      <c r="T124" s="24"/>
    </row>
    <row r="125" spans="2:20">
      <c r="B125" s="9" t="s">
        <v>95</v>
      </c>
      <c r="C125" s="12" t="s">
        <v>96</v>
      </c>
      <c r="D125" s="24"/>
      <c r="E125" s="25"/>
      <c r="F125" s="24"/>
      <c r="G125" s="25"/>
      <c r="H125" s="24"/>
      <c r="I125" s="25"/>
      <c r="J125" s="24"/>
      <c r="K125" s="25"/>
      <c r="L125" s="24"/>
      <c r="M125" s="25"/>
      <c r="N125" s="24"/>
      <c r="O125" s="25"/>
      <c r="P125" s="24"/>
      <c r="Q125" s="25"/>
      <c r="R125" s="24"/>
      <c r="S125" s="25"/>
      <c r="T125" s="24"/>
    </row>
    <row r="126" spans="2:20">
      <c r="B126" s="9" t="s">
        <v>97</v>
      </c>
      <c r="C126" s="12" t="s">
        <v>98</v>
      </c>
      <c r="D126" s="24"/>
      <c r="E126" s="25"/>
      <c r="F126" s="24"/>
      <c r="G126" s="25"/>
      <c r="H126" s="24"/>
      <c r="I126" s="25"/>
      <c r="J126" s="24"/>
      <c r="K126" s="25"/>
      <c r="L126" s="24"/>
      <c r="M126" s="25"/>
      <c r="N126" s="24"/>
      <c r="O126" s="25"/>
      <c r="P126" s="24"/>
      <c r="Q126" s="25"/>
      <c r="R126" s="24"/>
      <c r="S126" s="25"/>
      <c r="T126" s="24"/>
    </row>
    <row r="127" spans="2:20">
      <c r="B127" s="9" t="s">
        <v>100</v>
      </c>
      <c r="C127" s="12" t="s">
        <v>101</v>
      </c>
      <c r="D127" s="24"/>
      <c r="E127" s="25"/>
      <c r="F127" s="24"/>
      <c r="G127" s="25"/>
      <c r="H127" s="24"/>
      <c r="I127" s="25"/>
      <c r="J127" s="24"/>
      <c r="K127" s="25"/>
      <c r="L127" s="24"/>
      <c r="M127" s="25"/>
      <c r="N127" s="24"/>
      <c r="O127" s="25"/>
      <c r="P127" s="24"/>
      <c r="Q127" s="25"/>
      <c r="R127" s="24"/>
      <c r="S127" s="25"/>
      <c r="T127" s="24"/>
    </row>
    <row r="128" spans="2:20">
      <c r="B128" s="9" t="s">
        <v>102</v>
      </c>
      <c r="C128" s="12" t="s">
        <v>103</v>
      </c>
      <c r="D128" s="24"/>
      <c r="E128" s="25"/>
      <c r="F128" s="24"/>
      <c r="G128" s="25"/>
      <c r="H128" s="24"/>
      <c r="I128" s="25"/>
      <c r="J128" s="24"/>
      <c r="K128" s="25"/>
      <c r="L128" s="24"/>
      <c r="M128" s="25"/>
      <c r="N128" s="24"/>
      <c r="O128" s="25"/>
      <c r="P128" s="24"/>
      <c r="Q128" s="25"/>
      <c r="R128" s="24"/>
      <c r="S128" s="25"/>
      <c r="T128" s="24"/>
    </row>
    <row r="129" spans="2:20">
      <c r="B129" s="9" t="s">
        <v>104</v>
      </c>
      <c r="C129" s="12" t="s">
        <v>105</v>
      </c>
      <c r="D129" s="24"/>
      <c r="E129" s="25"/>
      <c r="F129" s="24"/>
      <c r="G129" s="25"/>
      <c r="H129" s="24"/>
      <c r="I129" s="25"/>
      <c r="J129" s="24"/>
      <c r="K129" s="25"/>
      <c r="L129" s="24"/>
      <c r="M129" s="25"/>
      <c r="N129" s="24"/>
      <c r="O129" s="25"/>
      <c r="P129" s="24"/>
      <c r="Q129" s="25"/>
      <c r="R129" s="24"/>
      <c r="S129" s="25"/>
      <c r="T129" s="24"/>
    </row>
    <row r="130" spans="2:20">
      <c r="B130" s="9" t="s">
        <v>106</v>
      </c>
      <c r="C130" s="12" t="s">
        <v>107</v>
      </c>
      <c r="D130" s="24"/>
      <c r="E130" s="25"/>
      <c r="F130" s="24"/>
      <c r="G130" s="25"/>
      <c r="H130" s="24"/>
      <c r="I130" s="25"/>
      <c r="J130" s="24"/>
      <c r="K130" s="25"/>
      <c r="L130" s="24"/>
      <c r="M130" s="25"/>
      <c r="N130" s="24"/>
      <c r="O130" s="25"/>
      <c r="P130" s="24"/>
      <c r="Q130" s="25"/>
      <c r="R130" s="24"/>
      <c r="S130" s="25"/>
      <c r="T130" s="24"/>
    </row>
    <row r="131" spans="2:20">
      <c r="B131" s="9" t="s">
        <v>108</v>
      </c>
      <c r="C131" s="12" t="s">
        <v>173</v>
      </c>
      <c r="D131" s="24"/>
      <c r="E131" s="25"/>
      <c r="F131" s="24"/>
      <c r="G131" s="25"/>
      <c r="H131" s="24"/>
      <c r="I131" s="25"/>
      <c r="J131" s="24"/>
      <c r="K131" s="25"/>
      <c r="L131" s="24"/>
      <c r="M131" s="25"/>
      <c r="N131" s="24"/>
      <c r="O131" s="25"/>
      <c r="P131" s="24"/>
      <c r="Q131" s="25"/>
      <c r="R131" s="24"/>
      <c r="S131" s="25"/>
      <c r="T131" s="24"/>
    </row>
    <row r="132" spans="2:20">
      <c r="B132" s="9" t="s">
        <v>109</v>
      </c>
      <c r="C132" s="12" t="s">
        <v>174</v>
      </c>
      <c r="D132" s="22"/>
      <c r="E132" s="23"/>
      <c r="F132" s="22"/>
      <c r="G132" s="23"/>
      <c r="H132" s="22"/>
      <c r="I132" s="23"/>
      <c r="J132" s="22"/>
      <c r="K132" s="23"/>
      <c r="L132" s="22"/>
      <c r="M132" s="23"/>
      <c r="N132" s="22"/>
      <c r="O132" s="23"/>
      <c r="P132" s="22"/>
      <c r="Q132" s="23"/>
      <c r="R132" s="22"/>
      <c r="S132" s="23"/>
      <c r="T132" s="22"/>
    </row>
    <row r="133" spans="2:20">
      <c r="B133" s="9" t="s">
        <v>131</v>
      </c>
      <c r="C133" s="12" t="s">
        <v>176</v>
      </c>
      <c r="D133" s="22"/>
      <c r="E133" s="23"/>
      <c r="F133" s="22"/>
      <c r="G133" s="23"/>
      <c r="H133" s="22"/>
      <c r="I133" s="23"/>
      <c r="J133" s="22"/>
      <c r="K133" s="23"/>
      <c r="L133" s="22"/>
      <c r="M133" s="23"/>
      <c r="N133" s="22"/>
      <c r="O133" s="23"/>
      <c r="P133" s="22"/>
      <c r="Q133" s="23"/>
      <c r="R133" s="22"/>
      <c r="S133" s="23"/>
      <c r="T133" s="22"/>
    </row>
    <row r="134" spans="2:20">
      <c r="B134" s="9" t="s">
        <v>111</v>
      </c>
      <c r="C134" s="12" t="s">
        <v>112</v>
      </c>
      <c r="D134" s="22"/>
      <c r="E134" s="23"/>
      <c r="F134" s="22"/>
      <c r="G134" s="23"/>
      <c r="H134" s="22"/>
      <c r="I134" s="23"/>
      <c r="J134" s="22"/>
      <c r="K134" s="23"/>
      <c r="L134" s="22"/>
      <c r="M134" s="23"/>
      <c r="N134" s="22"/>
      <c r="O134" s="23"/>
      <c r="P134" s="22"/>
      <c r="Q134" s="23"/>
      <c r="R134" s="22"/>
      <c r="S134" s="23"/>
      <c r="T134" s="22"/>
    </row>
    <row r="135" spans="2:20">
      <c r="B135" s="9" t="s">
        <v>118</v>
      </c>
      <c r="C135" s="12" t="s">
        <v>119</v>
      </c>
      <c r="D135" s="22"/>
      <c r="E135" s="23"/>
      <c r="F135" s="22"/>
      <c r="G135" s="23"/>
      <c r="H135" s="22"/>
      <c r="I135" s="23"/>
      <c r="J135" s="22"/>
      <c r="K135" s="23"/>
      <c r="L135" s="22"/>
      <c r="M135" s="23"/>
      <c r="N135" s="22"/>
      <c r="O135" s="23"/>
      <c r="P135" s="22"/>
      <c r="Q135" s="23"/>
      <c r="R135" s="22"/>
      <c r="S135" s="23"/>
      <c r="T135" s="22"/>
    </row>
    <row r="136" spans="2:20">
      <c r="B136" s="9" t="s">
        <v>152</v>
      </c>
      <c r="C136" s="12" t="s">
        <v>177</v>
      </c>
      <c r="D136" s="24"/>
      <c r="E136" s="25"/>
      <c r="F136" s="24"/>
      <c r="G136" s="25"/>
      <c r="H136" s="24"/>
      <c r="I136" s="25"/>
      <c r="J136" s="24"/>
      <c r="K136" s="25"/>
      <c r="L136" s="24"/>
      <c r="M136" s="25"/>
      <c r="N136" s="24"/>
      <c r="O136" s="25"/>
      <c r="P136" s="24"/>
      <c r="Q136" s="25"/>
      <c r="R136" s="24"/>
      <c r="S136" s="25"/>
      <c r="T136" s="24"/>
    </row>
    <row r="137" spans="2:20">
      <c r="B137" s="9" t="s">
        <v>132</v>
      </c>
      <c r="C137" s="12" t="s">
        <v>120</v>
      </c>
      <c r="D137" s="24"/>
      <c r="E137" s="25"/>
      <c r="F137" s="24"/>
      <c r="G137" s="25"/>
      <c r="H137" s="24"/>
      <c r="I137" s="25"/>
      <c r="J137" s="24"/>
      <c r="K137" s="25"/>
      <c r="L137" s="24"/>
      <c r="M137" s="25"/>
      <c r="N137" s="24"/>
      <c r="O137" s="25"/>
      <c r="P137" s="24"/>
      <c r="Q137" s="25"/>
      <c r="R137" s="24"/>
      <c r="S137" s="25"/>
      <c r="T137" s="24"/>
    </row>
    <row r="138" spans="2:20">
      <c r="B138" s="9" t="s">
        <v>133</v>
      </c>
      <c r="C138" s="12" t="s">
        <v>178</v>
      </c>
      <c r="D138" s="22"/>
      <c r="E138" s="23"/>
      <c r="F138" s="22"/>
      <c r="G138" s="23"/>
      <c r="H138" s="22"/>
      <c r="I138" s="23"/>
      <c r="J138" s="22"/>
      <c r="K138" s="23"/>
      <c r="L138" s="22"/>
      <c r="M138" s="23"/>
      <c r="N138" s="22"/>
      <c r="O138" s="23"/>
      <c r="P138" s="22"/>
      <c r="Q138" s="23"/>
      <c r="R138" s="22"/>
      <c r="S138" s="23"/>
      <c r="T138" s="22"/>
    </row>
    <row r="139" spans="2:20">
      <c r="B139" s="9" t="s">
        <v>0</v>
      </c>
      <c r="C139" s="12" t="s">
        <v>134</v>
      </c>
      <c r="D139" s="22"/>
      <c r="E139" s="23"/>
      <c r="F139" s="22"/>
      <c r="G139" s="23"/>
      <c r="H139" s="22"/>
      <c r="I139" s="23"/>
      <c r="J139" s="22"/>
      <c r="K139" s="23"/>
      <c r="L139" s="22"/>
      <c r="M139" s="23"/>
      <c r="N139" s="22"/>
      <c r="O139" s="23"/>
      <c r="P139" s="22"/>
      <c r="Q139" s="23"/>
      <c r="R139" s="22"/>
      <c r="S139" s="23"/>
      <c r="T139" s="22"/>
    </row>
    <row r="140" spans="2:20">
      <c r="B140" s="9" t="s">
        <v>135</v>
      </c>
      <c r="C140" s="12" t="s">
        <v>136</v>
      </c>
      <c r="D140" s="22"/>
      <c r="E140" s="23"/>
      <c r="F140" s="22"/>
      <c r="G140" s="23"/>
      <c r="H140" s="22"/>
      <c r="I140" s="23"/>
      <c r="J140" s="22"/>
      <c r="K140" s="23"/>
      <c r="L140" s="22"/>
      <c r="M140" s="23"/>
      <c r="N140" s="22"/>
      <c r="O140" s="23"/>
      <c r="P140" s="22"/>
      <c r="Q140" s="23"/>
      <c r="R140" s="22"/>
      <c r="S140" s="23"/>
      <c r="T140" s="22"/>
    </row>
    <row r="141" spans="2:20">
      <c r="B141" s="9" t="s">
        <v>137</v>
      </c>
      <c r="C141" s="12" t="s">
        <v>138</v>
      </c>
      <c r="D141" s="22"/>
      <c r="E141" s="23"/>
      <c r="F141" s="22"/>
      <c r="G141" s="23"/>
      <c r="H141" s="22"/>
      <c r="I141" s="23"/>
      <c r="J141" s="22"/>
      <c r="K141" s="23"/>
      <c r="L141" s="22"/>
      <c r="M141" s="23"/>
      <c r="N141" s="22"/>
      <c r="O141" s="23"/>
      <c r="P141" s="22"/>
      <c r="Q141" s="23"/>
      <c r="R141" s="22"/>
      <c r="S141" s="23"/>
      <c r="T141" s="22"/>
    </row>
    <row r="142" spans="2:20">
      <c r="B142" s="9" t="s">
        <v>116</v>
      </c>
      <c r="C142" s="12" t="s">
        <v>139</v>
      </c>
    </row>
    <row r="143" spans="2:20">
      <c r="B143" s="9" t="s">
        <v>113</v>
      </c>
      <c r="C143" s="12" t="s">
        <v>140</v>
      </c>
    </row>
    <row r="144" spans="2:20">
      <c r="B144" s="9" t="s">
        <v>141</v>
      </c>
      <c r="C144" s="12" t="s">
        <v>142</v>
      </c>
    </row>
    <row r="145" spans="2:22">
      <c r="B145" s="9" t="s">
        <v>121</v>
      </c>
      <c r="C145" s="12" t="s">
        <v>143</v>
      </c>
    </row>
    <row r="146" spans="2:22">
      <c r="B146" s="9" t="s">
        <v>144</v>
      </c>
      <c r="C146" s="12" t="s">
        <v>145</v>
      </c>
    </row>
    <row r="147" spans="2:22">
      <c r="B147" s="9" t="s">
        <v>122</v>
      </c>
      <c r="C147" s="12" t="s">
        <v>146</v>
      </c>
    </row>
    <row r="148" spans="2:22">
      <c r="B148" s="9" t="s">
        <v>123</v>
      </c>
      <c r="C148" s="12" t="s">
        <v>147</v>
      </c>
    </row>
    <row r="149" spans="2:22">
      <c r="B149" s="9" t="s">
        <v>329</v>
      </c>
      <c r="C149" s="12" t="s">
        <v>148</v>
      </c>
    </row>
    <row r="150" spans="2:22">
      <c r="B150" s="9" t="s">
        <v>125</v>
      </c>
      <c r="C150" s="12" t="s">
        <v>149</v>
      </c>
    </row>
    <row r="151" spans="2:22">
      <c r="B151" s="11" t="s">
        <v>266</v>
      </c>
      <c r="C151" s="11" t="s">
        <v>267</v>
      </c>
    </row>
    <row r="154" spans="2:22">
      <c r="B154" s="293" t="s">
        <v>256</v>
      </c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</row>
    <row r="158" spans="2:22">
      <c r="C158" s="11">
        <v>2006</v>
      </c>
      <c r="E158" s="11">
        <v>2007</v>
      </c>
      <c r="G158" s="11">
        <v>2008</v>
      </c>
      <c r="I158" s="11">
        <v>2009</v>
      </c>
      <c r="K158" s="11">
        <v>2010</v>
      </c>
      <c r="M158" s="11">
        <v>2011</v>
      </c>
      <c r="O158" s="11">
        <v>2012</v>
      </c>
      <c r="Q158" s="11">
        <v>2013</v>
      </c>
      <c r="S158" s="11">
        <v>2014</v>
      </c>
      <c r="U158" s="11">
        <v>2015</v>
      </c>
    </row>
    <row r="159" spans="2:22">
      <c r="B159" s="11" t="s">
        <v>259</v>
      </c>
      <c r="C159" s="11" t="s">
        <v>263</v>
      </c>
      <c r="D159" s="11" t="s">
        <v>153</v>
      </c>
      <c r="E159" s="11" t="s">
        <v>263</v>
      </c>
      <c r="F159" s="11" t="s">
        <v>153</v>
      </c>
      <c r="G159" s="11" t="s">
        <v>263</v>
      </c>
      <c r="H159" s="11" t="s">
        <v>153</v>
      </c>
      <c r="I159" s="11" t="s">
        <v>263</v>
      </c>
      <c r="J159" s="11" t="s">
        <v>153</v>
      </c>
      <c r="K159" s="11" t="s">
        <v>263</v>
      </c>
      <c r="L159" s="11" t="s">
        <v>153</v>
      </c>
      <c r="M159" s="11" t="s">
        <v>263</v>
      </c>
      <c r="N159" s="11" t="s">
        <v>153</v>
      </c>
      <c r="O159" s="11" t="s">
        <v>263</v>
      </c>
      <c r="P159" s="11" t="s">
        <v>153</v>
      </c>
      <c r="Q159" s="11" t="s">
        <v>263</v>
      </c>
      <c r="R159" s="11" t="s">
        <v>153</v>
      </c>
      <c r="S159" s="11" t="s">
        <v>263</v>
      </c>
      <c r="T159" s="11" t="s">
        <v>153</v>
      </c>
      <c r="U159" s="11" t="s">
        <v>263</v>
      </c>
      <c r="V159" s="1" t="s">
        <v>153</v>
      </c>
    </row>
    <row r="160" spans="2:22">
      <c r="B160" s="11" t="s">
        <v>258</v>
      </c>
      <c r="C160" s="11" t="s">
        <v>263</v>
      </c>
      <c r="D160" s="11" t="s">
        <v>257</v>
      </c>
      <c r="E160" s="11" t="s">
        <v>263</v>
      </c>
      <c r="F160" s="11" t="s">
        <v>257</v>
      </c>
      <c r="G160" s="11" t="s">
        <v>263</v>
      </c>
      <c r="H160" s="11" t="s">
        <v>257</v>
      </c>
      <c r="I160" s="11" t="s">
        <v>263</v>
      </c>
      <c r="J160" s="11" t="s">
        <v>257</v>
      </c>
      <c r="K160" s="11" t="s">
        <v>263</v>
      </c>
      <c r="L160" s="11" t="s">
        <v>257</v>
      </c>
      <c r="M160" s="11" t="s">
        <v>263</v>
      </c>
      <c r="N160" s="11" t="s">
        <v>257</v>
      </c>
      <c r="O160" s="11" t="s">
        <v>263</v>
      </c>
      <c r="P160" s="11" t="s">
        <v>257</v>
      </c>
      <c r="Q160" s="11" t="s">
        <v>263</v>
      </c>
      <c r="R160" s="11" t="s">
        <v>257</v>
      </c>
      <c r="S160" s="11" t="s">
        <v>263</v>
      </c>
      <c r="T160" s="11" t="s">
        <v>257</v>
      </c>
      <c r="U160" s="11" t="s">
        <v>263</v>
      </c>
      <c r="V160" s="1" t="s">
        <v>257</v>
      </c>
    </row>
    <row r="161" spans="2:3">
      <c r="B161" s="11" t="s">
        <v>261</v>
      </c>
      <c r="C161" s="11" t="s">
        <v>260</v>
      </c>
    </row>
    <row r="162" spans="2:3">
      <c r="B162" s="11" t="s">
        <v>128</v>
      </c>
      <c r="C162" s="11" t="s">
        <v>1</v>
      </c>
    </row>
    <row r="163" spans="2:3">
      <c r="B163" s="11" t="s">
        <v>2</v>
      </c>
      <c r="C163" s="11" t="s">
        <v>167</v>
      </c>
    </row>
    <row r="164" spans="2:3">
      <c r="B164" s="11" t="s">
        <v>3</v>
      </c>
      <c r="C164" s="11" t="s">
        <v>4</v>
      </c>
    </row>
    <row r="165" spans="2:3">
      <c r="B165" s="11" t="s">
        <v>5</v>
      </c>
      <c r="C165" s="11" t="s">
        <v>6</v>
      </c>
    </row>
    <row r="166" spans="2:3">
      <c r="B166" s="11" t="s">
        <v>7</v>
      </c>
      <c r="C166" s="11" t="s">
        <v>8</v>
      </c>
    </row>
    <row r="167" spans="2:3">
      <c r="B167" s="11" t="s">
        <v>9</v>
      </c>
      <c r="C167" s="11" t="s">
        <v>10</v>
      </c>
    </row>
    <row r="168" spans="2:3">
      <c r="B168" s="11" t="s">
        <v>11</v>
      </c>
      <c r="C168" s="11" t="s">
        <v>264</v>
      </c>
    </row>
    <row r="169" spans="2:3">
      <c r="B169" s="11" t="s">
        <v>12</v>
      </c>
      <c r="C169" s="11" t="s">
        <v>13</v>
      </c>
    </row>
    <row r="170" spans="2:3">
      <c r="B170" s="11" t="s">
        <v>14</v>
      </c>
      <c r="C170" s="11" t="s">
        <v>15</v>
      </c>
    </row>
    <row r="171" spans="2:3">
      <c r="B171" s="11" t="s">
        <v>16</v>
      </c>
      <c r="C171" s="11" t="s">
        <v>18</v>
      </c>
    </row>
    <row r="172" spans="2:3">
      <c r="B172" s="11" t="s">
        <v>19</v>
      </c>
      <c r="C172" s="11" t="s">
        <v>20</v>
      </c>
    </row>
    <row r="173" spans="2:3">
      <c r="B173" s="11" t="s">
        <v>21</v>
      </c>
      <c r="C173" s="11" t="s">
        <v>22</v>
      </c>
    </row>
    <row r="174" spans="2:3">
      <c r="B174" s="11" t="s">
        <v>23</v>
      </c>
      <c r="C174" s="11" t="s">
        <v>24</v>
      </c>
    </row>
    <row r="175" spans="2:3">
      <c r="B175" s="11" t="s">
        <v>25</v>
      </c>
      <c r="C175" s="11" t="s">
        <v>26</v>
      </c>
    </row>
    <row r="176" spans="2:3">
      <c r="B176" s="11" t="s">
        <v>27</v>
      </c>
      <c r="C176" s="11" t="s">
        <v>28</v>
      </c>
    </row>
    <row r="177" spans="2:3">
      <c r="B177" s="11" t="s">
        <v>29</v>
      </c>
      <c r="C177" s="11" t="s">
        <v>30</v>
      </c>
    </row>
    <row r="178" spans="2:3">
      <c r="B178" s="11" t="s">
        <v>31</v>
      </c>
      <c r="C178" s="11" t="s">
        <v>175</v>
      </c>
    </row>
    <row r="179" spans="2:3">
      <c r="B179" s="11" t="s">
        <v>32</v>
      </c>
      <c r="C179" s="11" t="s">
        <v>33</v>
      </c>
    </row>
    <row r="180" spans="2:3">
      <c r="B180" s="11" t="s">
        <v>34</v>
      </c>
      <c r="C180" s="11" t="s">
        <v>268</v>
      </c>
    </row>
    <row r="181" spans="2:3">
      <c r="B181" s="11" t="s">
        <v>36</v>
      </c>
      <c r="C181" s="11" t="s">
        <v>273</v>
      </c>
    </row>
    <row r="182" spans="2:3">
      <c r="B182" s="11" t="s">
        <v>37</v>
      </c>
      <c r="C182" s="11" t="s">
        <v>38</v>
      </c>
    </row>
    <row r="183" spans="2:3">
      <c r="B183" s="11" t="s">
        <v>39</v>
      </c>
      <c r="C183" s="11" t="s">
        <v>168</v>
      </c>
    </row>
    <row r="184" spans="2:3">
      <c r="B184" s="11" t="s">
        <v>40</v>
      </c>
      <c r="C184" s="11" t="s">
        <v>41</v>
      </c>
    </row>
    <row r="185" spans="2:3">
      <c r="B185" s="11" t="s">
        <v>42</v>
      </c>
      <c r="C185" s="11" t="s">
        <v>43</v>
      </c>
    </row>
    <row r="186" spans="2:3">
      <c r="B186" s="11" t="s">
        <v>162</v>
      </c>
      <c r="C186" s="11" t="s">
        <v>278</v>
      </c>
    </row>
    <row r="187" spans="2:3">
      <c r="B187" s="11" t="s">
        <v>44</v>
      </c>
      <c r="C187" s="11" t="s">
        <v>277</v>
      </c>
    </row>
    <row r="188" spans="2:3">
      <c r="B188" s="11" t="s">
        <v>45</v>
      </c>
      <c r="C188" s="11" t="s">
        <v>46</v>
      </c>
    </row>
    <row r="189" spans="2:3">
      <c r="B189" s="11" t="s">
        <v>47</v>
      </c>
      <c r="C189" s="11" t="s">
        <v>48</v>
      </c>
    </row>
    <row r="190" spans="2:3">
      <c r="B190" s="11" t="s">
        <v>49</v>
      </c>
      <c r="C190" s="11" t="s">
        <v>269</v>
      </c>
    </row>
    <row r="191" spans="2:3">
      <c r="B191" s="11" t="s">
        <v>50</v>
      </c>
      <c r="C191" s="11" t="s">
        <v>169</v>
      </c>
    </row>
    <row r="192" spans="2:3">
      <c r="B192" s="11" t="s">
        <v>51</v>
      </c>
      <c r="C192" s="11" t="s">
        <v>52</v>
      </c>
    </row>
    <row r="193" spans="2:3">
      <c r="B193" s="11" t="s">
        <v>53</v>
      </c>
      <c r="C193" s="11" t="s">
        <v>54</v>
      </c>
    </row>
    <row r="194" spans="2:3">
      <c r="B194" s="11" t="s">
        <v>55</v>
      </c>
      <c r="C194" s="11" t="s">
        <v>56</v>
      </c>
    </row>
    <row r="195" spans="2:3">
      <c r="B195" s="11" t="s">
        <v>57</v>
      </c>
      <c r="C195" s="11" t="s">
        <v>58</v>
      </c>
    </row>
    <row r="196" spans="2:3">
      <c r="B196" s="11" t="s">
        <v>59</v>
      </c>
      <c r="C196" s="11" t="s">
        <v>60</v>
      </c>
    </row>
    <row r="197" spans="2:3">
      <c r="B197" s="11" t="s">
        <v>53</v>
      </c>
      <c r="C197" s="11" t="s">
        <v>54</v>
      </c>
    </row>
    <row r="198" spans="2:3">
      <c r="B198" s="7" t="s">
        <v>255</v>
      </c>
      <c r="C198" s="11" t="s">
        <v>61</v>
      </c>
    </row>
    <row r="199" spans="2:3">
      <c r="B199" s="11" t="s">
        <v>123</v>
      </c>
      <c r="C199" s="11" t="s">
        <v>147</v>
      </c>
    </row>
    <row r="200" spans="2:3">
      <c r="B200" s="11" t="s">
        <v>62</v>
      </c>
      <c r="C200" s="11" t="s">
        <v>340</v>
      </c>
    </row>
    <row r="201" spans="2:3">
      <c r="B201" s="11" t="s">
        <v>262</v>
      </c>
      <c r="C201" s="11" t="s">
        <v>270</v>
      </c>
    </row>
    <row r="202" spans="2:3">
      <c r="B202" s="11" t="s">
        <v>63</v>
      </c>
      <c r="C202" s="11" t="s">
        <v>341</v>
      </c>
    </row>
    <row r="203" spans="2:3">
      <c r="B203" s="11" t="s">
        <v>64</v>
      </c>
      <c r="C203" s="11" t="s">
        <v>65</v>
      </c>
    </row>
    <row r="204" spans="2:3">
      <c r="B204" s="11" t="s">
        <v>66</v>
      </c>
      <c r="C204" s="11" t="s">
        <v>67</v>
      </c>
    </row>
    <row r="205" spans="2:3">
      <c r="B205" s="11" t="s">
        <v>68</v>
      </c>
      <c r="C205" s="11" t="s">
        <v>69</v>
      </c>
    </row>
    <row r="206" spans="2:3">
      <c r="B206" s="11" t="s">
        <v>70</v>
      </c>
      <c r="C206" s="11" t="s">
        <v>71</v>
      </c>
    </row>
    <row r="207" spans="2:3">
      <c r="B207" s="11" t="s">
        <v>72</v>
      </c>
      <c r="C207" s="11" t="s">
        <v>73</v>
      </c>
    </row>
    <row r="208" spans="2:3">
      <c r="B208" s="11" t="s">
        <v>74</v>
      </c>
      <c r="C208" s="11" t="s">
        <v>271</v>
      </c>
    </row>
    <row r="209" spans="2:3">
      <c r="B209" s="11" t="s">
        <v>75</v>
      </c>
      <c r="C209" s="11" t="s">
        <v>76</v>
      </c>
    </row>
    <row r="210" spans="2:3">
      <c r="B210" s="11" t="s">
        <v>77</v>
      </c>
      <c r="C210" s="11" t="s">
        <v>78</v>
      </c>
    </row>
    <row r="211" spans="2:3">
      <c r="B211" s="11" t="s">
        <v>79</v>
      </c>
      <c r="C211" s="11" t="s">
        <v>272</v>
      </c>
    </row>
    <row r="212" spans="2:3">
      <c r="B212" s="11" t="s">
        <v>80</v>
      </c>
      <c r="C212" s="11" t="s">
        <v>81</v>
      </c>
    </row>
    <row r="213" spans="2:3">
      <c r="B213" s="11" t="s">
        <v>82</v>
      </c>
      <c r="C213" s="11" t="s">
        <v>83</v>
      </c>
    </row>
    <row r="214" spans="2:3">
      <c r="B214" s="11" t="s">
        <v>84</v>
      </c>
      <c r="C214" s="11" t="s">
        <v>85</v>
      </c>
    </row>
    <row r="215" spans="2:3">
      <c r="B215" s="11" t="s">
        <v>86</v>
      </c>
      <c r="C215" s="11" t="s">
        <v>342</v>
      </c>
    </row>
    <row r="216" spans="2:3">
      <c r="B216" s="11" t="s">
        <v>87</v>
      </c>
      <c r="C216" s="11" t="s">
        <v>88</v>
      </c>
    </row>
    <row r="217" spans="2:3">
      <c r="B217" s="11" t="s">
        <v>89</v>
      </c>
      <c r="C217" s="11" t="s">
        <v>90</v>
      </c>
    </row>
    <row r="218" spans="2:3">
      <c r="B218" s="11" t="s">
        <v>91</v>
      </c>
      <c r="C218" s="11" t="s">
        <v>92</v>
      </c>
    </row>
    <row r="219" spans="2:3">
      <c r="B219" s="11" t="s">
        <v>93</v>
      </c>
      <c r="C219" s="11" t="s">
        <v>94</v>
      </c>
    </row>
    <row r="220" spans="2:3">
      <c r="B220" s="11" t="s">
        <v>95</v>
      </c>
      <c r="C220" s="11" t="s">
        <v>96</v>
      </c>
    </row>
    <row r="221" spans="2:3">
      <c r="B221" s="11" t="s">
        <v>97</v>
      </c>
      <c r="C221" s="11" t="s">
        <v>98</v>
      </c>
    </row>
    <row r="222" spans="2:3">
      <c r="B222" s="11" t="s">
        <v>99</v>
      </c>
      <c r="C222" s="11" t="s">
        <v>101</v>
      </c>
    </row>
    <row r="223" spans="2:3">
      <c r="B223" s="11" t="s">
        <v>102</v>
      </c>
      <c r="C223" s="11" t="s">
        <v>103</v>
      </c>
    </row>
    <row r="224" spans="2:3">
      <c r="B224" s="11" t="s">
        <v>104</v>
      </c>
      <c r="C224" s="11" t="s">
        <v>105</v>
      </c>
    </row>
    <row r="225" spans="2:3">
      <c r="B225" s="11" t="s">
        <v>106</v>
      </c>
      <c r="C225" s="11" t="s">
        <v>107</v>
      </c>
    </row>
    <row r="226" spans="2:3">
      <c r="B226" s="11" t="s">
        <v>108</v>
      </c>
      <c r="C226" s="12" t="s">
        <v>173</v>
      </c>
    </row>
    <row r="227" spans="2:3">
      <c r="B227" s="11" t="s">
        <v>109</v>
      </c>
      <c r="C227" s="12" t="s">
        <v>174</v>
      </c>
    </row>
    <row r="228" spans="2:3">
      <c r="B228" s="11" t="s">
        <v>163</v>
      </c>
      <c r="C228" s="11" t="s">
        <v>343</v>
      </c>
    </row>
    <row r="229" spans="2:3">
      <c r="B229" s="11" t="s">
        <v>110</v>
      </c>
      <c r="C229" s="12" t="s">
        <v>176</v>
      </c>
    </row>
    <row r="230" spans="2:3">
      <c r="B230" s="11" t="s">
        <v>111</v>
      </c>
      <c r="C230" s="11" t="s">
        <v>112</v>
      </c>
    </row>
    <row r="231" spans="2:3">
      <c r="B231" s="11" t="s">
        <v>113</v>
      </c>
      <c r="C231" s="11" t="s">
        <v>114</v>
      </c>
    </row>
    <row r="232" spans="2:3">
      <c r="B232" s="11" t="s">
        <v>115</v>
      </c>
      <c r="C232" s="11" t="s">
        <v>117</v>
      </c>
    </row>
    <row r="233" spans="2:3">
      <c r="B233" s="11" t="s">
        <v>118</v>
      </c>
      <c r="C233" s="11" t="s">
        <v>119</v>
      </c>
    </row>
    <row r="234" spans="2:3">
      <c r="B234" s="11" t="s">
        <v>152</v>
      </c>
      <c r="C234" s="12" t="s">
        <v>177</v>
      </c>
    </row>
    <row r="235" spans="2:3">
      <c r="B235" s="11" t="s">
        <v>265</v>
      </c>
      <c r="C235" s="11" t="s">
        <v>287</v>
      </c>
    </row>
    <row r="236" spans="2:3">
      <c r="B236" s="11" t="s">
        <v>133</v>
      </c>
      <c r="C236" s="12" t="s">
        <v>178</v>
      </c>
    </row>
    <row r="237" spans="2:3">
      <c r="B237" s="11" t="s">
        <v>0</v>
      </c>
      <c r="C237" s="12" t="s">
        <v>134</v>
      </c>
    </row>
    <row r="238" spans="2:3">
      <c r="B238" s="11" t="s">
        <v>158</v>
      </c>
      <c r="C238" s="12" t="s">
        <v>136</v>
      </c>
    </row>
    <row r="239" spans="2:3">
      <c r="B239" s="11" t="s">
        <v>159</v>
      </c>
      <c r="C239" s="12" t="s">
        <v>138</v>
      </c>
    </row>
    <row r="240" spans="2:3">
      <c r="B240" s="11" t="s">
        <v>160</v>
      </c>
      <c r="C240" s="12" t="s">
        <v>139</v>
      </c>
    </row>
    <row r="241" spans="2:21">
      <c r="B241" s="11" t="s">
        <v>113</v>
      </c>
      <c r="C241" s="12" t="s">
        <v>140</v>
      </c>
    </row>
    <row r="242" spans="2:21">
      <c r="B242" s="11" t="s">
        <v>141</v>
      </c>
      <c r="C242" s="12" t="s">
        <v>142</v>
      </c>
    </row>
    <row r="243" spans="2:21">
      <c r="B243" s="11" t="s">
        <v>121</v>
      </c>
      <c r="C243" s="12" t="s">
        <v>143</v>
      </c>
    </row>
    <row r="244" spans="2:21">
      <c r="B244" s="11" t="s">
        <v>144</v>
      </c>
      <c r="C244" s="12" t="s">
        <v>145</v>
      </c>
    </row>
    <row r="245" spans="2:21">
      <c r="B245" s="11" t="s">
        <v>122</v>
      </c>
      <c r="C245" s="12" t="s">
        <v>146</v>
      </c>
    </row>
    <row r="246" spans="2:21">
      <c r="B246" s="11" t="s">
        <v>124</v>
      </c>
      <c r="C246" s="12" t="s">
        <v>148</v>
      </c>
    </row>
    <row r="247" spans="2:21">
      <c r="B247" s="11" t="s">
        <v>123</v>
      </c>
      <c r="C247" s="5" t="s">
        <v>147</v>
      </c>
    </row>
    <row r="248" spans="2:21">
      <c r="B248" s="11" t="s">
        <v>164</v>
      </c>
      <c r="C248" s="5" t="s">
        <v>275</v>
      </c>
    </row>
    <row r="249" spans="2:21">
      <c r="B249" s="11" t="s">
        <v>165</v>
      </c>
      <c r="C249" s="5" t="s">
        <v>276</v>
      </c>
    </row>
    <row r="250" spans="2:21">
      <c r="B250" s="11" t="s">
        <v>266</v>
      </c>
      <c r="C250" s="11" t="s">
        <v>274</v>
      </c>
    </row>
    <row r="253" spans="2:21">
      <c r="B253" s="293" t="s">
        <v>279</v>
      </c>
      <c r="C253" s="293"/>
      <c r="D253" s="293"/>
      <c r="E253" s="293"/>
      <c r="F253" s="293"/>
      <c r="G253" s="293"/>
      <c r="H253" s="293"/>
      <c r="I253" s="293"/>
      <c r="J253" s="293"/>
      <c r="K253" s="293"/>
      <c r="L253" s="293"/>
      <c r="M253" s="293"/>
      <c r="N253" s="293"/>
      <c r="O253" s="293"/>
      <c r="P253" s="293"/>
      <c r="Q253" s="293"/>
      <c r="R253" s="293"/>
      <c r="S253" s="293"/>
      <c r="T253" s="293"/>
    </row>
    <row r="256" spans="2:21">
      <c r="C256" s="11">
        <v>2006</v>
      </c>
      <c r="E256" s="11">
        <v>2007</v>
      </c>
      <c r="G256" s="11">
        <v>2008</v>
      </c>
      <c r="I256" s="11">
        <v>2009</v>
      </c>
      <c r="K256" s="11">
        <v>2010</v>
      </c>
      <c r="M256" s="11">
        <v>2011</v>
      </c>
      <c r="O256" s="11">
        <v>2012</v>
      </c>
      <c r="Q256" s="11">
        <v>2013</v>
      </c>
      <c r="S256" s="11">
        <v>2014</v>
      </c>
      <c r="U256" s="11">
        <v>2015</v>
      </c>
    </row>
    <row r="257" spans="2:22">
      <c r="B257" s="11" t="s">
        <v>235</v>
      </c>
      <c r="C257" s="11" t="s">
        <v>263</v>
      </c>
      <c r="D257" s="11" t="s">
        <v>153</v>
      </c>
      <c r="E257" s="11" t="s">
        <v>263</v>
      </c>
      <c r="F257" s="11" t="s">
        <v>153</v>
      </c>
      <c r="G257" s="11" t="s">
        <v>263</v>
      </c>
      <c r="H257" s="11" t="s">
        <v>153</v>
      </c>
      <c r="I257" s="11" t="s">
        <v>263</v>
      </c>
      <c r="J257" s="11" t="s">
        <v>153</v>
      </c>
      <c r="K257" s="11" t="s">
        <v>263</v>
      </c>
      <c r="L257" s="11" t="s">
        <v>153</v>
      </c>
      <c r="M257" s="11" t="s">
        <v>263</v>
      </c>
      <c r="N257" s="11" t="s">
        <v>153</v>
      </c>
      <c r="O257" s="11" t="s">
        <v>263</v>
      </c>
      <c r="P257" s="11" t="s">
        <v>153</v>
      </c>
      <c r="Q257" s="11" t="s">
        <v>263</v>
      </c>
      <c r="R257" s="11" t="s">
        <v>153</v>
      </c>
      <c r="S257" s="11" t="s">
        <v>263</v>
      </c>
      <c r="T257" s="11" t="s">
        <v>153</v>
      </c>
      <c r="U257" s="11" t="s">
        <v>263</v>
      </c>
      <c r="V257" s="1" t="s">
        <v>153</v>
      </c>
    </row>
    <row r="258" spans="2:22">
      <c r="B258" s="11" t="s">
        <v>192</v>
      </c>
      <c r="C258" s="11" t="s">
        <v>263</v>
      </c>
      <c r="D258" s="11" t="s">
        <v>257</v>
      </c>
      <c r="E258" s="11" t="s">
        <v>263</v>
      </c>
      <c r="F258" s="11" t="s">
        <v>257</v>
      </c>
      <c r="G258" s="11" t="s">
        <v>263</v>
      </c>
      <c r="H258" s="11" t="s">
        <v>257</v>
      </c>
      <c r="I258" s="11" t="s">
        <v>263</v>
      </c>
      <c r="J258" s="11" t="s">
        <v>257</v>
      </c>
      <c r="K258" s="11" t="s">
        <v>263</v>
      </c>
      <c r="L258" s="11" t="s">
        <v>257</v>
      </c>
      <c r="M258" s="11" t="s">
        <v>263</v>
      </c>
      <c r="N258" s="11" t="s">
        <v>257</v>
      </c>
      <c r="O258" s="11" t="s">
        <v>263</v>
      </c>
      <c r="P258" s="11" t="s">
        <v>257</v>
      </c>
      <c r="Q258" s="11" t="s">
        <v>263</v>
      </c>
      <c r="R258" s="11" t="s">
        <v>257</v>
      </c>
      <c r="S258" s="11" t="s">
        <v>263</v>
      </c>
      <c r="T258" s="11" t="s">
        <v>257</v>
      </c>
      <c r="U258" s="11" t="s">
        <v>263</v>
      </c>
      <c r="V258" s="1" t="s">
        <v>257</v>
      </c>
    </row>
    <row r="259" spans="2:22">
      <c r="B259" s="11" t="s">
        <v>128</v>
      </c>
      <c r="C259" s="11" t="s">
        <v>1</v>
      </c>
    </row>
    <row r="260" spans="2:22">
      <c r="B260" s="11" t="s">
        <v>2</v>
      </c>
      <c r="C260" s="11" t="s">
        <v>167</v>
      </c>
    </row>
    <row r="261" spans="2:22">
      <c r="B261" s="11" t="s">
        <v>3</v>
      </c>
      <c r="C261" s="11" t="s">
        <v>4</v>
      </c>
    </row>
    <row r="262" spans="2:22">
      <c r="B262" s="11" t="s">
        <v>5</v>
      </c>
      <c r="C262" s="11" t="s">
        <v>6</v>
      </c>
    </row>
    <row r="263" spans="2:22">
      <c r="B263" s="11" t="s">
        <v>7</v>
      </c>
      <c r="C263" s="11" t="s">
        <v>8</v>
      </c>
    </row>
    <row r="264" spans="2:22">
      <c r="B264" s="11" t="s">
        <v>9</v>
      </c>
      <c r="C264" s="11" t="s">
        <v>10</v>
      </c>
    </row>
    <row r="265" spans="2:22">
      <c r="B265" s="11" t="s">
        <v>12</v>
      </c>
      <c r="C265" s="11" t="s">
        <v>13</v>
      </c>
    </row>
    <row r="266" spans="2:22">
      <c r="B266" s="11" t="s">
        <v>14</v>
      </c>
      <c r="C266" s="11" t="s">
        <v>15</v>
      </c>
    </row>
    <row r="267" spans="2:22">
      <c r="B267" s="11" t="s">
        <v>11</v>
      </c>
      <c r="C267" s="11" t="s">
        <v>282</v>
      </c>
    </row>
    <row r="268" spans="2:22">
      <c r="B268" s="11" t="s">
        <v>16</v>
      </c>
      <c r="C268" s="11" t="s">
        <v>18</v>
      </c>
    </row>
    <row r="269" spans="2:22">
      <c r="B269" s="11" t="s">
        <v>19</v>
      </c>
      <c r="C269" s="11" t="s">
        <v>20</v>
      </c>
    </row>
    <row r="270" spans="2:22">
      <c r="B270" s="11" t="s">
        <v>21</v>
      </c>
      <c r="C270" s="11" t="s">
        <v>22</v>
      </c>
    </row>
    <row r="271" spans="2:22">
      <c r="B271" s="11" t="s">
        <v>23</v>
      </c>
      <c r="C271" s="11" t="s">
        <v>24</v>
      </c>
    </row>
    <row r="272" spans="2:22">
      <c r="B272" s="11" t="s">
        <v>25</v>
      </c>
      <c r="C272" s="11" t="s">
        <v>26</v>
      </c>
    </row>
    <row r="273" spans="2:3">
      <c r="B273" s="11" t="s">
        <v>27</v>
      </c>
      <c r="C273" s="11" t="s">
        <v>28</v>
      </c>
    </row>
    <row r="274" spans="2:3">
      <c r="B274" s="11" t="s">
        <v>29</v>
      </c>
      <c r="C274" s="11" t="s">
        <v>30</v>
      </c>
    </row>
    <row r="275" spans="2:3">
      <c r="B275" s="11" t="s">
        <v>39</v>
      </c>
      <c r="C275" s="11" t="s">
        <v>168</v>
      </c>
    </row>
    <row r="276" spans="2:3">
      <c r="B276" s="11" t="s">
        <v>53</v>
      </c>
      <c r="C276" s="11" t="s">
        <v>54</v>
      </c>
    </row>
    <row r="277" spans="2:3">
      <c r="B277" s="7" t="s">
        <v>255</v>
      </c>
      <c r="C277" s="11" t="s">
        <v>61</v>
      </c>
    </row>
    <row r="278" spans="2:3">
      <c r="B278" s="11" t="s">
        <v>235</v>
      </c>
      <c r="C278" s="11" t="s">
        <v>283</v>
      </c>
    </row>
    <row r="279" spans="2:3">
      <c r="B279" s="11" t="s">
        <v>280</v>
      </c>
      <c r="C279" s="11" t="s">
        <v>284</v>
      </c>
    </row>
    <row r="280" spans="2:3">
      <c r="B280" s="11" t="s">
        <v>63</v>
      </c>
      <c r="C280" s="11" t="s">
        <v>341</v>
      </c>
    </row>
    <row r="281" spans="2:3">
      <c r="B281" s="11" t="s">
        <v>64</v>
      </c>
      <c r="C281" s="11" t="s">
        <v>65</v>
      </c>
    </row>
    <row r="282" spans="2:3">
      <c r="B282" s="11" t="s">
        <v>66</v>
      </c>
      <c r="C282" s="11" t="s">
        <v>67</v>
      </c>
    </row>
    <row r="283" spans="2:3">
      <c r="B283" s="11" t="s">
        <v>68</v>
      </c>
      <c r="C283" s="11" t="s">
        <v>69</v>
      </c>
    </row>
    <row r="284" spans="2:3">
      <c r="B284" s="11" t="s">
        <v>70</v>
      </c>
      <c r="C284" s="11" t="s">
        <v>71</v>
      </c>
    </row>
    <row r="285" spans="2:3">
      <c r="B285" s="11" t="s">
        <v>72</v>
      </c>
      <c r="C285" s="11" t="s">
        <v>73</v>
      </c>
    </row>
    <row r="286" spans="2:3">
      <c r="B286" s="11" t="s">
        <v>154</v>
      </c>
      <c r="C286" s="11" t="s">
        <v>271</v>
      </c>
    </row>
    <row r="287" spans="2:3">
      <c r="B287" s="11" t="s">
        <v>75</v>
      </c>
      <c r="C287" s="11" t="s">
        <v>76</v>
      </c>
    </row>
    <row r="288" spans="2:3">
      <c r="B288" s="11" t="s">
        <v>77</v>
      </c>
      <c r="C288" s="11" t="s">
        <v>78</v>
      </c>
    </row>
    <row r="289" spans="2:3">
      <c r="B289" s="11" t="s">
        <v>79</v>
      </c>
      <c r="C289" s="11" t="s">
        <v>272</v>
      </c>
    </row>
    <row r="290" spans="2:3">
      <c r="B290" s="11" t="s">
        <v>80</v>
      </c>
      <c r="C290" s="11" t="s">
        <v>81</v>
      </c>
    </row>
    <row r="291" spans="2:3">
      <c r="B291" s="11" t="s">
        <v>82</v>
      </c>
      <c r="C291" s="11" t="s">
        <v>83</v>
      </c>
    </row>
    <row r="292" spans="2:3">
      <c r="B292" s="11" t="s">
        <v>84</v>
      </c>
      <c r="C292" s="11" t="s">
        <v>85</v>
      </c>
    </row>
    <row r="293" spans="2:3">
      <c r="B293" s="11" t="s">
        <v>86</v>
      </c>
      <c r="C293" s="11" t="s">
        <v>342</v>
      </c>
    </row>
    <row r="294" spans="2:3">
      <c r="B294" s="11" t="s">
        <v>155</v>
      </c>
      <c r="C294" s="11" t="s">
        <v>344</v>
      </c>
    </row>
    <row r="295" spans="2:3">
      <c r="B295" s="11" t="s">
        <v>87</v>
      </c>
      <c r="C295" s="11" t="s">
        <v>88</v>
      </c>
    </row>
    <row r="296" spans="2:3">
      <c r="B296" s="11" t="s">
        <v>89</v>
      </c>
      <c r="C296" s="11" t="s">
        <v>90</v>
      </c>
    </row>
    <row r="297" spans="2:3">
      <c r="B297" s="11" t="s">
        <v>91</v>
      </c>
      <c r="C297" s="11" t="s">
        <v>92</v>
      </c>
    </row>
    <row r="298" spans="2:3">
      <c r="B298" s="11" t="s">
        <v>93</v>
      </c>
      <c r="C298" s="11" t="s">
        <v>94</v>
      </c>
    </row>
    <row r="299" spans="2:3">
      <c r="B299" s="11" t="s">
        <v>95</v>
      </c>
      <c r="C299" s="11" t="s">
        <v>96</v>
      </c>
    </row>
    <row r="300" spans="2:3">
      <c r="B300" s="11" t="s">
        <v>97</v>
      </c>
      <c r="C300" s="11" t="s">
        <v>98</v>
      </c>
    </row>
    <row r="301" spans="2:3">
      <c r="B301" s="11" t="s">
        <v>156</v>
      </c>
      <c r="C301" s="11" t="s">
        <v>101</v>
      </c>
    </row>
    <row r="302" spans="2:3">
      <c r="B302" s="11" t="s">
        <v>102</v>
      </c>
      <c r="C302" s="11" t="s">
        <v>103</v>
      </c>
    </row>
    <row r="303" spans="2:3">
      <c r="B303" s="11" t="s">
        <v>104</v>
      </c>
      <c r="C303" s="11" t="s">
        <v>105</v>
      </c>
    </row>
    <row r="304" spans="2:3">
      <c r="B304" s="11" t="s">
        <v>109</v>
      </c>
      <c r="C304" s="12" t="s">
        <v>174</v>
      </c>
    </row>
    <row r="305" spans="2:3">
      <c r="B305" s="11" t="s">
        <v>106</v>
      </c>
      <c r="C305" s="11" t="s">
        <v>107</v>
      </c>
    </row>
    <row r="306" spans="2:3">
      <c r="B306" s="11" t="s">
        <v>281</v>
      </c>
      <c r="C306" s="11" t="s">
        <v>343</v>
      </c>
    </row>
    <row r="307" spans="2:3">
      <c r="B307" s="11" t="s">
        <v>110</v>
      </c>
      <c r="C307" s="11" t="s">
        <v>285</v>
      </c>
    </row>
    <row r="308" spans="2:3">
      <c r="B308" s="11" t="s">
        <v>157</v>
      </c>
      <c r="C308" s="11" t="s">
        <v>286</v>
      </c>
    </row>
    <row r="309" spans="2:3">
      <c r="B309" s="11" t="s">
        <v>111</v>
      </c>
      <c r="C309" s="11" t="s">
        <v>112</v>
      </c>
    </row>
    <row r="310" spans="2:3">
      <c r="B310" s="11" t="s">
        <v>113</v>
      </c>
      <c r="C310" s="11" t="s">
        <v>114</v>
      </c>
    </row>
    <row r="311" spans="2:3">
      <c r="B311" s="11" t="s">
        <v>116</v>
      </c>
      <c r="C311" s="11" t="s">
        <v>117</v>
      </c>
    </row>
    <row r="312" spans="2:3">
      <c r="B312" s="11" t="s">
        <v>118</v>
      </c>
      <c r="C312" s="11" t="s">
        <v>119</v>
      </c>
    </row>
    <row r="313" spans="2:3">
      <c r="B313" s="11" t="s">
        <v>152</v>
      </c>
      <c r="C313" s="12" t="s">
        <v>177</v>
      </c>
    </row>
    <row r="314" spans="2:3">
      <c r="B314" s="11" t="s">
        <v>265</v>
      </c>
      <c r="C314" s="11" t="s">
        <v>287</v>
      </c>
    </row>
    <row r="315" spans="2:3">
      <c r="B315" s="11" t="s">
        <v>133</v>
      </c>
      <c r="C315" s="12" t="s">
        <v>178</v>
      </c>
    </row>
    <row r="316" spans="2:3">
      <c r="B316" s="11" t="s">
        <v>0</v>
      </c>
      <c r="C316" s="12" t="s">
        <v>134</v>
      </c>
    </row>
    <row r="317" spans="2:3">
      <c r="B317" s="11" t="s">
        <v>158</v>
      </c>
      <c r="C317" s="12" t="s">
        <v>136</v>
      </c>
    </row>
    <row r="318" spans="2:3">
      <c r="B318" s="11" t="s">
        <v>159</v>
      </c>
      <c r="C318" s="12" t="s">
        <v>138</v>
      </c>
    </row>
    <row r="319" spans="2:3">
      <c r="B319" s="11" t="s">
        <v>116</v>
      </c>
      <c r="C319" s="12" t="s">
        <v>139</v>
      </c>
    </row>
    <row r="320" spans="2:3">
      <c r="B320" s="11" t="s">
        <v>113</v>
      </c>
      <c r="C320" s="12" t="s">
        <v>140</v>
      </c>
    </row>
    <row r="321" spans="2:20">
      <c r="B321" s="11" t="s">
        <v>141</v>
      </c>
      <c r="C321" s="12" t="s">
        <v>142</v>
      </c>
    </row>
    <row r="322" spans="2:20">
      <c r="B322" s="11" t="s">
        <v>121</v>
      </c>
      <c r="C322" s="12" t="s">
        <v>288</v>
      </c>
    </row>
    <row r="323" spans="2:20">
      <c r="B323" s="11" t="s">
        <v>144</v>
      </c>
      <c r="C323" s="12" t="s">
        <v>145</v>
      </c>
    </row>
    <row r="324" spans="2:20">
      <c r="B324" s="11" t="s">
        <v>122</v>
      </c>
      <c r="C324" s="12" t="s">
        <v>146</v>
      </c>
    </row>
    <row r="325" spans="2:20">
      <c r="B325" s="11" t="s">
        <v>123</v>
      </c>
      <c r="C325" s="5" t="s">
        <v>147</v>
      </c>
    </row>
    <row r="326" spans="2:20">
      <c r="B326" s="11" t="s">
        <v>124</v>
      </c>
      <c r="C326" s="12" t="s">
        <v>289</v>
      </c>
    </row>
    <row r="327" spans="2:20">
      <c r="B327" s="11" t="s">
        <v>161</v>
      </c>
      <c r="C327" s="12" t="s">
        <v>149</v>
      </c>
    </row>
    <row r="328" spans="2:20">
      <c r="B328" s="11" t="s">
        <v>266</v>
      </c>
      <c r="C328" s="11" t="s">
        <v>274</v>
      </c>
    </row>
    <row r="331" spans="2:20">
      <c r="B331" s="293" t="s">
        <v>315</v>
      </c>
      <c r="C331" s="293"/>
      <c r="D331" s="293"/>
      <c r="E331" s="293"/>
      <c r="F331" s="293"/>
      <c r="G331" s="293"/>
      <c r="H331" s="293"/>
      <c r="I331" s="293"/>
      <c r="J331" s="293"/>
      <c r="K331" s="293"/>
      <c r="L331" s="293"/>
      <c r="M331" s="293"/>
      <c r="N331" s="293"/>
      <c r="O331" s="293"/>
      <c r="P331" s="293"/>
      <c r="Q331" s="293"/>
      <c r="R331" s="293"/>
      <c r="S331" s="293"/>
      <c r="T331" s="293"/>
    </row>
    <row r="334" spans="2:20">
      <c r="C334" s="11">
        <v>2013</v>
      </c>
    </row>
    <row r="335" spans="2:20">
      <c r="B335" s="11" t="s">
        <v>385</v>
      </c>
      <c r="C335" s="11" t="s">
        <v>293</v>
      </c>
      <c r="D335" s="11" t="s">
        <v>294</v>
      </c>
      <c r="E335" s="11" t="s">
        <v>295</v>
      </c>
      <c r="F335" s="11" t="s">
        <v>296</v>
      </c>
      <c r="G335" s="11" t="s">
        <v>297</v>
      </c>
      <c r="H335" s="11" t="s">
        <v>298</v>
      </c>
      <c r="I335" s="11" t="s">
        <v>299</v>
      </c>
      <c r="J335" s="11" t="s">
        <v>300</v>
      </c>
      <c r="K335" s="11" t="s">
        <v>301</v>
      </c>
      <c r="L335" s="11" t="s">
        <v>302</v>
      </c>
      <c r="M335" s="11" t="s">
        <v>303</v>
      </c>
      <c r="N335" s="11" t="s">
        <v>304</v>
      </c>
      <c r="O335" s="11" t="s">
        <v>384</v>
      </c>
    </row>
    <row r="336" spans="2:20">
      <c r="B336" s="11" t="s">
        <v>386</v>
      </c>
      <c r="C336" s="11" t="s">
        <v>316</v>
      </c>
      <c r="D336" s="11" t="s">
        <v>317</v>
      </c>
      <c r="E336" s="11" t="s">
        <v>318</v>
      </c>
      <c r="F336" s="11" t="s">
        <v>296</v>
      </c>
      <c r="G336" s="11" t="s">
        <v>319</v>
      </c>
      <c r="H336" s="11" t="s">
        <v>320</v>
      </c>
      <c r="I336" s="11" t="s">
        <v>321</v>
      </c>
      <c r="J336" s="11" t="s">
        <v>322</v>
      </c>
      <c r="K336" s="11" t="s">
        <v>323</v>
      </c>
      <c r="L336" s="11" t="s">
        <v>324</v>
      </c>
      <c r="M336" s="11" t="s">
        <v>325</v>
      </c>
      <c r="N336" s="11" t="s">
        <v>326</v>
      </c>
      <c r="O336" s="11" t="s">
        <v>383</v>
      </c>
    </row>
    <row r="337" spans="2:3">
      <c r="B337" s="11" t="s">
        <v>128</v>
      </c>
      <c r="C337" s="11" t="s">
        <v>1</v>
      </c>
    </row>
    <row r="338" spans="2:3">
      <c r="B338" s="11" t="s">
        <v>2</v>
      </c>
      <c r="C338" s="11" t="s">
        <v>167</v>
      </c>
    </row>
    <row r="339" spans="2:3">
      <c r="B339" s="11" t="s">
        <v>3</v>
      </c>
      <c r="C339" s="11" t="s">
        <v>4</v>
      </c>
    </row>
    <row r="340" spans="2:3">
      <c r="B340" s="11" t="s">
        <v>5</v>
      </c>
      <c r="C340" s="11" t="s">
        <v>6</v>
      </c>
    </row>
    <row r="341" spans="2:3">
      <c r="B341" s="11" t="s">
        <v>305</v>
      </c>
      <c r="C341" s="11" t="s">
        <v>8</v>
      </c>
    </row>
    <row r="342" spans="2:3">
      <c r="B342" s="11" t="s">
        <v>9</v>
      </c>
      <c r="C342" s="11" t="s">
        <v>10</v>
      </c>
    </row>
    <row r="343" spans="2:3">
      <c r="B343" s="11" t="s">
        <v>306</v>
      </c>
      <c r="C343" s="11" t="s">
        <v>13</v>
      </c>
    </row>
    <row r="344" spans="2:3">
      <c r="B344" s="11" t="s">
        <v>307</v>
      </c>
      <c r="C344" s="11" t="s">
        <v>15</v>
      </c>
    </row>
    <row r="345" spans="2:3">
      <c r="B345" s="11" t="s">
        <v>16</v>
      </c>
      <c r="C345" s="11" t="s">
        <v>18</v>
      </c>
    </row>
    <row r="346" spans="2:3">
      <c r="B346" s="11" t="s">
        <v>19</v>
      </c>
      <c r="C346" s="11" t="s">
        <v>20</v>
      </c>
    </row>
    <row r="347" spans="2:3">
      <c r="B347" s="11" t="s">
        <v>308</v>
      </c>
      <c r="C347" s="11" t="s">
        <v>22</v>
      </c>
    </row>
    <row r="348" spans="2:3">
      <c r="B348" s="11" t="s">
        <v>309</v>
      </c>
      <c r="C348" s="11" t="s">
        <v>24</v>
      </c>
    </row>
    <row r="349" spans="2:3">
      <c r="B349" s="11" t="s">
        <v>310</v>
      </c>
      <c r="C349" s="11" t="s">
        <v>26</v>
      </c>
    </row>
    <row r="350" spans="2:3">
      <c r="B350" s="11" t="s">
        <v>27</v>
      </c>
      <c r="C350" s="11" t="s">
        <v>28</v>
      </c>
    </row>
    <row r="351" spans="2:3">
      <c r="B351" s="11" t="s">
        <v>29</v>
      </c>
      <c r="C351" s="11" t="s">
        <v>30</v>
      </c>
    </row>
    <row r="352" spans="2:3">
      <c r="B352" s="11" t="s">
        <v>31</v>
      </c>
      <c r="C352" s="11" t="s">
        <v>175</v>
      </c>
    </row>
    <row r="353" spans="2:3">
      <c r="B353" s="11" t="s">
        <v>32</v>
      </c>
      <c r="C353" s="11" t="s">
        <v>33</v>
      </c>
    </row>
    <row r="354" spans="2:3">
      <c r="B354" s="11" t="s">
        <v>34</v>
      </c>
      <c r="C354" s="11" t="s">
        <v>35</v>
      </c>
    </row>
    <row r="355" spans="2:3">
      <c r="B355" s="11" t="s">
        <v>37</v>
      </c>
      <c r="C355" s="11" t="s">
        <v>38</v>
      </c>
    </row>
    <row r="356" spans="2:3">
      <c r="B356" s="11" t="s">
        <v>39</v>
      </c>
      <c r="C356" s="11" t="s">
        <v>168</v>
      </c>
    </row>
    <row r="357" spans="2:3">
      <c r="B357" s="11" t="s">
        <v>328</v>
      </c>
      <c r="C357" s="11" t="s">
        <v>41</v>
      </c>
    </row>
    <row r="358" spans="2:3">
      <c r="B358" s="11" t="s">
        <v>311</v>
      </c>
      <c r="C358" s="11" t="s">
        <v>43</v>
      </c>
    </row>
    <row r="359" spans="2:3">
      <c r="B359" s="11" t="s">
        <v>45</v>
      </c>
      <c r="C359" s="11" t="s">
        <v>46</v>
      </c>
    </row>
    <row r="360" spans="2:3">
      <c r="B360" s="11" t="s">
        <v>312</v>
      </c>
      <c r="C360" s="11" t="s">
        <v>48</v>
      </c>
    </row>
    <row r="361" spans="2:3">
      <c r="B361" s="11" t="s">
        <v>313</v>
      </c>
      <c r="C361" s="11" t="s">
        <v>169</v>
      </c>
    </row>
    <row r="362" spans="2:3">
      <c r="B362" s="11" t="s">
        <v>51</v>
      </c>
      <c r="C362" s="11" t="s">
        <v>52</v>
      </c>
    </row>
    <row r="363" spans="2:3">
      <c r="B363" s="11" t="s">
        <v>53</v>
      </c>
      <c r="C363" s="11" t="s">
        <v>54</v>
      </c>
    </row>
    <row r="364" spans="2:3">
      <c r="B364" s="11" t="s">
        <v>55</v>
      </c>
      <c r="C364" s="11" t="s">
        <v>56</v>
      </c>
    </row>
    <row r="365" spans="2:3">
      <c r="B365" s="11" t="s">
        <v>57</v>
      </c>
      <c r="C365" s="11" t="s">
        <v>58</v>
      </c>
    </row>
    <row r="366" spans="2:3">
      <c r="B366" s="11" t="s">
        <v>314</v>
      </c>
      <c r="C366" s="11" t="s">
        <v>60</v>
      </c>
    </row>
    <row r="367" spans="2:3">
      <c r="B367" s="11" t="s">
        <v>53</v>
      </c>
      <c r="C367" s="11" t="s">
        <v>54</v>
      </c>
    </row>
    <row r="368" spans="2:3">
      <c r="B368" s="7" t="s">
        <v>255</v>
      </c>
      <c r="C368" s="11" t="s">
        <v>61</v>
      </c>
    </row>
    <row r="369" spans="2:3">
      <c r="B369" s="11" t="s">
        <v>62</v>
      </c>
      <c r="C369" s="11" t="s">
        <v>340</v>
      </c>
    </row>
    <row r="370" spans="2:3">
      <c r="B370" s="11" t="s">
        <v>126</v>
      </c>
      <c r="C370" s="11" t="s">
        <v>170</v>
      </c>
    </row>
    <row r="371" spans="2:3">
      <c r="B371" s="11" t="s">
        <v>63</v>
      </c>
      <c r="C371" s="11" t="s">
        <v>341</v>
      </c>
    </row>
    <row r="372" spans="2:3">
      <c r="B372" s="11" t="s">
        <v>64</v>
      </c>
      <c r="C372" s="11" t="s">
        <v>65</v>
      </c>
    </row>
    <row r="373" spans="2:3">
      <c r="B373" s="11" t="s">
        <v>66</v>
      </c>
      <c r="C373" s="11" t="s">
        <v>67</v>
      </c>
    </row>
    <row r="374" spans="2:3">
      <c r="B374" s="11" t="s">
        <v>68</v>
      </c>
      <c r="C374" s="11" t="s">
        <v>69</v>
      </c>
    </row>
    <row r="375" spans="2:3">
      <c r="B375" s="11" t="s">
        <v>70</v>
      </c>
      <c r="C375" s="11" t="s">
        <v>71</v>
      </c>
    </row>
    <row r="376" spans="2:3">
      <c r="B376" s="11" t="s">
        <v>72</v>
      </c>
      <c r="C376" s="11" t="s">
        <v>73</v>
      </c>
    </row>
    <row r="377" spans="2:3">
      <c r="B377" s="11" t="s">
        <v>129</v>
      </c>
      <c r="C377" s="11" t="s">
        <v>179</v>
      </c>
    </row>
    <row r="378" spans="2:3">
      <c r="B378" s="11" t="s">
        <v>75</v>
      </c>
      <c r="C378" s="11" t="s">
        <v>76</v>
      </c>
    </row>
    <row r="379" spans="2:3">
      <c r="B379" s="11" t="s">
        <v>77</v>
      </c>
      <c r="C379" s="11" t="s">
        <v>78</v>
      </c>
    </row>
    <row r="380" spans="2:3">
      <c r="B380" s="11" t="s">
        <v>79</v>
      </c>
      <c r="C380" s="11" t="s">
        <v>151</v>
      </c>
    </row>
    <row r="381" spans="2:3">
      <c r="B381" s="11" t="s">
        <v>80</v>
      </c>
      <c r="C381" s="11" t="s">
        <v>81</v>
      </c>
    </row>
    <row r="382" spans="2:3">
      <c r="B382" s="11" t="s">
        <v>82</v>
      </c>
      <c r="C382" s="11" t="s">
        <v>83</v>
      </c>
    </row>
    <row r="383" spans="2:3">
      <c r="B383" s="11" t="s">
        <v>84</v>
      </c>
      <c r="C383" s="11" t="s">
        <v>85</v>
      </c>
    </row>
    <row r="384" spans="2:3">
      <c r="B384" s="11" t="s">
        <v>86</v>
      </c>
      <c r="C384" s="11" t="s">
        <v>342</v>
      </c>
    </row>
    <row r="385" spans="2:3">
      <c r="B385" s="11" t="s">
        <v>130</v>
      </c>
      <c r="C385" s="11" t="s">
        <v>180</v>
      </c>
    </row>
    <row r="386" spans="2:3">
      <c r="B386" s="11" t="s">
        <v>87</v>
      </c>
      <c r="C386" s="11" t="s">
        <v>88</v>
      </c>
    </row>
    <row r="387" spans="2:3">
      <c r="B387" s="11" t="s">
        <v>89</v>
      </c>
      <c r="C387" s="11" t="s">
        <v>90</v>
      </c>
    </row>
    <row r="388" spans="2:3">
      <c r="B388" s="11" t="s">
        <v>91</v>
      </c>
      <c r="C388" s="11" t="s">
        <v>92</v>
      </c>
    </row>
    <row r="389" spans="2:3">
      <c r="B389" s="11" t="s">
        <v>93</v>
      </c>
      <c r="C389" s="11" t="s">
        <v>94</v>
      </c>
    </row>
    <row r="390" spans="2:3">
      <c r="B390" s="11" t="s">
        <v>95</v>
      </c>
      <c r="C390" s="11" t="s">
        <v>96</v>
      </c>
    </row>
    <row r="391" spans="2:3">
      <c r="B391" s="11" t="s">
        <v>97</v>
      </c>
      <c r="C391" s="11" t="s">
        <v>98</v>
      </c>
    </row>
    <row r="392" spans="2:3">
      <c r="B392" s="11" t="s">
        <v>100</v>
      </c>
      <c r="C392" s="11" t="s">
        <v>101</v>
      </c>
    </row>
    <row r="393" spans="2:3">
      <c r="B393" s="11" t="s">
        <v>102</v>
      </c>
      <c r="C393" s="11" t="s">
        <v>103</v>
      </c>
    </row>
    <row r="394" spans="2:3">
      <c r="B394" s="11" t="s">
        <v>104</v>
      </c>
      <c r="C394" s="11" t="s">
        <v>105</v>
      </c>
    </row>
    <row r="395" spans="2:3">
      <c r="B395" s="11" t="s">
        <v>106</v>
      </c>
      <c r="C395" s="11" t="s">
        <v>107</v>
      </c>
    </row>
    <row r="396" spans="2:3">
      <c r="B396" s="11" t="s">
        <v>108</v>
      </c>
      <c r="C396" s="11" t="s">
        <v>173</v>
      </c>
    </row>
    <row r="397" spans="2:3">
      <c r="B397" s="11" t="s">
        <v>109</v>
      </c>
      <c r="C397" s="11" t="s">
        <v>174</v>
      </c>
    </row>
    <row r="398" spans="2:3">
      <c r="B398" s="11" t="s">
        <v>131</v>
      </c>
      <c r="C398" s="11" t="s">
        <v>373</v>
      </c>
    </row>
    <row r="399" spans="2:3">
      <c r="B399" s="11" t="s">
        <v>111</v>
      </c>
      <c r="C399" s="11" t="s">
        <v>112</v>
      </c>
    </row>
    <row r="400" spans="2:3">
      <c r="B400" s="11" t="s">
        <v>118</v>
      </c>
      <c r="C400" s="11" t="s">
        <v>119</v>
      </c>
    </row>
    <row r="401" spans="2:3">
      <c r="B401" s="11" t="s">
        <v>152</v>
      </c>
      <c r="C401" s="11" t="s">
        <v>177</v>
      </c>
    </row>
    <row r="402" spans="2:3">
      <c r="B402" s="11" t="s">
        <v>132</v>
      </c>
      <c r="C402" s="11" t="s">
        <v>120</v>
      </c>
    </row>
    <row r="403" spans="2:3">
      <c r="B403" s="11" t="s">
        <v>133</v>
      </c>
      <c r="C403" s="11" t="s">
        <v>178</v>
      </c>
    </row>
    <row r="404" spans="2:3">
      <c r="B404" s="11" t="s">
        <v>0</v>
      </c>
      <c r="C404" s="11" t="s">
        <v>134</v>
      </c>
    </row>
    <row r="405" spans="2:3">
      <c r="B405" s="11" t="s">
        <v>135</v>
      </c>
      <c r="C405" s="11" t="s">
        <v>136</v>
      </c>
    </row>
    <row r="406" spans="2:3">
      <c r="B406" s="11" t="s">
        <v>137</v>
      </c>
      <c r="C406" s="11" t="s">
        <v>138</v>
      </c>
    </row>
    <row r="407" spans="2:3">
      <c r="B407" s="11" t="s">
        <v>116</v>
      </c>
      <c r="C407" s="11" t="s">
        <v>139</v>
      </c>
    </row>
    <row r="408" spans="2:3">
      <c r="B408" s="11" t="s">
        <v>113</v>
      </c>
      <c r="C408" s="11" t="s">
        <v>140</v>
      </c>
    </row>
    <row r="409" spans="2:3">
      <c r="B409" s="11" t="s">
        <v>141</v>
      </c>
      <c r="C409" s="11" t="s">
        <v>142</v>
      </c>
    </row>
    <row r="410" spans="2:3">
      <c r="B410" s="11" t="s">
        <v>121</v>
      </c>
      <c r="C410" s="11" t="s">
        <v>143</v>
      </c>
    </row>
    <row r="411" spans="2:3">
      <c r="B411" s="11" t="s">
        <v>144</v>
      </c>
      <c r="C411" s="11" t="s">
        <v>145</v>
      </c>
    </row>
    <row r="412" spans="2:3">
      <c r="B412" s="11" t="s">
        <v>122</v>
      </c>
      <c r="C412" s="11" t="s">
        <v>146</v>
      </c>
    </row>
    <row r="413" spans="2:3">
      <c r="B413" s="11" t="s">
        <v>123</v>
      </c>
      <c r="C413" s="11" t="s">
        <v>147</v>
      </c>
    </row>
    <row r="414" spans="2:3">
      <c r="B414" s="11" t="s">
        <v>329</v>
      </c>
      <c r="C414" s="11" t="s">
        <v>148</v>
      </c>
    </row>
    <row r="415" spans="2:3">
      <c r="B415" s="11" t="s">
        <v>125</v>
      </c>
      <c r="C415" s="11" t="s">
        <v>149</v>
      </c>
    </row>
    <row r="416" spans="2:3">
      <c r="B416" s="11" t="s">
        <v>266</v>
      </c>
      <c r="C416" s="11" t="s">
        <v>267</v>
      </c>
    </row>
    <row r="419" spans="2:23">
      <c r="B419" s="293" t="s">
        <v>387</v>
      </c>
      <c r="C419" s="294"/>
      <c r="D419" s="294"/>
      <c r="E419" s="294"/>
      <c r="F419" s="294"/>
      <c r="G419" s="294"/>
      <c r="H419" s="294"/>
      <c r="I419" s="294"/>
      <c r="J419" s="294"/>
      <c r="K419" s="294"/>
      <c r="L419" s="294"/>
      <c r="M419" s="294"/>
      <c r="N419" s="294"/>
      <c r="O419" s="294"/>
      <c r="P419" s="294"/>
      <c r="Q419" s="294"/>
      <c r="R419" s="294"/>
      <c r="S419" s="294"/>
      <c r="T419" s="294"/>
    </row>
    <row r="421" spans="2:23">
      <c r="B421" s="11" t="s">
        <v>327</v>
      </c>
    </row>
    <row r="422" spans="2:23">
      <c r="B422" s="11" t="s">
        <v>334</v>
      </c>
      <c r="O422" s="1"/>
    </row>
    <row r="424" spans="2:23">
      <c r="B424" s="11" t="s">
        <v>389</v>
      </c>
    </row>
    <row r="425" spans="2:23">
      <c r="B425" s="11" t="s">
        <v>389</v>
      </c>
    </row>
    <row r="427" spans="2:23">
      <c r="B427" s="293" t="s">
        <v>330</v>
      </c>
      <c r="C427" s="293"/>
      <c r="D427" s="293"/>
      <c r="E427" s="293"/>
      <c r="F427" s="293"/>
      <c r="G427" s="293"/>
      <c r="H427" s="293"/>
      <c r="I427" s="293"/>
      <c r="J427" s="293"/>
      <c r="K427" s="293"/>
      <c r="L427" s="293"/>
      <c r="M427" s="293"/>
      <c r="N427" s="293"/>
      <c r="O427" s="293"/>
      <c r="P427" s="293"/>
      <c r="Q427" s="293"/>
      <c r="R427" s="293"/>
      <c r="S427" s="293"/>
      <c r="T427" s="293"/>
    </row>
    <row r="429" spans="2:23">
      <c r="B429" s="11" t="s">
        <v>335</v>
      </c>
      <c r="C429" s="11" t="s">
        <v>240</v>
      </c>
      <c r="D429" s="11" t="s">
        <v>388</v>
      </c>
      <c r="E429" s="27" t="s">
        <v>390</v>
      </c>
      <c r="F429" s="27" t="s">
        <v>391</v>
      </c>
    </row>
    <row r="430" spans="2:23">
      <c r="B430" s="11" t="s">
        <v>336</v>
      </c>
      <c r="C430" s="11" t="s">
        <v>339</v>
      </c>
      <c r="D430" s="11" t="s">
        <v>388</v>
      </c>
      <c r="E430" s="27" t="s">
        <v>390</v>
      </c>
      <c r="F430" s="27" t="s">
        <v>392</v>
      </c>
      <c r="W430" s="28"/>
    </row>
    <row r="432" spans="2:23">
      <c r="B432" s="293" t="s">
        <v>345</v>
      </c>
      <c r="C432" s="293"/>
      <c r="D432" s="293"/>
      <c r="E432" s="293"/>
      <c r="F432" s="293"/>
      <c r="G432" s="293"/>
      <c r="H432" s="293"/>
      <c r="I432" s="293"/>
      <c r="J432" s="293"/>
      <c r="K432" s="293"/>
      <c r="L432" s="293"/>
      <c r="M432" s="293"/>
      <c r="N432" s="293"/>
      <c r="O432" s="293"/>
      <c r="P432" s="293"/>
      <c r="Q432" s="293"/>
      <c r="R432" s="293"/>
      <c r="S432" s="293"/>
      <c r="T432" s="293"/>
    </row>
    <row r="435" spans="2:6">
      <c r="B435" s="11" t="s">
        <v>353</v>
      </c>
      <c r="C435" s="11" t="s">
        <v>354</v>
      </c>
    </row>
    <row r="437" spans="2:6">
      <c r="B437" s="11" t="s">
        <v>346</v>
      </c>
      <c r="C437" s="11" t="s">
        <v>345</v>
      </c>
    </row>
    <row r="438" spans="2:6">
      <c r="B438" s="11" t="s">
        <v>347</v>
      </c>
      <c r="C438" s="11" t="s">
        <v>355</v>
      </c>
    </row>
    <row r="439" spans="2:6">
      <c r="B439" s="11" t="s">
        <v>348</v>
      </c>
      <c r="C439" s="11" t="s">
        <v>356</v>
      </c>
    </row>
    <row r="441" spans="2:6">
      <c r="B441" s="11" t="s">
        <v>357</v>
      </c>
      <c r="C441" s="11" t="s">
        <v>349</v>
      </c>
      <c r="D441" s="11" t="s">
        <v>350</v>
      </c>
      <c r="E441" s="11" t="s">
        <v>351</v>
      </c>
      <c r="F441" s="11" t="s">
        <v>352</v>
      </c>
    </row>
    <row r="442" spans="2:6">
      <c r="B442" s="11" t="s">
        <v>358</v>
      </c>
      <c r="C442" s="11" t="s">
        <v>359</v>
      </c>
      <c r="D442" s="11" t="s">
        <v>360</v>
      </c>
      <c r="E442" s="11" t="s">
        <v>361</v>
      </c>
      <c r="F442" s="11" t="s">
        <v>362</v>
      </c>
    </row>
    <row r="443" spans="2:6">
      <c r="B443" s="11" t="s">
        <v>363</v>
      </c>
    </row>
    <row r="444" spans="2:6">
      <c r="B444" s="11" t="s">
        <v>364</v>
      </c>
    </row>
  </sheetData>
  <mergeCells count="21">
    <mergeCell ref="B3:C3"/>
    <mergeCell ref="B253:T253"/>
    <mergeCell ref="B154:T154"/>
    <mergeCell ref="B62:T62"/>
    <mergeCell ref="B37:T37"/>
    <mergeCell ref="B42:B51"/>
    <mergeCell ref="B52:B59"/>
    <mergeCell ref="F40:H40"/>
    <mergeCell ref="J40:L40"/>
    <mergeCell ref="M40:P40"/>
    <mergeCell ref="D40:E41"/>
    <mergeCell ref="D42:D51"/>
    <mergeCell ref="D52:D59"/>
    <mergeCell ref="F42:H42"/>
    <mergeCell ref="J42:L42"/>
    <mergeCell ref="M42:P42"/>
    <mergeCell ref="B40:C41"/>
    <mergeCell ref="B419:T419"/>
    <mergeCell ref="B432:T432"/>
    <mergeCell ref="B427:T427"/>
    <mergeCell ref="B331:T33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C4:P7"/>
  <sheetViews>
    <sheetView workbookViewId="0">
      <selection activeCell="P5" sqref="P5:P7"/>
    </sheetView>
  </sheetViews>
  <sheetFormatPr defaultRowHeight="12.75"/>
  <cols>
    <col min="3" max="3" width="28.28515625" bestFit="1" customWidth="1"/>
  </cols>
  <sheetData>
    <row r="4" spans="3:16">
      <c r="D4" s="181" t="s">
        <v>293</v>
      </c>
      <c r="E4" s="181" t="s">
        <v>294</v>
      </c>
      <c r="F4" s="181" t="s">
        <v>295</v>
      </c>
      <c r="G4" s="181" t="s">
        <v>296</v>
      </c>
      <c r="H4" s="181" t="s">
        <v>297</v>
      </c>
      <c r="I4" s="181" t="s">
        <v>298</v>
      </c>
      <c r="J4" s="181" t="s">
        <v>299</v>
      </c>
      <c r="K4" s="181" t="s">
        <v>300</v>
      </c>
      <c r="L4" s="181" t="s">
        <v>301</v>
      </c>
      <c r="M4" s="181" t="s">
        <v>302</v>
      </c>
      <c r="N4" s="181" t="s">
        <v>303</v>
      </c>
      <c r="O4" s="181" t="s">
        <v>304</v>
      </c>
    </row>
    <row r="5" spans="3:16">
      <c r="C5" s="181" t="s">
        <v>438</v>
      </c>
      <c r="D5" s="182">
        <v>62425293.156965584</v>
      </c>
      <c r="E5" s="182">
        <v>79762187.59852089</v>
      </c>
      <c r="F5" s="182">
        <v>89318688.151918903</v>
      </c>
      <c r="G5" s="182">
        <v>106294081.27535464</v>
      </c>
      <c r="H5" s="182">
        <v>97189661.825924918</v>
      </c>
      <c r="I5" s="182">
        <v>105191801.34506513</v>
      </c>
      <c r="J5" s="182">
        <v>123272889.17858437</v>
      </c>
      <c r="K5" s="182">
        <v>125579133.65326507</v>
      </c>
      <c r="L5" s="182">
        <v>121047897.33843082</v>
      </c>
      <c r="M5" s="182">
        <v>114789505.85515907</v>
      </c>
      <c r="N5" s="182">
        <v>97406301.479715049</v>
      </c>
      <c r="O5" s="182">
        <v>145778958.57826602</v>
      </c>
      <c r="P5" s="182">
        <f>+SUM(D5:O5)</f>
        <v>1268056399.4371705</v>
      </c>
    </row>
    <row r="6" spans="3:16">
      <c r="C6" s="181" t="s">
        <v>439</v>
      </c>
      <c r="D6" s="182">
        <v>70632268.589999989</v>
      </c>
      <c r="E6" s="182">
        <v>81381758.450000018</v>
      </c>
      <c r="F6" s="182">
        <v>100495765.61000001</v>
      </c>
      <c r="G6" s="182">
        <v>107356417.33534782</v>
      </c>
      <c r="H6" s="182">
        <v>98816734.644163221</v>
      </c>
      <c r="I6" s="182">
        <v>107147051.5707173</v>
      </c>
      <c r="J6" s="182">
        <v>125666748.8575906</v>
      </c>
      <c r="K6" s="182">
        <v>127890096.38694921</v>
      </c>
      <c r="L6" s="182">
        <v>123465322.33433203</v>
      </c>
      <c r="M6" s="182">
        <v>117130344.73943919</v>
      </c>
      <c r="N6" s="182">
        <v>99294843.070796907</v>
      </c>
      <c r="O6" s="182">
        <v>149056317.49743444</v>
      </c>
      <c r="P6" s="182">
        <f>+SUM(D6:O6)</f>
        <v>1308333669.0867708</v>
      </c>
    </row>
    <row r="7" spans="3:16">
      <c r="C7" s="181" t="s">
        <v>440</v>
      </c>
      <c r="D7" s="182">
        <v>54757461.979999989</v>
      </c>
      <c r="E7" s="182">
        <v>75673443.909999996</v>
      </c>
      <c r="F7" s="182">
        <v>88296245.580000013</v>
      </c>
      <c r="G7" s="182">
        <v>103948239.19999999</v>
      </c>
      <c r="H7" s="182">
        <v>93997829.679999992</v>
      </c>
      <c r="I7" s="182">
        <v>99561632.659999996</v>
      </c>
      <c r="J7" s="182">
        <v>122021331.04999998</v>
      </c>
      <c r="K7" s="182">
        <v>125053427.64999999</v>
      </c>
      <c r="L7" s="182">
        <v>116342017.78000002</v>
      </c>
      <c r="M7" s="182">
        <v>117283627.60000001</v>
      </c>
      <c r="N7" s="182">
        <v>95781753.159999996</v>
      </c>
      <c r="O7" s="182">
        <v>142429369.22999999</v>
      </c>
      <c r="P7" s="182">
        <f>+SUM(D7:O7)</f>
        <v>1235146379.48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M80"/>
  <sheetViews>
    <sheetView workbookViewId="0">
      <selection activeCell="G63" sqref="G63"/>
    </sheetView>
  </sheetViews>
  <sheetFormatPr defaultRowHeight="12.75"/>
  <cols>
    <col min="2" max="2" width="43.28515625" customWidth="1"/>
    <col min="3" max="3" width="7.42578125" bestFit="1" customWidth="1"/>
    <col min="4" max="4" width="7.85546875" bestFit="1" customWidth="1"/>
    <col min="5" max="5" width="7.7109375" style="80" customWidth="1"/>
    <col min="6" max="6" width="6" style="80" customWidth="1"/>
    <col min="7" max="7" width="7.7109375" style="80" customWidth="1"/>
    <col min="8" max="8" width="7" style="80" bestFit="1" customWidth="1"/>
    <col min="12" max="12" width="11.5703125" bestFit="1" customWidth="1"/>
  </cols>
  <sheetData>
    <row r="1" spans="2:13">
      <c r="E1" s="82"/>
      <c r="F1" s="82"/>
      <c r="G1" s="82"/>
      <c r="H1" s="82"/>
    </row>
    <row r="2" spans="2:13" ht="13.5" thickBot="1">
      <c r="E2" s="82"/>
      <c r="F2" s="82"/>
      <c r="G2" s="82"/>
      <c r="H2" s="82"/>
    </row>
    <row r="3" spans="2:13" ht="14.25" thickTop="1" thickBot="1">
      <c r="C3" s="263">
        <v>3335894492.1291356</v>
      </c>
      <c r="D3" s="263"/>
      <c r="E3" s="256">
        <v>3516156889.9792166</v>
      </c>
      <c r="F3" s="257"/>
      <c r="G3" s="257"/>
      <c r="H3" s="258"/>
    </row>
    <row r="4" spans="2:13" ht="13.5" thickTop="1">
      <c r="E4" s="83"/>
      <c r="F4" s="83"/>
      <c r="G4" s="82"/>
      <c r="H4" s="82"/>
    </row>
    <row r="5" spans="2:13" ht="13.5" thickBot="1">
      <c r="E5" s="164"/>
      <c r="F5" s="164"/>
      <c r="G5" s="164"/>
      <c r="H5" s="164"/>
    </row>
    <row r="6" spans="2:13" ht="13.5" thickTop="1">
      <c r="B6" t="s">
        <v>127</v>
      </c>
      <c r="C6" s="254">
        <v>2013</v>
      </c>
      <c r="D6" s="255"/>
      <c r="E6" s="254" t="s">
        <v>393</v>
      </c>
      <c r="F6" s="255"/>
      <c r="G6" s="254" t="s">
        <v>427</v>
      </c>
      <c r="H6" s="255"/>
      <c r="I6" s="254" t="s">
        <v>441</v>
      </c>
      <c r="J6" s="255"/>
    </row>
    <row r="7" spans="2:13" ht="13.5" thickBot="1">
      <c r="C7" s="88" t="str">
        <f>+E7</f>
        <v>mil. €</v>
      </c>
      <c r="D7" s="89" t="str">
        <f>+F7</f>
        <v>% BDP</v>
      </c>
      <c r="E7" s="88" t="s">
        <v>263</v>
      </c>
      <c r="F7" s="89" t="s">
        <v>150</v>
      </c>
      <c r="G7" s="88" t="s">
        <v>263</v>
      </c>
      <c r="H7" s="89" t="s">
        <v>150</v>
      </c>
      <c r="I7" s="184" t="s">
        <v>263</v>
      </c>
      <c r="J7" s="184" t="s">
        <v>442</v>
      </c>
    </row>
    <row r="8" spans="2:13" ht="14.25" thickTop="1" thickBot="1">
      <c r="B8" s="90" t="s">
        <v>128</v>
      </c>
      <c r="C8" s="165">
        <f>C9+C17+C22+C27+C34+C39</f>
        <v>1235146379.48</v>
      </c>
      <c r="D8" s="92">
        <f>C8/C$3*100</f>
        <v>37.025942588839719</v>
      </c>
      <c r="E8" s="165">
        <f>+E9+E17+E22+E27+E34+E39+E40</f>
        <v>1276056399.4371703</v>
      </c>
      <c r="F8" s="92">
        <f>E8/E$3*100</f>
        <v>36.291224748071834</v>
      </c>
      <c r="G8" s="162">
        <f>+G9+G17+G22+G27+G34+G39+G40</f>
        <v>1316333669.0867703</v>
      </c>
      <c r="H8" s="92">
        <f>G8/E$3*100</f>
        <v>37.436716002014087</v>
      </c>
      <c r="I8" s="162">
        <f>+G8-E8</f>
        <v>40277269.649600029</v>
      </c>
      <c r="J8" s="92">
        <f>+G8/E8*100-100</f>
        <v>3.1563863217460693</v>
      </c>
    </row>
    <row r="9" spans="2:13" ht="13.5" thickTop="1">
      <c r="B9" s="93" t="s">
        <v>2</v>
      </c>
      <c r="C9" s="154">
        <f>SUM(C10:C16)</f>
        <v>755696459.51000011</v>
      </c>
      <c r="D9" s="95">
        <f t="shared" ref="D9:D72" si="0">C9/C$3*100</f>
        <v>22.653488031261944</v>
      </c>
      <c r="E9" s="154">
        <f>+SUM(E10:E16)</f>
        <v>797828901.35953081</v>
      </c>
      <c r="F9" s="96">
        <f t="shared" ref="F9:F73" si="1">E9/E$3*100</f>
        <v>22.690366963808792</v>
      </c>
      <c r="G9" s="154">
        <f>+SUM(G10:G16)</f>
        <v>819077478.06873</v>
      </c>
      <c r="H9" s="96">
        <f t="shared" ref="H9:H72" si="2">G9/E$3*100</f>
        <v>23.294679495190881</v>
      </c>
      <c r="I9" s="154">
        <f t="shared" ref="I9:I41" si="3">+G9-E9</f>
        <v>21248576.70919919</v>
      </c>
      <c r="J9" s="96">
        <f t="shared" ref="J9:J73" si="4">+G9/E9*100-100</f>
        <v>2.6632999472682428</v>
      </c>
    </row>
    <row r="10" spans="2:13">
      <c r="B10" s="97" t="s">
        <v>3</v>
      </c>
      <c r="C10" s="155">
        <v>95618433.909999996</v>
      </c>
      <c r="D10" s="98">
        <f t="shared" si="0"/>
        <v>2.8663506635358695</v>
      </c>
      <c r="E10" s="155">
        <v>96011654.614494905</v>
      </c>
      <c r="F10" s="98">
        <f t="shared" si="1"/>
        <v>2.7305850568875618</v>
      </c>
      <c r="G10" s="156">
        <v>96781150.729929999</v>
      </c>
      <c r="H10" s="98">
        <f t="shared" si="2"/>
        <v>2.7524696354064582</v>
      </c>
      <c r="I10" s="156">
        <f t="shared" si="3"/>
        <v>769496.11543509364</v>
      </c>
      <c r="J10" s="98">
        <f t="shared" si="4"/>
        <v>0.80146115440335564</v>
      </c>
    </row>
    <row r="11" spans="2:13">
      <c r="B11" s="97" t="s">
        <v>5</v>
      </c>
      <c r="C11" s="156">
        <v>40638726.390000008</v>
      </c>
      <c r="D11" s="98">
        <f t="shared" si="0"/>
        <v>1.2182257708055488</v>
      </c>
      <c r="E11" s="156">
        <v>44395641.531501003</v>
      </c>
      <c r="F11" s="98">
        <f t="shared" si="1"/>
        <v>1.2626183336137604</v>
      </c>
      <c r="G11" s="156">
        <v>50018934.706970006</v>
      </c>
      <c r="H11" s="98">
        <f t="shared" si="2"/>
        <v>1.4225455880401758</v>
      </c>
      <c r="I11" s="156">
        <f t="shared" si="3"/>
        <v>5623293.1754690036</v>
      </c>
      <c r="J11" s="98">
        <f t="shared" si="4"/>
        <v>12.666318092236565</v>
      </c>
    </row>
    <row r="12" spans="2:13">
      <c r="B12" s="97" t="s">
        <v>7</v>
      </c>
      <c r="C12" s="156">
        <v>1440565.3199999998</v>
      </c>
      <c r="D12" s="98">
        <f t="shared" si="0"/>
        <v>4.318377944503151E-2</v>
      </c>
      <c r="E12" s="156">
        <v>1544536.6728920399</v>
      </c>
      <c r="F12" s="98">
        <f t="shared" si="1"/>
        <v>4.3926841754241781E-2</v>
      </c>
      <c r="G12" s="156">
        <v>1489198.0023599996</v>
      </c>
      <c r="H12" s="98">
        <f t="shared" si="2"/>
        <v>4.2353002125818169E-2</v>
      </c>
      <c r="I12" s="156">
        <f t="shared" si="3"/>
        <v>-55338.670532040298</v>
      </c>
      <c r="J12" s="98">
        <f t="shared" si="4"/>
        <v>-3.5828654316392772</v>
      </c>
    </row>
    <row r="13" spans="2:13">
      <c r="B13" s="97" t="s">
        <v>9</v>
      </c>
      <c r="C13" s="155">
        <v>429195069.32999998</v>
      </c>
      <c r="D13" s="98">
        <f t="shared" si="0"/>
        <v>12.865966544885122</v>
      </c>
      <c r="E13" s="155">
        <v>455945630.52919102</v>
      </c>
      <c r="F13" s="98">
        <f t="shared" si="1"/>
        <v>12.967158315051353</v>
      </c>
      <c r="G13" s="156">
        <v>473642045.78458995</v>
      </c>
      <c r="H13" s="98">
        <f t="shared" si="2"/>
        <v>13.470446871538474</v>
      </c>
      <c r="I13" s="156">
        <f t="shared" si="3"/>
        <v>17696415.255398929</v>
      </c>
      <c r="J13" s="98">
        <f t="shared" si="4"/>
        <v>3.8812555862986784</v>
      </c>
      <c r="L13" s="156">
        <f>+G13-C13</f>
        <v>44446976.454589963</v>
      </c>
      <c r="M13">
        <f>+G13/C13*100-100</f>
        <v>10.355891675077828</v>
      </c>
    </row>
    <row r="14" spans="2:13">
      <c r="B14" s="97" t="s">
        <v>12</v>
      </c>
      <c r="C14" s="156">
        <v>161445470.17000002</v>
      </c>
      <c r="D14" s="98">
        <f t="shared" si="0"/>
        <v>4.8396455748502225</v>
      </c>
      <c r="E14" s="156">
        <v>171111988.52539012</v>
      </c>
      <c r="F14" s="98">
        <f t="shared" si="1"/>
        <v>4.8664491909631922</v>
      </c>
      <c r="G14" s="156">
        <v>169158715.98390999</v>
      </c>
      <c r="H14" s="98">
        <f t="shared" si="2"/>
        <v>4.8108978432105705</v>
      </c>
      <c r="I14" s="156">
        <f t="shared" si="3"/>
        <v>-1953272.541480124</v>
      </c>
      <c r="J14" s="98">
        <f t="shared" si="4"/>
        <v>-1.1415170604427232</v>
      </c>
    </row>
    <row r="15" spans="2:13">
      <c r="B15" s="97" t="s">
        <v>14</v>
      </c>
      <c r="C15" s="156">
        <v>22269382.640000001</v>
      </c>
      <c r="D15" s="98">
        <f t="shared" si="0"/>
        <v>0.66756855447746977</v>
      </c>
      <c r="E15" s="156">
        <v>23735353.696558259</v>
      </c>
      <c r="F15" s="98">
        <f t="shared" si="1"/>
        <v>0.67503682114419394</v>
      </c>
      <c r="G15" s="156">
        <v>22781578.440719999</v>
      </c>
      <c r="H15" s="98">
        <f t="shared" si="2"/>
        <v>0.64791131776985811</v>
      </c>
      <c r="I15" s="156">
        <f t="shared" si="3"/>
        <v>-953775.25583826005</v>
      </c>
      <c r="J15" s="98">
        <f t="shared" si="4"/>
        <v>-4.0183738908283573</v>
      </c>
    </row>
    <row r="16" spans="2:13">
      <c r="B16" s="97" t="s">
        <v>17</v>
      </c>
      <c r="C16" s="156">
        <v>5088811.75</v>
      </c>
      <c r="D16" s="98">
        <f t="shared" si="0"/>
        <v>0.15254714326267749</v>
      </c>
      <c r="E16" s="156">
        <v>5084095.7895035082</v>
      </c>
      <c r="F16" s="98">
        <f t="shared" si="1"/>
        <v>0.14459240439449103</v>
      </c>
      <c r="G16" s="156">
        <v>5205854.4202499995</v>
      </c>
      <c r="H16" s="98">
        <f t="shared" si="2"/>
        <v>0.14805523709952459</v>
      </c>
      <c r="I16" s="156">
        <f t="shared" si="3"/>
        <v>121758.63074649125</v>
      </c>
      <c r="J16" s="98">
        <f t="shared" si="4"/>
        <v>2.394892539158505</v>
      </c>
      <c r="L16">
        <f>+G13/G8*100</f>
        <v>35.981913773670129</v>
      </c>
    </row>
    <row r="17" spans="2:12">
      <c r="B17" s="93" t="s">
        <v>19</v>
      </c>
      <c r="C17" s="166">
        <f>SUM(C18:C21)</f>
        <v>398494284.19</v>
      </c>
      <c r="D17" s="96">
        <f t="shared" si="0"/>
        <v>11.94565011364196</v>
      </c>
      <c r="E17" s="154">
        <f>+SUM(E18:E21)</f>
        <v>397823173.70918262</v>
      </c>
      <c r="F17" s="96">
        <f t="shared" si="1"/>
        <v>11.314147410286179</v>
      </c>
      <c r="G17" s="154">
        <f>+SUM(G18:G21)</f>
        <v>417559652.73636997</v>
      </c>
      <c r="H17" s="96">
        <f t="shared" si="2"/>
        <v>11.87545566940951</v>
      </c>
      <c r="I17" s="154">
        <f t="shared" si="3"/>
        <v>19736479.027187347</v>
      </c>
      <c r="J17" s="96">
        <f t="shared" si="4"/>
        <v>4.9611184896974265</v>
      </c>
    </row>
    <row r="18" spans="2:12">
      <c r="B18" s="97" t="s">
        <v>21</v>
      </c>
      <c r="C18" s="156">
        <v>241949355.72999999</v>
      </c>
      <c r="D18" s="98">
        <f t="shared" si="0"/>
        <v>7.2529079172277937</v>
      </c>
      <c r="E18" s="156">
        <v>234882396.70208701</v>
      </c>
      <c r="F18" s="98">
        <f t="shared" si="1"/>
        <v>6.6800886323213922</v>
      </c>
      <c r="G18" s="156">
        <v>254875867.28178996</v>
      </c>
      <c r="H18" s="98">
        <f t="shared" si="2"/>
        <v>7.2487057676000486</v>
      </c>
      <c r="I18" s="156">
        <f t="shared" si="3"/>
        <v>19993470.579702944</v>
      </c>
      <c r="J18" s="98">
        <f t="shared" si="4"/>
        <v>8.5121196225963445</v>
      </c>
      <c r="L18" s="156">
        <f>+G18-C18</f>
        <v>12926511.551789969</v>
      </c>
    </row>
    <row r="19" spans="2:12">
      <c r="B19" s="97" t="s">
        <v>23</v>
      </c>
      <c r="C19" s="156">
        <v>134703897.09</v>
      </c>
      <c r="D19" s="98">
        <f t="shared" si="0"/>
        <v>4.038014313936686</v>
      </c>
      <c r="E19" s="156">
        <v>138667298.82084399</v>
      </c>
      <c r="F19" s="98">
        <f t="shared" si="1"/>
        <v>3.9437176201106214</v>
      </c>
      <c r="G19" s="156">
        <v>139196347.37307</v>
      </c>
      <c r="H19" s="98">
        <f t="shared" si="2"/>
        <v>3.9587638358734543</v>
      </c>
      <c r="I19" s="156">
        <f t="shared" si="3"/>
        <v>529048.55222600698</v>
      </c>
      <c r="J19" s="98">
        <f t="shared" si="4"/>
        <v>0.3815236589482538</v>
      </c>
    </row>
    <row r="20" spans="2:12">
      <c r="B20" s="97" t="s">
        <v>25</v>
      </c>
      <c r="C20" s="156">
        <v>10770190.189999999</v>
      </c>
      <c r="D20" s="98">
        <f t="shared" si="0"/>
        <v>0.32285763879558199</v>
      </c>
      <c r="E20" s="156">
        <v>11617385.520490499</v>
      </c>
      <c r="F20" s="98">
        <f t="shared" si="1"/>
        <v>0.33040008975706336</v>
      </c>
      <c r="G20" s="156">
        <v>11434714.104369998</v>
      </c>
      <c r="H20" s="98">
        <f t="shared" si="2"/>
        <v>0.3252048888079504</v>
      </c>
      <c r="I20" s="156">
        <f t="shared" si="3"/>
        <v>-182671.41612050124</v>
      </c>
      <c r="J20" s="98">
        <f t="shared" si="4"/>
        <v>-1.5723969545325787</v>
      </c>
    </row>
    <row r="21" spans="2:12">
      <c r="B21" s="97" t="s">
        <v>27</v>
      </c>
      <c r="C21" s="156">
        <v>11070841.180000002</v>
      </c>
      <c r="D21" s="98">
        <f t="shared" si="0"/>
        <v>0.33187024368189877</v>
      </c>
      <c r="E21" s="155">
        <v>12656092.6657611</v>
      </c>
      <c r="F21" s="98">
        <f t="shared" si="1"/>
        <v>0.3599410680971038</v>
      </c>
      <c r="G21" s="156">
        <v>12052723.97714</v>
      </c>
      <c r="H21" s="98">
        <f t="shared" si="2"/>
        <v>0.34278117712805589</v>
      </c>
      <c r="I21" s="156">
        <f t="shared" si="3"/>
        <v>-603368.68862110004</v>
      </c>
      <c r="J21" s="98">
        <f t="shared" si="4"/>
        <v>-4.7674168051361647</v>
      </c>
    </row>
    <row r="22" spans="2:12">
      <c r="B22" s="93" t="s">
        <v>29</v>
      </c>
      <c r="C22" s="154">
        <f>SUM(C23:C26)</f>
        <v>27069458</v>
      </c>
      <c r="D22" s="96">
        <f t="shared" si="0"/>
        <v>0.81146025642804165</v>
      </c>
      <c r="E22" s="154">
        <f>+SUM(E23:E26)</f>
        <v>20923047.198280636</v>
      </c>
      <c r="F22" s="96">
        <f t="shared" si="1"/>
        <v>0.59505442598166625</v>
      </c>
      <c r="G22" s="154">
        <f>+SUM(G23:G26)</f>
        <v>19923047.198280636</v>
      </c>
      <c r="H22" s="96">
        <f t="shared" si="2"/>
        <v>0.56661428433582772</v>
      </c>
      <c r="I22" s="154">
        <f t="shared" si="3"/>
        <v>-1000000</v>
      </c>
      <c r="J22" s="96">
        <f t="shared" si="4"/>
        <v>-4.7794185546843977</v>
      </c>
    </row>
    <row r="23" spans="2:12">
      <c r="B23" s="97" t="s">
        <v>31</v>
      </c>
      <c r="C23" s="156">
        <v>7881462.9399999995</v>
      </c>
      <c r="D23" s="98">
        <f t="shared" si="0"/>
        <v>0.23626235657620134</v>
      </c>
      <c r="E23" s="156">
        <v>8144616.5029747505</v>
      </c>
      <c r="F23" s="98">
        <f t="shared" si="1"/>
        <v>0.23163404699563594</v>
      </c>
      <c r="G23" s="156">
        <v>8144616.5029747505</v>
      </c>
      <c r="H23" s="98">
        <f t="shared" si="2"/>
        <v>0.23163404699563594</v>
      </c>
      <c r="I23" s="156">
        <f t="shared" si="3"/>
        <v>0</v>
      </c>
      <c r="J23" s="98">
        <f t="shared" si="4"/>
        <v>0</v>
      </c>
    </row>
    <row r="24" spans="2:12">
      <c r="B24" s="97" t="s">
        <v>32</v>
      </c>
      <c r="C24" s="156">
        <v>4557791.26</v>
      </c>
      <c r="D24" s="98">
        <f t="shared" si="0"/>
        <v>0.13662875941531916</v>
      </c>
      <c r="E24" s="156">
        <v>3676083.5729169641</v>
      </c>
      <c r="F24" s="98">
        <f t="shared" si="1"/>
        <v>0.10454833751569864</v>
      </c>
      <c r="G24" s="156">
        <v>5176083.5729169641</v>
      </c>
      <c r="H24" s="98">
        <f t="shared" si="2"/>
        <v>0.14720854998445643</v>
      </c>
      <c r="I24" s="156">
        <f t="shared" si="3"/>
        <v>1500000</v>
      </c>
      <c r="J24" s="98">
        <f t="shared" si="4"/>
        <v>40.804295393364868</v>
      </c>
    </row>
    <row r="25" spans="2:12">
      <c r="B25" s="97" t="s">
        <v>34</v>
      </c>
      <c r="C25" s="156">
        <v>767936.98999999987</v>
      </c>
      <c r="D25" s="98">
        <f t="shared" si="0"/>
        <v>2.3020422013103413E-2</v>
      </c>
      <c r="E25" s="156">
        <v>762511.44191594806</v>
      </c>
      <c r="F25" s="98">
        <f t="shared" si="1"/>
        <v>2.1685933414662142E-2</v>
      </c>
      <c r="G25" s="156">
        <v>762511.44191594806</v>
      </c>
      <c r="H25" s="98">
        <f t="shared" si="2"/>
        <v>2.1685933414662142E-2</v>
      </c>
      <c r="I25" s="156">
        <f t="shared" si="3"/>
        <v>0</v>
      </c>
      <c r="J25" s="98">
        <f t="shared" si="4"/>
        <v>0</v>
      </c>
    </row>
    <row r="26" spans="2:12">
      <c r="B26" s="97" t="s">
        <v>37</v>
      </c>
      <c r="C26" s="155">
        <v>13862266.809999999</v>
      </c>
      <c r="D26" s="98">
        <f t="shared" si="0"/>
        <v>0.41554871842341756</v>
      </c>
      <c r="E26" s="155">
        <v>8339835.6804729737</v>
      </c>
      <c r="F26" s="98">
        <f t="shared" si="1"/>
        <v>0.23718610805566953</v>
      </c>
      <c r="G26" s="155">
        <v>5839835.6804729737</v>
      </c>
      <c r="H26" s="98">
        <f t="shared" si="2"/>
        <v>0.16608575394107319</v>
      </c>
      <c r="I26" s="155">
        <f t="shared" si="3"/>
        <v>-2500000</v>
      </c>
      <c r="J26" s="98">
        <f t="shared" si="4"/>
        <v>-29.976609801240343</v>
      </c>
    </row>
    <row r="27" spans="2:12">
      <c r="B27" s="93" t="s">
        <v>39</v>
      </c>
      <c r="C27" s="154">
        <f>SUM(C28:C33)</f>
        <v>13233490.18</v>
      </c>
      <c r="D27" s="96">
        <f t="shared" si="0"/>
        <v>0.39669990196703492</v>
      </c>
      <c r="E27" s="154">
        <f>+SUM(E28:E33)</f>
        <v>13024243.76827177</v>
      </c>
      <c r="F27" s="96">
        <f t="shared" si="1"/>
        <v>0.37041133759957889</v>
      </c>
      <c r="G27" s="154">
        <f>+SUM(G28:G33)</f>
        <v>12724243.76827177</v>
      </c>
      <c r="H27" s="96">
        <f t="shared" si="2"/>
        <v>0.36187929510582734</v>
      </c>
      <c r="I27" s="154">
        <f t="shared" si="3"/>
        <v>-300000</v>
      </c>
      <c r="J27" s="96">
        <f t="shared" si="4"/>
        <v>-2.3033966911063715</v>
      </c>
    </row>
    <row r="28" spans="2:12">
      <c r="B28" s="97" t="s">
        <v>40</v>
      </c>
      <c r="C28" s="156">
        <v>647266.8600000001</v>
      </c>
      <c r="D28" s="98">
        <f t="shared" si="0"/>
        <v>1.9403097475870164E-2</v>
      </c>
      <c r="E28" s="156">
        <v>698651.48499726248</v>
      </c>
      <c r="F28" s="98">
        <f t="shared" si="1"/>
        <v>1.9869747194397578E-2</v>
      </c>
      <c r="G28" s="156">
        <v>698651.48499726248</v>
      </c>
      <c r="H28" s="98">
        <f t="shared" si="2"/>
        <v>1.9869747194397578E-2</v>
      </c>
      <c r="I28" s="156">
        <f t="shared" si="3"/>
        <v>0</v>
      </c>
      <c r="J28" s="98">
        <f t="shared" si="4"/>
        <v>0</v>
      </c>
    </row>
    <row r="29" spans="2:12">
      <c r="B29" s="97" t="s">
        <v>42</v>
      </c>
      <c r="C29" s="156">
        <v>1995183.6300000001</v>
      </c>
      <c r="D29" s="98">
        <f t="shared" si="0"/>
        <v>5.9809554370125591E-2</v>
      </c>
      <c r="E29" s="156">
        <v>1997965.7673730874</v>
      </c>
      <c r="F29" s="98">
        <f t="shared" si="1"/>
        <v>5.6822429427627073E-2</v>
      </c>
      <c r="G29" s="156">
        <v>1997965.7673730874</v>
      </c>
      <c r="H29" s="98">
        <f t="shared" si="2"/>
        <v>5.6822429427627073E-2</v>
      </c>
      <c r="I29" s="156">
        <f t="shared" si="3"/>
        <v>0</v>
      </c>
      <c r="J29" s="98">
        <f t="shared" si="4"/>
        <v>0</v>
      </c>
    </row>
    <row r="30" spans="2:12">
      <c r="B30" s="97" t="s">
        <v>45</v>
      </c>
      <c r="C30" s="156">
        <v>309851.25</v>
      </c>
      <c r="D30" s="98">
        <f t="shared" si="0"/>
        <v>9.2884007791936302E-3</v>
      </c>
      <c r="E30" s="156">
        <v>424373.88097611902</v>
      </c>
      <c r="F30" s="98">
        <f t="shared" si="1"/>
        <v>1.2069253285755047E-2</v>
      </c>
      <c r="G30" s="156">
        <v>424373.88097611902</v>
      </c>
      <c r="H30" s="98">
        <f t="shared" si="2"/>
        <v>1.2069253285755047E-2</v>
      </c>
      <c r="I30" s="156">
        <f t="shared" si="3"/>
        <v>0</v>
      </c>
      <c r="J30" s="98">
        <f t="shared" si="4"/>
        <v>0</v>
      </c>
    </row>
    <row r="31" spans="2:12">
      <c r="B31" s="97" t="s">
        <v>47</v>
      </c>
      <c r="C31" s="156">
        <v>3324177.16</v>
      </c>
      <c r="D31" s="98">
        <f t="shared" si="0"/>
        <v>9.9648749918296836E-2</v>
      </c>
      <c r="E31" s="156">
        <v>3266343.0516235088</v>
      </c>
      <c r="F31" s="98">
        <f t="shared" si="1"/>
        <v>9.2895259052073062E-2</v>
      </c>
      <c r="G31" s="156">
        <v>3666343.0516235088</v>
      </c>
      <c r="H31" s="98">
        <f t="shared" si="2"/>
        <v>0.10427131571040847</v>
      </c>
      <c r="I31" s="156">
        <f t="shared" si="3"/>
        <v>400000</v>
      </c>
      <c r="J31" s="98">
        <f t="shared" si="4"/>
        <v>12.246111130341419</v>
      </c>
    </row>
    <row r="32" spans="2:12">
      <c r="B32" s="97" t="s">
        <v>50</v>
      </c>
      <c r="C32" s="156">
        <v>3659024.1899999995</v>
      </c>
      <c r="D32" s="98">
        <f t="shared" si="0"/>
        <v>0.10968644837638813</v>
      </c>
      <c r="E32" s="156">
        <v>3355752.0175728933</v>
      </c>
      <c r="F32" s="98">
        <f t="shared" si="1"/>
        <v>9.5438062708081514E-2</v>
      </c>
      <c r="G32" s="156">
        <v>3355752.0175728933</v>
      </c>
      <c r="H32" s="98">
        <f t="shared" si="2"/>
        <v>9.5438062708081514E-2</v>
      </c>
      <c r="I32" s="156">
        <f t="shared" si="3"/>
        <v>0</v>
      </c>
      <c r="J32" s="98">
        <f t="shared" si="4"/>
        <v>0</v>
      </c>
    </row>
    <row r="33" spans="2:10">
      <c r="B33" s="97" t="s">
        <v>51</v>
      </c>
      <c r="C33" s="156">
        <v>3297987.09</v>
      </c>
      <c r="D33" s="98">
        <f t="shared" si="0"/>
        <v>9.8863651047160633E-2</v>
      </c>
      <c r="E33" s="156">
        <v>3281157.5657288986</v>
      </c>
      <c r="F33" s="98">
        <f t="shared" si="1"/>
        <v>9.331658593164463E-2</v>
      </c>
      <c r="G33" s="156">
        <v>2581157.5657288986</v>
      </c>
      <c r="H33" s="98">
        <f t="shared" si="2"/>
        <v>7.340848677955765E-2</v>
      </c>
      <c r="I33" s="156">
        <f t="shared" si="3"/>
        <v>-700000</v>
      </c>
      <c r="J33" s="98">
        <f t="shared" si="4"/>
        <v>-21.333934319746618</v>
      </c>
    </row>
    <row r="34" spans="2:10">
      <c r="B34" s="93" t="s">
        <v>53</v>
      </c>
      <c r="C34" s="154">
        <f>SUM(C35:C38)</f>
        <v>33088194.540000003</v>
      </c>
      <c r="D34" s="96">
        <f t="shared" si="0"/>
        <v>0.99188372468223518</v>
      </c>
      <c r="E34" s="154">
        <f>+SUM(E35:E38)</f>
        <v>31410770.914738216</v>
      </c>
      <c r="F34" s="96">
        <f t="shared" si="1"/>
        <v>0.89332677402013982</v>
      </c>
      <c r="G34" s="154">
        <f>+SUM(G35:G38)</f>
        <v>31310770.914738216</v>
      </c>
      <c r="H34" s="96">
        <f t="shared" si="2"/>
        <v>0.89048275985555603</v>
      </c>
      <c r="I34" s="154">
        <f t="shared" si="3"/>
        <v>-100000</v>
      </c>
      <c r="J34" s="96">
        <f t="shared" si="4"/>
        <v>-0.318362132121635</v>
      </c>
    </row>
    <row r="35" spans="2:10">
      <c r="B35" s="97" t="s">
        <v>55</v>
      </c>
      <c r="C35" s="156">
        <v>6034873.3200000003</v>
      </c>
      <c r="D35" s="98">
        <f t="shared" si="0"/>
        <v>0.18090719998006413</v>
      </c>
      <c r="E35" s="156">
        <v>5533606.7424404304</v>
      </c>
      <c r="F35" s="98">
        <f t="shared" si="1"/>
        <v>0.15737655956737298</v>
      </c>
      <c r="G35" s="156">
        <v>6533606.7424404304</v>
      </c>
      <c r="H35" s="98">
        <f t="shared" si="2"/>
        <v>0.1858167012132115</v>
      </c>
      <c r="I35" s="156">
        <f t="shared" si="3"/>
        <v>1000000</v>
      </c>
      <c r="J35" s="98">
        <f t="shared" si="4"/>
        <v>18.071396225727824</v>
      </c>
    </row>
    <row r="36" spans="2:10">
      <c r="B36" s="97" t="s">
        <v>57</v>
      </c>
      <c r="C36" s="156">
        <v>12316700.43</v>
      </c>
      <c r="D36" s="98">
        <f t="shared" si="0"/>
        <v>0.36921732563966259</v>
      </c>
      <c r="E36" s="156">
        <v>11824073.889814863</v>
      </c>
      <c r="F36" s="98">
        <f t="shared" si="1"/>
        <v>0.33627833625719566</v>
      </c>
      <c r="G36" s="156">
        <v>12424073.889814863</v>
      </c>
      <c r="H36" s="98">
        <f t="shared" si="2"/>
        <v>0.35334242124469878</v>
      </c>
      <c r="I36" s="156">
        <f t="shared" si="3"/>
        <v>600000</v>
      </c>
      <c r="J36" s="98">
        <f t="shared" si="4"/>
        <v>5.0743931879251249</v>
      </c>
    </row>
    <row r="37" spans="2:10">
      <c r="B37" s="97" t="s">
        <v>59</v>
      </c>
      <c r="C37" s="156">
        <v>2179410.2600000002</v>
      </c>
      <c r="D37" s="98">
        <f t="shared" si="0"/>
        <v>6.5332110027526411E-2</v>
      </c>
      <c r="E37" s="156">
        <v>2220205.3434794326</v>
      </c>
      <c r="F37" s="98">
        <f t="shared" si="1"/>
        <v>6.3142954451402653E-2</v>
      </c>
      <c r="G37" s="156">
        <v>2220205.3434794326</v>
      </c>
      <c r="H37" s="98">
        <f t="shared" si="2"/>
        <v>6.3142954451402653E-2</v>
      </c>
      <c r="I37" s="156">
        <f t="shared" si="3"/>
        <v>0</v>
      </c>
      <c r="J37" s="98">
        <f t="shared" si="4"/>
        <v>0</v>
      </c>
    </row>
    <row r="38" spans="2:10">
      <c r="B38" s="97" t="s">
        <v>53</v>
      </c>
      <c r="C38" s="156">
        <v>12557210.530000001</v>
      </c>
      <c r="D38" s="98">
        <f t="shared" si="0"/>
        <v>0.37642708903498195</v>
      </c>
      <c r="E38" s="156">
        <v>11832884.939003492</v>
      </c>
      <c r="F38" s="98">
        <f t="shared" si="1"/>
        <v>0.33652892374416871</v>
      </c>
      <c r="G38" s="156">
        <v>10132884.939003492</v>
      </c>
      <c r="H38" s="98">
        <f t="shared" si="2"/>
        <v>0.28818068294624322</v>
      </c>
      <c r="I38" s="156">
        <f t="shared" si="3"/>
        <v>-1700000</v>
      </c>
      <c r="J38" s="98">
        <f t="shared" si="4"/>
        <v>-14.366741574545941</v>
      </c>
    </row>
    <row r="39" spans="2:10">
      <c r="B39" s="93" t="s">
        <v>255</v>
      </c>
      <c r="C39" s="154">
        <v>7564493.0600000005</v>
      </c>
      <c r="D39" s="96">
        <f t="shared" si="0"/>
        <v>0.22676056085850488</v>
      </c>
      <c r="E39" s="154">
        <v>7046262.4871663069</v>
      </c>
      <c r="F39" s="96">
        <f t="shared" si="1"/>
        <v>0.20039670320876826</v>
      </c>
      <c r="G39" s="154">
        <v>7738476.4003799995</v>
      </c>
      <c r="H39" s="96">
        <f t="shared" si="2"/>
        <v>0.22008336494978584</v>
      </c>
      <c r="I39" s="154">
        <f t="shared" si="3"/>
        <v>692213.91321369261</v>
      </c>
      <c r="J39" s="96">
        <f t="shared" si="4"/>
        <v>9.8238451161087852</v>
      </c>
    </row>
    <row r="40" spans="2:10" ht="13.5" thickBot="1">
      <c r="B40" s="93" t="s">
        <v>123</v>
      </c>
      <c r="C40" s="156">
        <v>6615451.54</v>
      </c>
      <c r="D40" s="98">
        <f t="shared" si="0"/>
        <v>0.19831117427750797</v>
      </c>
      <c r="E40" s="154">
        <v>8000000</v>
      </c>
      <c r="F40" s="96">
        <f t="shared" si="1"/>
        <v>0.22752113316670824</v>
      </c>
      <c r="G40" s="154">
        <v>8000000</v>
      </c>
      <c r="H40" s="96">
        <f t="shared" si="2"/>
        <v>0.22752113316670824</v>
      </c>
      <c r="I40" s="154">
        <f t="shared" si="3"/>
        <v>0</v>
      </c>
      <c r="J40" s="96">
        <f t="shared" si="4"/>
        <v>0</v>
      </c>
    </row>
    <row r="41" spans="2:10" ht="14.25" thickTop="1" thickBot="1">
      <c r="B41" s="90" t="s">
        <v>62</v>
      </c>
      <c r="C41" s="91">
        <f>+C43+C54+C60+SUM(C63:C67)</f>
        <v>1363467004.0629177</v>
      </c>
      <c r="D41" s="92">
        <f t="shared" si="0"/>
        <v>40.87260575176898</v>
      </c>
      <c r="E41" s="91">
        <f>+E43+E54+E60+SUM(E63:E67)</f>
        <v>1327102106.4899998</v>
      </c>
      <c r="F41" s="92">
        <f t="shared" si="1"/>
        <v>37.742971887066275</v>
      </c>
      <c r="G41" s="91">
        <f>+G43+G54+G60+SUM(G63:G67)</f>
        <v>1342758271.0799997</v>
      </c>
      <c r="H41" s="92">
        <f t="shared" si="2"/>
        <v>38.188235425636442</v>
      </c>
      <c r="I41" s="91">
        <f t="shared" si="3"/>
        <v>15656164.589999914</v>
      </c>
      <c r="J41" s="92">
        <f t="shared" si="4"/>
        <v>1.1797256980782294</v>
      </c>
    </row>
    <row r="42" spans="2:10" ht="14.25" thickTop="1" thickBot="1">
      <c r="B42" s="90" t="s">
        <v>126</v>
      </c>
      <c r="C42" s="91">
        <f>+C41-C63</f>
        <v>1301681501.2029178</v>
      </c>
      <c r="D42" s="92">
        <f t="shared" si="0"/>
        <v>39.020463754898891</v>
      </c>
      <c r="E42" s="91">
        <f>+E41-E63</f>
        <v>1225281606.4899998</v>
      </c>
      <c r="F42" s="92">
        <f t="shared" si="1"/>
        <v>34.84718244461618</v>
      </c>
      <c r="G42" s="91">
        <f>+G41-G63</f>
        <v>1240937771.0799997</v>
      </c>
      <c r="H42" s="92">
        <f t="shared" si="2"/>
        <v>35.29244598318634</v>
      </c>
      <c r="I42" s="91">
        <f t="shared" ref="I42:I73" si="5">+G42-E42</f>
        <v>15656164.589999914</v>
      </c>
      <c r="J42" s="92">
        <f t="shared" si="4"/>
        <v>1.2777605170169295</v>
      </c>
    </row>
    <row r="43" spans="2:10" ht="13.5" thickTop="1">
      <c r="B43" s="93" t="s">
        <v>63</v>
      </c>
      <c r="C43" s="94">
        <f>+SUM(C44:C53)</f>
        <v>600287648.01291776</v>
      </c>
      <c r="D43" s="96">
        <f t="shared" si="0"/>
        <v>17.994803175857761</v>
      </c>
      <c r="E43" s="94">
        <f>+SUM(E44:E53)</f>
        <v>615023510.13</v>
      </c>
      <c r="F43" s="96">
        <f t="shared" si="1"/>
        <v>17.491355743618005</v>
      </c>
      <c r="G43" s="94">
        <f>+SUM(G44:G53)</f>
        <v>625526473.45999992</v>
      </c>
      <c r="H43" s="96">
        <f t="shared" si="2"/>
        <v>17.790061508424255</v>
      </c>
      <c r="I43" s="94">
        <f t="shared" si="5"/>
        <v>10502963.329999924</v>
      </c>
      <c r="J43" s="96">
        <f t="shared" si="4"/>
        <v>1.7077336324557564</v>
      </c>
    </row>
    <row r="44" spans="2:10">
      <c r="B44" s="93" t="s">
        <v>64</v>
      </c>
      <c r="C44" s="154">
        <v>366128508.17291778</v>
      </c>
      <c r="D44" s="96">
        <f t="shared" si="0"/>
        <v>10.975422305375018</v>
      </c>
      <c r="E44" s="154">
        <v>386488693.71999997</v>
      </c>
      <c r="F44" s="96">
        <f t="shared" si="1"/>
        <v>10.991793193911903</v>
      </c>
      <c r="G44" s="154">
        <v>386488693.71999997</v>
      </c>
      <c r="H44" s="96">
        <f t="shared" si="2"/>
        <v>10.991793193911903</v>
      </c>
      <c r="I44" s="154">
        <f t="shared" si="5"/>
        <v>0</v>
      </c>
      <c r="J44" s="96">
        <f t="shared" si="4"/>
        <v>0</v>
      </c>
    </row>
    <row r="45" spans="2:10">
      <c r="B45" s="93" t="s">
        <v>75</v>
      </c>
      <c r="C45" s="154">
        <v>12022159.040000001</v>
      </c>
      <c r="D45" s="96">
        <f t="shared" si="0"/>
        <v>0.36038786803256645</v>
      </c>
      <c r="E45" s="154">
        <v>11478163.960000001</v>
      </c>
      <c r="F45" s="96">
        <f t="shared" si="1"/>
        <v>0.3264406088565589</v>
      </c>
      <c r="G45" s="154">
        <v>11478163.960000001</v>
      </c>
      <c r="H45" s="96">
        <f t="shared" si="2"/>
        <v>0.3264406088565589</v>
      </c>
      <c r="I45" s="154">
        <f t="shared" si="5"/>
        <v>0</v>
      </c>
      <c r="J45" s="96">
        <f t="shared" si="4"/>
        <v>0</v>
      </c>
    </row>
    <row r="46" spans="2:10">
      <c r="B46" s="93" t="s">
        <v>429</v>
      </c>
      <c r="C46" s="154">
        <v>90442340.840000004</v>
      </c>
      <c r="D46" s="96">
        <f t="shared" si="0"/>
        <v>2.7111870910004456</v>
      </c>
      <c r="E46" s="154">
        <v>89210330.25999999</v>
      </c>
      <c r="F46" s="96">
        <f t="shared" si="1"/>
        <v>2.5371544288664349</v>
      </c>
      <c r="G46" s="154">
        <v>29295302.830000002</v>
      </c>
      <c r="H46" s="96">
        <f t="shared" si="2"/>
        <v>0.83316256204293437</v>
      </c>
      <c r="I46" s="154">
        <f t="shared" si="5"/>
        <v>-59915027.429999992</v>
      </c>
      <c r="J46" s="96">
        <f t="shared" si="4"/>
        <v>-67.161535278907735</v>
      </c>
    </row>
    <row r="47" spans="2:10">
      <c r="B47" s="93" t="s">
        <v>430</v>
      </c>
      <c r="C47" s="154"/>
      <c r="D47" s="96">
        <f t="shared" si="0"/>
        <v>0</v>
      </c>
      <c r="E47" s="154"/>
      <c r="F47" s="96">
        <f t="shared" si="1"/>
        <v>0</v>
      </c>
      <c r="G47" s="154">
        <v>40692845.799999997</v>
      </c>
      <c r="H47" s="96">
        <f t="shared" si="2"/>
        <v>1.1573102985242654</v>
      </c>
      <c r="I47" s="154">
        <f t="shared" si="5"/>
        <v>40692845.799999997</v>
      </c>
      <c r="J47" s="96" t="e">
        <f t="shared" si="4"/>
        <v>#DIV/0!</v>
      </c>
    </row>
    <row r="48" spans="2:10">
      <c r="B48" s="93" t="s">
        <v>431</v>
      </c>
      <c r="C48" s="154">
        <v>20416485.639999997</v>
      </c>
      <c r="D48" s="96">
        <f t="shared" si="0"/>
        <v>0.61202432175752564</v>
      </c>
      <c r="E48" s="154">
        <v>21655403.200000003</v>
      </c>
      <c r="F48" s="96">
        <f t="shared" si="1"/>
        <v>0.61588273440574504</v>
      </c>
      <c r="G48" s="154">
        <v>21655403.200000003</v>
      </c>
      <c r="H48" s="96">
        <f t="shared" si="2"/>
        <v>0.61588273440574504</v>
      </c>
      <c r="I48" s="154">
        <f t="shared" si="5"/>
        <v>0</v>
      </c>
      <c r="J48" s="96">
        <f t="shared" si="4"/>
        <v>0</v>
      </c>
    </row>
    <row r="49" spans="2:10">
      <c r="B49" s="93" t="s">
        <v>80</v>
      </c>
      <c r="C49" s="154">
        <v>67427730.789999992</v>
      </c>
      <c r="D49" s="96">
        <f t="shared" si="0"/>
        <v>2.0212788788462022</v>
      </c>
      <c r="E49" s="154">
        <v>73316123.120000005</v>
      </c>
      <c r="F49" s="96">
        <f t="shared" si="1"/>
        <v>2.0851209264565371</v>
      </c>
      <c r="G49" s="154">
        <v>73316123.120000005</v>
      </c>
      <c r="H49" s="96">
        <f t="shared" si="2"/>
        <v>2.0851209264565371</v>
      </c>
      <c r="I49" s="154">
        <f t="shared" si="5"/>
        <v>0</v>
      </c>
      <c r="J49" s="96">
        <f t="shared" si="4"/>
        <v>0</v>
      </c>
    </row>
    <row r="50" spans="2:10">
      <c r="B50" s="93" t="s">
        <v>82</v>
      </c>
      <c r="C50" s="154">
        <v>7928041.8100000005</v>
      </c>
      <c r="D50" s="96">
        <f t="shared" si="0"/>
        <v>0.23765864983757101</v>
      </c>
      <c r="E50" s="154">
        <v>8172802.1399999997</v>
      </c>
      <c r="F50" s="96">
        <f t="shared" si="1"/>
        <v>0.23243565050501225</v>
      </c>
      <c r="G50" s="154">
        <v>8172802.1399999997</v>
      </c>
      <c r="H50" s="96">
        <f t="shared" si="2"/>
        <v>0.23243565050501225</v>
      </c>
      <c r="I50" s="154">
        <f t="shared" si="5"/>
        <v>0</v>
      </c>
      <c r="J50" s="96">
        <f t="shared" si="4"/>
        <v>0</v>
      </c>
    </row>
    <row r="51" spans="2:10">
      <c r="B51" s="93" t="s">
        <v>84</v>
      </c>
      <c r="C51" s="154">
        <v>17426749.959999997</v>
      </c>
      <c r="D51" s="96">
        <f t="shared" si="0"/>
        <v>0.52240111313824467</v>
      </c>
      <c r="E51" s="154">
        <v>18874600</v>
      </c>
      <c r="F51" s="96">
        <f t="shared" si="1"/>
        <v>0.53679629750854385</v>
      </c>
      <c r="G51" s="154">
        <v>18874600</v>
      </c>
      <c r="H51" s="96">
        <f t="shared" si="2"/>
        <v>0.53679629750854385</v>
      </c>
      <c r="I51" s="154">
        <f t="shared" si="5"/>
        <v>0</v>
      </c>
      <c r="J51" s="96">
        <f t="shared" si="4"/>
        <v>0</v>
      </c>
    </row>
    <row r="52" spans="2:10">
      <c r="B52" s="93" t="s">
        <v>86</v>
      </c>
      <c r="C52" s="154">
        <v>6279093.0100000007</v>
      </c>
      <c r="D52" s="96">
        <f t="shared" si="0"/>
        <v>0.18822816563339112</v>
      </c>
      <c r="E52" s="154">
        <v>5827393.7300000023</v>
      </c>
      <c r="F52" s="96">
        <f t="shared" si="1"/>
        <v>0.16573190310727137</v>
      </c>
      <c r="G52" s="154">
        <v>25049575.370000001</v>
      </c>
      <c r="H52" s="96">
        <f t="shared" si="2"/>
        <v>0.71241347169090818</v>
      </c>
      <c r="I52" s="154">
        <f t="shared" si="5"/>
        <v>19222181.640000001</v>
      </c>
      <c r="J52" s="96">
        <f>+G52/E52*100-100</f>
        <v>329.85898208734892</v>
      </c>
    </row>
    <row r="53" spans="2:10">
      <c r="B53" s="93" t="s">
        <v>130</v>
      </c>
      <c r="C53" s="154">
        <v>12216538.75</v>
      </c>
      <c r="D53" s="160">
        <f t="shared" si="0"/>
        <v>0.36621478223679643</v>
      </c>
      <c r="E53" s="154"/>
      <c r="F53" s="160">
        <f t="shared" si="1"/>
        <v>0</v>
      </c>
      <c r="G53" s="154">
        <v>10502963.32</v>
      </c>
      <c r="H53" s="160">
        <f t="shared" si="2"/>
        <v>0.2987057645218465</v>
      </c>
      <c r="I53" s="154">
        <f t="shared" si="5"/>
        <v>10502963.32</v>
      </c>
      <c r="J53" s="160" t="e">
        <f t="shared" si="4"/>
        <v>#DIV/0!</v>
      </c>
    </row>
    <row r="54" spans="2:10">
      <c r="B54" s="93" t="s">
        <v>87</v>
      </c>
      <c r="C54" s="94">
        <f>+SUM(C55:C59)</f>
        <v>482967769.27999985</v>
      </c>
      <c r="D54" s="96">
        <f t="shared" si="0"/>
        <v>14.47790901119734</v>
      </c>
      <c r="E54" s="94">
        <f>+SUM(E55:E59)</f>
        <v>498223398.96999997</v>
      </c>
      <c r="F54" s="96">
        <f t="shared" si="1"/>
        <v>14.169544037977921</v>
      </c>
      <c r="G54" s="94">
        <f>+SUM(G55:G59)</f>
        <v>498223398.96999997</v>
      </c>
      <c r="H54" s="96">
        <f t="shared" si="2"/>
        <v>14.169544037977921</v>
      </c>
      <c r="I54" s="94">
        <f t="shared" si="5"/>
        <v>0</v>
      </c>
      <c r="J54" s="96">
        <f t="shared" si="4"/>
        <v>0</v>
      </c>
    </row>
    <row r="55" spans="2:10">
      <c r="B55" s="97" t="s">
        <v>89</v>
      </c>
      <c r="C55" s="156">
        <v>64036543.990000002</v>
      </c>
      <c r="D55" s="98">
        <f t="shared" si="0"/>
        <v>1.919621383142986</v>
      </c>
      <c r="E55" s="156">
        <v>58645000</v>
      </c>
      <c r="F55" s="98">
        <f t="shared" si="1"/>
        <v>1.6678721068202007</v>
      </c>
      <c r="G55" s="156">
        <v>58645000</v>
      </c>
      <c r="H55" s="98">
        <f t="shared" si="2"/>
        <v>1.6678721068202007</v>
      </c>
      <c r="I55" s="156">
        <f t="shared" si="5"/>
        <v>0</v>
      </c>
      <c r="J55" s="98">
        <f t="shared" si="4"/>
        <v>0</v>
      </c>
    </row>
    <row r="56" spans="2:10">
      <c r="B56" s="97" t="s">
        <v>91</v>
      </c>
      <c r="C56" s="156">
        <v>13086355.520000001</v>
      </c>
      <c r="D56" s="98">
        <f t="shared" si="0"/>
        <v>0.39228925108022916</v>
      </c>
      <c r="E56" s="156">
        <v>20758124</v>
      </c>
      <c r="F56" s="98">
        <f t="shared" si="1"/>
        <v>0.59036398686188019</v>
      </c>
      <c r="G56" s="156">
        <v>20758124</v>
      </c>
      <c r="H56" s="98">
        <f t="shared" si="2"/>
        <v>0.59036398686188019</v>
      </c>
      <c r="I56" s="156">
        <f t="shared" si="5"/>
        <v>0</v>
      </c>
      <c r="J56" s="98">
        <f t="shared" si="4"/>
        <v>0</v>
      </c>
    </row>
    <row r="57" spans="2:10">
      <c r="B57" s="97" t="s">
        <v>93</v>
      </c>
      <c r="C57" s="156">
        <v>383190248.31999987</v>
      </c>
      <c r="D57" s="98">
        <f t="shared" si="0"/>
        <v>11.486881531298929</v>
      </c>
      <c r="E57" s="156">
        <v>397320274.96999997</v>
      </c>
      <c r="F57" s="98">
        <f t="shared" si="1"/>
        <v>11.299844898910312</v>
      </c>
      <c r="G57" s="156">
        <v>397320274.96999997</v>
      </c>
      <c r="H57" s="98">
        <f t="shared" si="2"/>
        <v>11.299844898910312</v>
      </c>
      <c r="I57" s="156">
        <f t="shared" si="5"/>
        <v>0</v>
      </c>
      <c r="J57" s="98">
        <f t="shared" si="4"/>
        <v>0</v>
      </c>
    </row>
    <row r="58" spans="2:10">
      <c r="B58" s="97" t="s">
        <v>95</v>
      </c>
      <c r="C58" s="156">
        <v>14792096.089999998</v>
      </c>
      <c r="D58" s="98">
        <f t="shared" si="0"/>
        <v>0.44342218031478986</v>
      </c>
      <c r="E58" s="156">
        <v>14500000</v>
      </c>
      <c r="F58" s="98">
        <f t="shared" si="1"/>
        <v>0.4123820538646587</v>
      </c>
      <c r="G58" s="156">
        <v>14500000</v>
      </c>
      <c r="H58" s="98">
        <f t="shared" si="2"/>
        <v>0.4123820538646587</v>
      </c>
      <c r="I58" s="156">
        <f t="shared" si="5"/>
        <v>0</v>
      </c>
      <c r="J58" s="98">
        <f t="shared" si="4"/>
        <v>0</v>
      </c>
    </row>
    <row r="59" spans="2:10">
      <c r="B59" s="97" t="s">
        <v>432</v>
      </c>
      <c r="C59" s="156">
        <v>7862525.3600000013</v>
      </c>
      <c r="D59" s="98">
        <f t="shared" si="0"/>
        <v>0.23569466536040659</v>
      </c>
      <c r="E59" s="156">
        <v>7000000</v>
      </c>
      <c r="F59" s="98">
        <f t="shared" si="1"/>
        <v>0.19908099152086972</v>
      </c>
      <c r="G59" s="156">
        <v>7000000</v>
      </c>
      <c r="H59" s="98">
        <f t="shared" si="2"/>
        <v>0.19908099152086972</v>
      </c>
      <c r="I59" s="156">
        <f t="shared" si="5"/>
        <v>0</v>
      </c>
      <c r="J59" s="98">
        <f t="shared" si="4"/>
        <v>0</v>
      </c>
    </row>
    <row r="60" spans="2:10">
      <c r="B60" s="93" t="s">
        <v>433</v>
      </c>
      <c r="C60" s="94">
        <f>+SUM(C61:C62)</f>
        <v>94307106.209999993</v>
      </c>
      <c r="D60" s="96">
        <f t="shared" si="0"/>
        <v>2.8270410359953697</v>
      </c>
      <c r="E60" s="94">
        <f>+SUM(E61:E62)</f>
        <v>101040047.61999999</v>
      </c>
      <c r="F60" s="96">
        <f t="shared" si="1"/>
        <v>2.8735932662150696</v>
      </c>
      <c r="G60" s="94">
        <f>+SUM(G61:G62)</f>
        <v>101040047.61999999</v>
      </c>
      <c r="H60" s="96">
        <f t="shared" si="2"/>
        <v>2.8735932662150696</v>
      </c>
      <c r="I60" s="94">
        <f t="shared" si="5"/>
        <v>0</v>
      </c>
      <c r="J60" s="96">
        <f t="shared" si="4"/>
        <v>0</v>
      </c>
    </row>
    <row r="61" spans="2:10">
      <c r="B61" s="97" t="s">
        <v>433</v>
      </c>
      <c r="C61" s="156">
        <v>94307106.209999993</v>
      </c>
      <c r="D61" s="98">
        <f t="shared" si="0"/>
        <v>2.8270410359953697</v>
      </c>
      <c r="E61" s="156">
        <v>101040047.61999999</v>
      </c>
      <c r="F61" s="98">
        <f t="shared" si="1"/>
        <v>2.8735932662150696</v>
      </c>
      <c r="G61" s="156">
        <v>101040047.61999999</v>
      </c>
      <c r="H61" s="98">
        <f t="shared" si="2"/>
        <v>2.8735932662150696</v>
      </c>
      <c r="I61" s="156">
        <f t="shared" si="5"/>
        <v>0</v>
      </c>
      <c r="J61" s="98">
        <f t="shared" si="4"/>
        <v>0</v>
      </c>
    </row>
    <row r="62" spans="2:10" ht="13.5" thickBot="1">
      <c r="B62" s="97" t="s">
        <v>434</v>
      </c>
      <c r="C62" s="156"/>
      <c r="D62" s="98">
        <f t="shared" si="0"/>
        <v>0</v>
      </c>
      <c r="E62" s="156"/>
      <c r="F62" s="98">
        <f t="shared" si="1"/>
        <v>0</v>
      </c>
      <c r="G62" s="156"/>
      <c r="H62" s="98">
        <f t="shared" si="2"/>
        <v>0</v>
      </c>
      <c r="I62" s="156">
        <f t="shared" si="5"/>
        <v>0</v>
      </c>
      <c r="J62" s="98" t="e">
        <f t="shared" si="4"/>
        <v>#DIV/0!</v>
      </c>
    </row>
    <row r="63" spans="2:10" ht="14.25" thickTop="1" thickBot="1">
      <c r="B63" s="90" t="s">
        <v>131</v>
      </c>
      <c r="C63" s="162">
        <v>61785502.860000007</v>
      </c>
      <c r="D63" s="92">
        <f t="shared" si="0"/>
        <v>1.8521419968700925</v>
      </c>
      <c r="E63" s="162">
        <v>101820500</v>
      </c>
      <c r="F63" s="92">
        <f t="shared" si="1"/>
        <v>2.8957894424501021</v>
      </c>
      <c r="G63" s="162">
        <v>101820500</v>
      </c>
      <c r="H63" s="92">
        <f t="shared" si="2"/>
        <v>2.8957894424501021</v>
      </c>
      <c r="I63" s="162">
        <f t="shared" si="5"/>
        <v>0</v>
      </c>
      <c r="J63" s="92">
        <f t="shared" si="4"/>
        <v>0</v>
      </c>
    </row>
    <row r="64" spans="2:10" ht="13.5" thickTop="1">
      <c r="B64" s="93" t="s">
        <v>111</v>
      </c>
      <c r="C64" s="154">
        <v>2752781.9799999995</v>
      </c>
      <c r="D64" s="96">
        <f t="shared" si="0"/>
        <v>8.2520055310353516E-2</v>
      </c>
      <c r="E64" s="154">
        <v>2140000</v>
      </c>
      <c r="F64" s="96">
        <f t="shared" si="1"/>
        <v>6.0861903122094448E-2</v>
      </c>
      <c r="G64" s="154">
        <v>2140000</v>
      </c>
      <c r="H64" s="96">
        <f t="shared" si="2"/>
        <v>6.0861903122094448E-2</v>
      </c>
      <c r="I64" s="154">
        <f t="shared" si="5"/>
        <v>0</v>
      </c>
      <c r="J64" s="96">
        <f t="shared" si="4"/>
        <v>0</v>
      </c>
    </row>
    <row r="65" spans="2:10" ht="13.5" thickBot="1">
      <c r="B65" s="93" t="s">
        <v>118</v>
      </c>
      <c r="C65" s="154">
        <v>14126844.789999999</v>
      </c>
      <c r="D65" s="96">
        <f t="shared" si="0"/>
        <v>0.42347996386970665</v>
      </c>
      <c r="E65" s="154">
        <v>8854649.7699999996</v>
      </c>
      <c r="F65" s="96">
        <f t="shared" si="1"/>
        <v>0.25182749368309154</v>
      </c>
      <c r="G65" s="154">
        <v>8854649.7699999996</v>
      </c>
      <c r="H65" s="96">
        <f t="shared" si="2"/>
        <v>0.25182749368309154</v>
      </c>
      <c r="I65" s="154">
        <f t="shared" si="5"/>
        <v>0</v>
      </c>
      <c r="J65" s="96">
        <f t="shared" si="4"/>
        <v>0</v>
      </c>
    </row>
    <row r="66" spans="2:10" ht="14.25" thickTop="1" thickBot="1">
      <c r="B66" s="148" t="s">
        <v>113</v>
      </c>
      <c r="C66" s="163">
        <v>107239350.92999999</v>
      </c>
      <c r="D66" s="150">
        <f t="shared" si="0"/>
        <v>3.2147105126683559</v>
      </c>
      <c r="E66" s="163">
        <v>0</v>
      </c>
      <c r="F66" s="150">
        <f t="shared" si="1"/>
        <v>0</v>
      </c>
      <c r="G66" s="163">
        <v>5153201.26</v>
      </c>
      <c r="H66" s="150">
        <f t="shared" si="2"/>
        <v>0.14655777376391357</v>
      </c>
      <c r="I66" s="163">
        <f t="shared" si="5"/>
        <v>5153201.26</v>
      </c>
      <c r="J66" s="150" t="e">
        <f t="shared" si="4"/>
        <v>#DIV/0!</v>
      </c>
    </row>
    <row r="67" spans="2:10" ht="14.25" thickTop="1" thickBot="1">
      <c r="B67" s="183" t="s">
        <v>152</v>
      </c>
      <c r="C67" s="154">
        <v>0</v>
      </c>
      <c r="D67" s="96">
        <f t="shared" si="0"/>
        <v>0</v>
      </c>
      <c r="E67" s="154">
        <v>0</v>
      </c>
      <c r="F67" s="96">
        <f t="shared" si="1"/>
        <v>0</v>
      </c>
      <c r="G67" s="154">
        <v>0</v>
      </c>
      <c r="H67" s="96">
        <f t="shared" si="2"/>
        <v>0</v>
      </c>
      <c r="I67" s="154">
        <f t="shared" si="5"/>
        <v>0</v>
      </c>
      <c r="J67" s="96" t="e">
        <f t="shared" si="4"/>
        <v>#DIV/0!</v>
      </c>
    </row>
    <row r="68" spans="2:10" ht="14.25" thickTop="1" thickBot="1">
      <c r="B68" s="90" t="s">
        <v>132</v>
      </c>
      <c r="C68" s="91">
        <f>+C8-C41</f>
        <v>-128320624.58291769</v>
      </c>
      <c r="D68" s="92">
        <f t="shared" si="0"/>
        <v>-3.8466631629292634</v>
      </c>
      <c r="E68" s="91">
        <f>+E8-E41</f>
        <v>-51045707.052829504</v>
      </c>
      <c r="F68" s="92">
        <f t="shared" si="1"/>
        <v>-1.4517471389944498</v>
      </c>
      <c r="G68" s="91">
        <f>+G8-G41</f>
        <v>-26424601.993229389</v>
      </c>
      <c r="H68" s="92">
        <f t="shared" si="2"/>
        <v>-0.75151942362235102</v>
      </c>
      <c r="I68" s="91">
        <f t="shared" si="5"/>
        <v>24621105.059600115</v>
      </c>
      <c r="J68" s="92">
        <f t="shared" si="4"/>
        <v>-48.23344896392291</v>
      </c>
    </row>
    <row r="69" spans="2:10" ht="14.25" thickTop="1" thickBot="1">
      <c r="B69" s="90" t="s">
        <v>133</v>
      </c>
      <c r="C69" s="91">
        <f>+C68+C49</f>
        <v>-60892893.792917699</v>
      </c>
      <c r="D69" s="92">
        <f t="shared" si="0"/>
        <v>-1.8253842840830612</v>
      </c>
      <c r="E69" s="91">
        <f>+E68+E49</f>
        <v>22270416.067170501</v>
      </c>
      <c r="F69" s="92">
        <f t="shared" si="1"/>
        <v>0.63337378746208728</v>
      </c>
      <c r="G69" s="91">
        <f>+G68+G49</f>
        <v>46891521.126770616</v>
      </c>
      <c r="H69" s="92">
        <f t="shared" si="2"/>
        <v>1.3336015028341861</v>
      </c>
      <c r="I69" s="91">
        <f t="shared" si="5"/>
        <v>24621105.059600115</v>
      </c>
      <c r="J69" s="92">
        <f t="shared" si="4"/>
        <v>110.55520914086037</v>
      </c>
    </row>
    <row r="70" spans="2:10" ht="14.25" thickTop="1" thickBot="1">
      <c r="B70" s="90" t="s">
        <v>0</v>
      </c>
      <c r="C70" s="91">
        <f>+SUM(C71:C73)</f>
        <v>241777428.00999996</v>
      </c>
      <c r="D70" s="92">
        <f t="shared" si="0"/>
        <v>7.2477540455928944</v>
      </c>
      <c r="E70" s="91">
        <f>+SUM(E71:E73)</f>
        <v>171426905.49000001</v>
      </c>
      <c r="F70" s="92">
        <f t="shared" si="1"/>
        <v>4.875405474043375</v>
      </c>
      <c r="G70" s="91">
        <f>+SUM(G71:G73)</f>
        <v>171426905.49000001</v>
      </c>
      <c r="H70" s="92">
        <f t="shared" si="2"/>
        <v>4.875405474043375</v>
      </c>
      <c r="I70" s="91">
        <f t="shared" si="5"/>
        <v>0</v>
      </c>
      <c r="J70" s="92">
        <f t="shared" si="4"/>
        <v>0</v>
      </c>
    </row>
    <row r="71" spans="2:10" ht="13.5" thickTop="1">
      <c r="B71" s="97" t="s">
        <v>135</v>
      </c>
      <c r="C71" s="156">
        <v>112695950.91</v>
      </c>
      <c r="D71" s="98">
        <f t="shared" si="0"/>
        <v>3.3782828316632929</v>
      </c>
      <c r="E71" s="156">
        <v>30008345.27</v>
      </c>
      <c r="F71" s="98">
        <f t="shared" si="1"/>
        <v>0.8534415900360286</v>
      </c>
      <c r="G71" s="156">
        <v>30008345.27</v>
      </c>
      <c r="H71" s="98">
        <f t="shared" si="2"/>
        <v>0.8534415900360286</v>
      </c>
      <c r="I71" s="156">
        <f t="shared" si="5"/>
        <v>0</v>
      </c>
      <c r="J71" s="98">
        <f t="shared" si="4"/>
        <v>0</v>
      </c>
    </row>
    <row r="72" spans="2:10">
      <c r="B72" s="97" t="s">
        <v>137</v>
      </c>
      <c r="C72" s="156">
        <v>68802905.489999995</v>
      </c>
      <c r="D72" s="98">
        <f t="shared" si="0"/>
        <v>2.0625024458158605</v>
      </c>
      <c r="E72" s="156">
        <v>108080400.25</v>
      </c>
      <c r="F72" s="98">
        <f t="shared" si="1"/>
        <v>3.073821892248922</v>
      </c>
      <c r="G72" s="156">
        <v>108080400.25</v>
      </c>
      <c r="H72" s="98">
        <f t="shared" si="2"/>
        <v>3.073821892248922</v>
      </c>
      <c r="I72" s="156">
        <f t="shared" si="5"/>
        <v>0</v>
      </c>
      <c r="J72" s="98">
        <f t="shared" si="4"/>
        <v>0</v>
      </c>
    </row>
    <row r="73" spans="2:10" ht="13.5" thickBot="1">
      <c r="B73" s="97" t="s">
        <v>116</v>
      </c>
      <c r="C73" s="156">
        <v>60278571.609999992</v>
      </c>
      <c r="D73" s="98">
        <f t="shared" ref="D73:D79" si="6">C73/C$3*100</f>
        <v>1.8069687681137414</v>
      </c>
      <c r="E73" s="156">
        <v>33338159.969999999</v>
      </c>
      <c r="F73" s="98">
        <f t="shared" si="1"/>
        <v>0.94814199175842395</v>
      </c>
      <c r="G73" s="156">
        <v>33338159.969999999</v>
      </c>
      <c r="H73" s="98">
        <f t="shared" ref="H73:H79" si="7">G73/E$3*100</f>
        <v>0.94814199175842395</v>
      </c>
      <c r="I73" s="156">
        <f t="shared" si="5"/>
        <v>0</v>
      </c>
      <c r="J73" s="98">
        <f t="shared" si="4"/>
        <v>0</v>
      </c>
    </row>
    <row r="74" spans="2:10" ht="14.25" thickTop="1" thickBot="1">
      <c r="B74" s="90" t="s">
        <v>141</v>
      </c>
      <c r="C74" s="91">
        <f>+C68-C70</f>
        <v>-370098052.59291768</v>
      </c>
      <c r="D74" s="92">
        <f t="shared" si="6"/>
        <v>-11.09441720852216</v>
      </c>
      <c r="E74" s="91">
        <f>+E68-E70</f>
        <v>-222472612.54282951</v>
      </c>
      <c r="F74" s="92">
        <f t="shared" ref="F74:F79" si="8">E74/E$3*100</f>
        <v>-6.3271526130378248</v>
      </c>
      <c r="G74" s="91">
        <v>-205851507.4832294</v>
      </c>
      <c r="H74" s="92">
        <f t="shared" si="7"/>
        <v>-5.8544460308324338</v>
      </c>
      <c r="I74" s="91">
        <f t="shared" ref="I74:I79" si="9">+G74-E74</f>
        <v>16621105.059600115</v>
      </c>
      <c r="J74" s="92">
        <f t="shared" ref="J74:J79" si="10">+G74/E74*100-100</f>
        <v>-7.4710791902083145</v>
      </c>
    </row>
    <row r="75" spans="2:10" ht="14.25" thickTop="1" thickBot="1">
      <c r="B75" s="90" t="s">
        <v>121</v>
      </c>
      <c r="C75" s="91">
        <f>+SUM(C76:C80)</f>
        <v>370098052.59291768</v>
      </c>
      <c r="D75" s="92">
        <f t="shared" si="6"/>
        <v>11.09441720852216</v>
      </c>
      <c r="E75" s="91">
        <f>+SUM(E76:E79)</f>
        <v>222472612.54282951</v>
      </c>
      <c r="F75" s="92">
        <f t="shared" si="8"/>
        <v>6.3271526130378248</v>
      </c>
      <c r="G75" s="91">
        <f>+SUM(G76:G79)</f>
        <v>205851507.4832294</v>
      </c>
      <c r="H75" s="92">
        <f t="shared" si="7"/>
        <v>5.8544460308324338</v>
      </c>
      <c r="I75" s="91">
        <f t="shared" si="9"/>
        <v>-16621105.059600115</v>
      </c>
      <c r="J75" s="92">
        <f t="shared" si="10"/>
        <v>-7.4710791902083145</v>
      </c>
    </row>
    <row r="76" spans="2:10" ht="13.5" thickTop="1">
      <c r="B76" s="97" t="s">
        <v>144</v>
      </c>
      <c r="C76" s="156">
        <v>102834751.84999999</v>
      </c>
      <c r="D76" s="98">
        <f t="shared" si="6"/>
        <v>3.0826739902186082</v>
      </c>
      <c r="E76" s="156">
        <v>0</v>
      </c>
      <c r="F76" s="98">
        <f t="shared" si="8"/>
        <v>0</v>
      </c>
      <c r="G76" s="185">
        <v>0</v>
      </c>
      <c r="H76" s="186">
        <f t="shared" si="7"/>
        <v>0</v>
      </c>
      <c r="I76" s="156">
        <f t="shared" si="9"/>
        <v>0</v>
      </c>
      <c r="J76" s="98" t="e">
        <f t="shared" si="10"/>
        <v>#DIV/0!</v>
      </c>
    </row>
    <row r="77" spans="2:10">
      <c r="B77" s="97" t="s">
        <v>122</v>
      </c>
      <c r="C77" s="156">
        <v>230537476.81999999</v>
      </c>
      <c r="D77" s="98">
        <f t="shared" si="6"/>
        <v>6.910814396676539</v>
      </c>
      <c r="E77" s="156">
        <v>227975575.86282945</v>
      </c>
      <c r="F77" s="98">
        <f t="shared" si="8"/>
        <v>6.4836576693304764</v>
      </c>
      <c r="G77" s="185">
        <v>227975575.86282945</v>
      </c>
      <c r="H77" s="186">
        <f t="shared" si="7"/>
        <v>6.4836576693304764</v>
      </c>
      <c r="I77" s="156">
        <f t="shared" si="9"/>
        <v>0</v>
      </c>
      <c r="J77" s="98">
        <f t="shared" si="10"/>
        <v>0</v>
      </c>
    </row>
    <row r="78" spans="2:10" ht="13.5" thickBot="1">
      <c r="B78" s="103" t="s">
        <v>329</v>
      </c>
      <c r="C78" s="156">
        <v>11948846.35</v>
      </c>
      <c r="D78" s="104">
        <f t="shared" si="6"/>
        <v>0.35819017592410862</v>
      </c>
      <c r="E78" s="156">
        <v>5000000</v>
      </c>
      <c r="F78" s="104">
        <f t="shared" si="8"/>
        <v>0.14220070822919265</v>
      </c>
      <c r="G78" s="185">
        <v>5000000</v>
      </c>
      <c r="H78" s="186">
        <f t="shared" si="7"/>
        <v>0.14220070822919265</v>
      </c>
      <c r="I78" s="156">
        <f t="shared" si="9"/>
        <v>0</v>
      </c>
      <c r="J78" s="104">
        <f t="shared" si="10"/>
        <v>0</v>
      </c>
    </row>
    <row r="79" spans="2:10" ht="14.25" thickTop="1" thickBot="1">
      <c r="B79" s="148" t="s">
        <v>125</v>
      </c>
      <c r="C79" s="149">
        <f>-C74-SUM(C76:C78)</f>
        <v>24776977.5729177</v>
      </c>
      <c r="D79" s="150">
        <f t="shared" si="6"/>
        <v>0.74273864570290371</v>
      </c>
      <c r="E79" s="149">
        <f>-E74-SUM(E76:E78)</f>
        <v>-10502963.319999933</v>
      </c>
      <c r="F79" s="150">
        <f t="shared" si="8"/>
        <v>-0.29870576452184461</v>
      </c>
      <c r="G79" s="187">
        <f>-G74-SUM(G76:G78)</f>
        <v>-27124068.379600048</v>
      </c>
      <c r="H79" s="188">
        <f t="shared" si="7"/>
        <v>-0.77141234672723535</v>
      </c>
      <c r="I79" s="149">
        <f t="shared" si="9"/>
        <v>-16621105.059600115</v>
      </c>
      <c r="J79" s="150">
        <f t="shared" si="10"/>
        <v>158.25157675215246</v>
      </c>
    </row>
    <row r="80" spans="2:10" ht="13.5" thickTop="1"/>
  </sheetData>
  <mergeCells count="6">
    <mergeCell ref="I6:J6"/>
    <mergeCell ref="E3:H3"/>
    <mergeCell ref="C6:D6"/>
    <mergeCell ref="C3:D3"/>
    <mergeCell ref="E6:F6"/>
    <mergeCell ref="G6:H6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C4:G6"/>
  <sheetViews>
    <sheetView workbookViewId="0">
      <selection activeCell="N16" sqref="N16"/>
    </sheetView>
  </sheetViews>
  <sheetFormatPr defaultRowHeight="12.75"/>
  <cols>
    <col min="3" max="3" width="27.85546875" bestFit="1" customWidth="1"/>
    <col min="4" max="4" width="15.140625" bestFit="1" customWidth="1"/>
    <col min="5" max="7" width="16.140625" bestFit="1" customWidth="1"/>
  </cols>
  <sheetData>
    <row r="4" spans="3:7">
      <c r="D4" t="s">
        <v>445</v>
      </c>
      <c r="E4">
        <v>2015</v>
      </c>
      <c r="F4">
        <v>2016</v>
      </c>
      <c r="G4">
        <v>2017</v>
      </c>
    </row>
    <row r="5" spans="3:7">
      <c r="C5" t="s">
        <v>443</v>
      </c>
      <c r="D5" s="182">
        <v>-26424601.993229389</v>
      </c>
      <c r="E5" s="182">
        <v>-24569497.372829676</v>
      </c>
      <c r="F5" s="182">
        <v>33498994.005818129</v>
      </c>
      <c r="G5" s="182">
        <v>103834080.12588143</v>
      </c>
    </row>
    <row r="6" spans="3:7">
      <c r="C6" t="s">
        <v>444</v>
      </c>
      <c r="D6" s="182">
        <v>-51424601.993229389</v>
      </c>
      <c r="E6" s="182">
        <v>-149569497.37282968</v>
      </c>
      <c r="F6" s="182">
        <v>-191501005.99418187</v>
      </c>
      <c r="G6" s="182">
        <v>-221165919.87411857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Cental Budget</vt:lpstr>
      <vt:lpstr>Local Government</vt:lpstr>
      <vt:lpstr>Public Expenditure</vt:lpstr>
      <vt:lpstr>PRIMICI</vt:lpstr>
      <vt:lpstr>DEFICIT Tabela</vt:lpstr>
      <vt:lpstr>MasterSheet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milos.popovic</cp:lastModifiedBy>
  <cp:lastPrinted>2015-03-17T09:03:34Z</cp:lastPrinted>
  <dcterms:created xsi:type="dcterms:W3CDTF">2008-03-17T08:49:23Z</dcterms:created>
  <dcterms:modified xsi:type="dcterms:W3CDTF">2015-04-01T12:59:37Z</dcterms:modified>
</cp:coreProperties>
</file>