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xkRjw6hv7/9HWVSAQwJIdS9Tfkxed0ZstMwjpfFG0ClU+hZ6psyl78veS8032xeIoCtVu/bOcmT8GPr3yJMHQg==" workbookSaltValue="8HBiWTQOeS9LRfvCjUw4Gw==" workbookSpinCount="100000" lockStructure="1"/>
  <bookViews>
    <workbookView xWindow="0" yWindow="0" windowWidth="24000" windowHeight="9000" tabRatio="587" firstSheet="1" activeTab="2"/>
  </bookViews>
  <sheets>
    <sheet name="Analitika - 2014" sheetId="3" state="hidden" r:id="rId1"/>
    <sheet name="Pregled" sheetId="1" r:id="rId2"/>
    <sheet name="Analitika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20" l="1"/>
  <c r="R11" i="11" l="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N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10" i="11"/>
  <c r="G5" i="22" l="1"/>
  <c r="H5" i="22"/>
  <c r="I5" i="22"/>
  <c r="J5" i="22"/>
  <c r="K5" i="22"/>
  <c r="L5" i="22"/>
  <c r="M5" i="22"/>
  <c r="N5" i="22"/>
  <c r="O5" i="22"/>
  <c r="P19" i="22" l="1"/>
  <c r="S121" i="22" l="1"/>
  <c r="M129" i="22" l="1"/>
  <c r="G5" i="19" l="1"/>
  <c r="H5" i="19"/>
  <c r="I5" i="19"/>
  <c r="J5" i="19"/>
  <c r="K5" i="19"/>
  <c r="L5" i="19"/>
  <c r="M5" i="19"/>
  <c r="N5" i="19"/>
  <c r="O5" i="19"/>
  <c r="P5" i="19"/>
  <c r="Q5" i="19"/>
  <c r="R5" i="19"/>
  <c r="H17" i="1" l="1"/>
  <c r="H21" i="1" s="1"/>
  <c r="G17" i="1"/>
  <c r="G21" i="1" s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M19" i="22"/>
  <c r="N19" i="22"/>
  <c r="O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L129" i="22"/>
  <c r="K129" i="22"/>
  <c r="J129" i="22"/>
  <c r="I129" i="22"/>
  <c r="H129" i="22"/>
  <c r="A129" i="22"/>
  <c r="A128" i="22"/>
  <c r="A127" i="22"/>
  <c r="S126" i="22"/>
  <c r="A126" i="22"/>
  <c r="S125" i="22"/>
  <c r="A125" i="22"/>
  <c r="S124" i="22"/>
  <c r="A124" i="22"/>
  <c r="S123" i="22"/>
  <c r="A123" i="22"/>
  <c r="S122" i="22"/>
  <c r="A122" i="22"/>
  <c r="A121" i="22"/>
  <c r="S120" i="22"/>
  <c r="A120" i="22"/>
  <c r="S119" i="22"/>
  <c r="A119" i="22"/>
  <c r="S118" i="22"/>
  <c r="A118" i="22"/>
  <c r="S117" i="22"/>
  <c r="A117" i="22"/>
  <c r="S116" i="22"/>
  <c r="A116" i="22"/>
  <c r="S115" i="22"/>
  <c r="A115" i="22"/>
  <c r="R114" i="22"/>
  <c r="Q114" i="22"/>
  <c r="P114" i="22"/>
  <c r="O114" i="22"/>
  <c r="N114" i="22"/>
  <c r="M114" i="22"/>
  <c r="L114" i="22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A110" i="22"/>
  <c r="S109" i="22"/>
  <c r="A109" i="22"/>
  <c r="S108" i="22"/>
  <c r="A108" i="22"/>
  <c r="S107" i="22"/>
  <c r="A107" i="22"/>
  <c r="S106" i="22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A103" i="22"/>
  <c r="S102" i="22"/>
  <c r="A102" i="22"/>
  <c r="S101" i="22"/>
  <c r="A101" i="22"/>
  <c r="S100" i="22"/>
  <c r="A100" i="22"/>
  <c r="S99" i="22"/>
  <c r="A99" i="22"/>
  <c r="S98" i="22"/>
  <c r="A98" i="22"/>
  <c r="S97" i="22"/>
  <c r="A97" i="22"/>
  <c r="S96" i="22"/>
  <c r="A96" i="22"/>
  <c r="S95" i="22"/>
  <c r="A95" i="22"/>
  <c r="S94" i="22"/>
  <c r="A94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A93" i="22"/>
  <c r="S92" i="22"/>
  <c r="A92" i="22"/>
  <c r="S91" i="22"/>
  <c r="A91" i="22"/>
  <c r="S90" i="22"/>
  <c r="A90" i="22"/>
  <c r="S89" i="22"/>
  <c r="A89" i="22"/>
  <c r="S88" i="22"/>
  <c r="A88" i="22"/>
  <c r="S87" i="22"/>
  <c r="A87" i="22"/>
  <c r="S86" i="22"/>
  <c r="A86" i="22"/>
  <c r="R85" i="22"/>
  <c r="Q85" i="22"/>
  <c r="P85" i="22"/>
  <c r="O85" i="22"/>
  <c r="N85" i="22"/>
  <c r="M85" i="22"/>
  <c r="L85" i="22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N55" i="11" s="1"/>
  <c r="P55" i="22"/>
  <c r="O55" i="22"/>
  <c r="N55" i="22"/>
  <c r="M55" i="22"/>
  <c r="L55" i="22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J40" i="22"/>
  <c r="H40" i="22"/>
  <c r="S41" i="22"/>
  <c r="T41" i="22" s="1"/>
  <c r="Q40" i="22"/>
  <c r="N40" i="11" s="1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S33" i="22"/>
  <c r="T33" i="22" s="1"/>
  <c r="S32" i="22"/>
  <c r="T32" i="22" s="1"/>
  <c r="R30" i="22"/>
  <c r="P30" i="22"/>
  <c r="N30" i="22"/>
  <c r="L30" i="22"/>
  <c r="J30" i="22"/>
  <c r="H30" i="22"/>
  <c r="S31" i="22"/>
  <c r="T31" i="22" s="1"/>
  <c r="Q30" i="22"/>
  <c r="N30" i="11" s="1"/>
  <c r="O30" i="22"/>
  <c r="M30" i="22"/>
  <c r="K30" i="22"/>
  <c r="I30" i="22"/>
  <c r="G30" i="22"/>
  <c r="S26" i="22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T34" i="22" l="1"/>
  <c r="G34" i="11"/>
  <c r="P10" i="22"/>
  <c r="T26" i="22"/>
  <c r="G26" i="11"/>
  <c r="P103" i="22"/>
  <c r="M103" i="22"/>
  <c r="T135" i="22"/>
  <c r="O10" i="22"/>
  <c r="O103" i="22"/>
  <c r="I10" i="22"/>
  <c r="Q10" i="22"/>
  <c r="L10" i="22"/>
  <c r="P11" i="11"/>
  <c r="Q103" i="22"/>
  <c r="L103" i="22"/>
  <c r="T132" i="22"/>
  <c r="K103" i="22"/>
  <c r="T137" i="22"/>
  <c r="T136" i="22"/>
  <c r="T131" i="22"/>
  <c r="T130" i="22"/>
  <c r="T113" i="22"/>
  <c r="T112" i="22"/>
  <c r="T111" i="22"/>
  <c r="T109" i="22"/>
  <c r="T107" i="22"/>
  <c r="T105" i="22"/>
  <c r="I103" i="22"/>
  <c r="T101" i="22"/>
  <c r="T99" i="22"/>
  <c r="T95" i="22"/>
  <c r="T97" i="22"/>
  <c r="T86" i="22"/>
  <c r="T88" i="22"/>
  <c r="T90" i="22"/>
  <c r="T92" i="22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H29" i="22"/>
  <c r="J10" i="22"/>
  <c r="N10" i="22"/>
  <c r="R10" i="22"/>
  <c r="S129" i="22"/>
  <c r="L84" i="22"/>
  <c r="P84" i="22"/>
  <c r="I84" i="22"/>
  <c r="K84" i="22"/>
  <c r="M84" i="22"/>
  <c r="O84" i="22"/>
  <c r="Q84" i="22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3" i="11"/>
  <c r="G32" i="11"/>
  <c r="G61" i="11"/>
  <c r="G62" i="11"/>
  <c r="G63" i="11"/>
  <c r="G27" i="11"/>
  <c r="G28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S104" i="22"/>
  <c r="G84" i="22"/>
  <c r="I29" i="22"/>
  <c r="M29" i="22"/>
  <c r="Q29" i="22"/>
  <c r="J29" i="22"/>
  <c r="N29" i="22"/>
  <c r="R29" i="22"/>
  <c r="S40" i="22"/>
  <c r="T40" i="22" s="1"/>
  <c r="S19" i="22"/>
  <c r="T19" i="22" s="1"/>
  <c r="S30" i="22"/>
  <c r="T30" i="22" s="1"/>
  <c r="Q53" i="22" l="1"/>
  <c r="N29" i="11"/>
  <c r="P53" i="22"/>
  <c r="P59" i="22" s="1"/>
  <c r="Q29" i="11"/>
  <c r="P127" i="22"/>
  <c r="O127" i="22"/>
  <c r="O128" i="22" s="1"/>
  <c r="Q127" i="22"/>
  <c r="Q133" i="22" s="1"/>
  <c r="Q138" i="22" s="1"/>
  <c r="Q134" i="22" s="1"/>
  <c r="M127" i="22"/>
  <c r="M128" i="22" s="1"/>
  <c r="L127" i="22"/>
  <c r="L128" i="22" s="1"/>
  <c r="O53" i="22"/>
  <c r="L53" i="22"/>
  <c r="L59" i="22" s="1"/>
  <c r="K127" i="22"/>
  <c r="K53" i="22"/>
  <c r="K54" i="22"/>
  <c r="J127" i="22"/>
  <c r="J128" i="22" s="1"/>
  <c r="I53" i="22"/>
  <c r="T129" i="22"/>
  <c r="T114" i="22"/>
  <c r="T104" i="22"/>
  <c r="T93" i="22"/>
  <c r="I127" i="22"/>
  <c r="I128" i="22" s="1"/>
  <c r="P10" i="11"/>
  <c r="T85" i="22"/>
  <c r="H127" i="22"/>
  <c r="H133" i="22" s="1"/>
  <c r="Q10" i="11"/>
  <c r="H53" i="22"/>
  <c r="S10" i="22"/>
  <c r="T10" i="22" s="1"/>
  <c r="M53" i="22"/>
  <c r="M54" i="22" s="1"/>
  <c r="R127" i="22"/>
  <c r="R133" i="22" s="1"/>
  <c r="R138" i="22" s="1"/>
  <c r="R134" i="22" s="1"/>
  <c r="N127" i="22"/>
  <c r="N53" i="22"/>
  <c r="N54" i="22" s="1"/>
  <c r="S103" i="22"/>
  <c r="R53" i="22"/>
  <c r="R54" i="22" s="1"/>
  <c r="I59" i="22"/>
  <c r="Q59" i="22"/>
  <c r="P128" i="22"/>
  <c r="O133" i="22"/>
  <c r="O138" i="22" s="1"/>
  <c r="O134" i="22" s="1"/>
  <c r="S84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O54" i="22"/>
  <c r="J53" i="22"/>
  <c r="A145" i="19"/>
  <c r="A144" i="19"/>
  <c r="A151" i="19"/>
  <c r="A157" i="19"/>
  <c r="A152" i="19"/>
  <c r="A153" i="19"/>
  <c r="Q64" i="22" l="1"/>
  <c r="N59" i="11"/>
  <c r="Q54" i="22"/>
  <c r="N54" i="11" s="1"/>
  <c r="N53" i="11"/>
  <c r="P133" i="22"/>
  <c r="P54" i="22"/>
  <c r="P64" i="22"/>
  <c r="P60" i="22" s="1"/>
  <c r="O59" i="22"/>
  <c r="N59" i="22"/>
  <c r="G128" i="22"/>
  <c r="L133" i="22"/>
  <c r="L138" i="22" s="1"/>
  <c r="Q128" i="22"/>
  <c r="M133" i="22"/>
  <c r="M59" i="22"/>
  <c r="L64" i="22"/>
  <c r="L54" i="22"/>
  <c r="K128" i="22"/>
  <c r="K133" i="22"/>
  <c r="K59" i="22"/>
  <c r="K64" i="22" s="1"/>
  <c r="J133" i="22"/>
  <c r="J138" i="22" s="1"/>
  <c r="I64" i="22"/>
  <c r="I54" i="22"/>
  <c r="T103" i="22"/>
  <c r="T84" i="22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Q60" i="22" l="1"/>
  <c r="N60" i="11" s="1"/>
  <c r="N64" i="11"/>
  <c r="P138" i="22"/>
  <c r="O64" i="22"/>
  <c r="N64" i="22"/>
  <c r="G12" i="1"/>
  <c r="H12" i="1" s="1"/>
  <c r="M138" i="22"/>
  <c r="M64" i="22"/>
  <c r="L60" i="22"/>
  <c r="L134" i="22"/>
  <c r="K138" i="22"/>
  <c r="K134" i="22" s="1"/>
  <c r="K60" i="22"/>
  <c r="J134" i="22"/>
  <c r="J64" i="22"/>
  <c r="I60" i="22"/>
  <c r="S54" i="22"/>
  <c r="T54" i="22" s="1"/>
  <c r="T127" i="22"/>
  <c r="I138" i="22"/>
  <c r="H134" i="22"/>
  <c r="H64" i="22"/>
  <c r="I10" i="11"/>
  <c r="J10" i="11"/>
  <c r="Q53" i="11"/>
  <c r="P53" i="11"/>
  <c r="G64" i="22"/>
  <c r="J29" i="11"/>
  <c r="I29" i="11"/>
  <c r="G53" i="11"/>
  <c r="G20" i="1" s="1"/>
  <c r="S59" i="22"/>
  <c r="T59" i="22" s="1"/>
  <c r="G138" i="22"/>
  <c r="S133" i="22"/>
  <c r="Q54" i="11"/>
  <c r="S128" i="22"/>
  <c r="P134" i="22" l="1"/>
  <c r="O60" i="22"/>
  <c r="N60" i="22"/>
  <c r="Q59" i="11"/>
  <c r="M134" i="22"/>
  <c r="G54" i="11"/>
  <c r="M60" i="22"/>
  <c r="J60" i="22"/>
  <c r="T128" i="22"/>
  <c r="T133" i="22"/>
  <c r="I134" i="22"/>
  <c r="H60" i="22"/>
  <c r="I53" i="11"/>
  <c r="H20" i="1"/>
  <c r="S64" i="22"/>
  <c r="T64" i="22" s="1"/>
  <c r="J53" i="11"/>
  <c r="G60" i="22"/>
  <c r="G59" i="11"/>
  <c r="S138" i="22"/>
  <c r="G134" i="22"/>
  <c r="GC35" i="6"/>
  <c r="GC28" i="6"/>
  <c r="GC23" i="6"/>
  <c r="GC18" i="6"/>
  <c r="GC10" i="6"/>
  <c r="I54" i="11" l="1"/>
  <c r="Q64" i="11"/>
  <c r="S60" i="22"/>
  <c r="T60" i="22" s="1"/>
  <c r="J54" i="11"/>
  <c r="T138" i="22"/>
  <c r="G64" i="11"/>
  <c r="J59" i="11"/>
  <c r="I59" i="11"/>
  <c r="S134" i="22"/>
  <c r="Q60" i="11"/>
  <c r="GB35" i="6"/>
  <c r="GB28" i="6"/>
  <c r="GB23" i="6"/>
  <c r="GB18" i="6"/>
  <c r="GB10" i="6"/>
  <c r="G60" i="11" l="1"/>
  <c r="J60" i="11" s="1"/>
  <c r="T134" i="22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H30" i="20" l="1"/>
  <c r="I30" i="20"/>
  <c r="P40" i="20"/>
  <c r="L40" i="20"/>
  <c r="L29" i="20" s="1"/>
  <c r="H40" i="20"/>
  <c r="P55" i="20"/>
  <c r="P30" i="20"/>
  <c r="H29" i="20"/>
  <c r="G30" i="20"/>
  <c r="K30" i="20"/>
  <c r="P29" i="20"/>
  <c r="J30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M48" i="19"/>
  <c r="N48" i="19"/>
  <c r="O48" i="19"/>
  <c r="P48" i="19"/>
  <c r="Q48" i="19"/>
  <c r="R48" i="19"/>
  <c r="H48" i="19"/>
  <c r="G48" i="19"/>
  <c r="T48" i="11" l="1"/>
  <c r="M48" i="1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R62" i="21" l="1"/>
  <c r="R67" i="21" s="1"/>
  <c r="R63" i="21" s="1"/>
  <c r="N57" i="2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T53" i="20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R49" i="19"/>
  <c r="Q49" i="19"/>
  <c r="P49" i="19"/>
  <c r="O49" i="19"/>
  <c r="N49" i="19"/>
  <c r="M49" i="19"/>
  <c r="L49" i="19"/>
  <c r="K49" i="19"/>
  <c r="J49" i="19"/>
  <c r="I49" i="19"/>
  <c r="H49" i="19"/>
  <c r="G49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R43" i="19"/>
  <c r="Q43" i="19"/>
  <c r="P43" i="19"/>
  <c r="O43" i="19"/>
  <c r="N43" i="19"/>
  <c r="M43" i="19"/>
  <c r="L43" i="19"/>
  <c r="K43" i="19"/>
  <c r="J43" i="19"/>
  <c r="I43" i="19"/>
  <c r="H43" i="19"/>
  <c r="G43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R37" i="19"/>
  <c r="Q37" i="19"/>
  <c r="P37" i="19"/>
  <c r="O37" i="19"/>
  <c r="N37" i="19"/>
  <c r="M37" i="19"/>
  <c r="L37" i="19"/>
  <c r="K37" i="19"/>
  <c r="J37" i="19"/>
  <c r="I37" i="19"/>
  <c r="H37" i="19"/>
  <c r="G37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R31" i="19"/>
  <c r="Q31" i="19"/>
  <c r="P31" i="19"/>
  <c r="O31" i="19"/>
  <c r="N31" i="19"/>
  <c r="M31" i="19"/>
  <c r="L31" i="19"/>
  <c r="K31" i="19"/>
  <c r="J31" i="19"/>
  <c r="I31" i="19"/>
  <c r="H31" i="19"/>
  <c r="G31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R25" i="19"/>
  <c r="Q25" i="19"/>
  <c r="P25" i="19"/>
  <c r="O25" i="19"/>
  <c r="N25" i="19"/>
  <c r="M25" i="19"/>
  <c r="L25" i="19"/>
  <c r="K25" i="19"/>
  <c r="J25" i="19"/>
  <c r="I25" i="19"/>
  <c r="H25" i="19"/>
  <c r="G25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R13" i="19"/>
  <c r="Q13" i="19"/>
  <c r="P13" i="19"/>
  <c r="O13" i="19"/>
  <c r="N13" i="19"/>
  <c r="M13" i="19"/>
  <c r="L13" i="19"/>
  <c r="K13" i="19"/>
  <c r="J13" i="19"/>
  <c r="I13" i="19"/>
  <c r="H13" i="19"/>
  <c r="G13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S62" i="19" l="1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P55" i="19"/>
  <c r="K30" i="19"/>
  <c r="O30" i="19"/>
  <c r="K11" i="19"/>
  <c r="O11" i="19"/>
  <c r="J40" i="19"/>
  <c r="N40" i="19"/>
  <c r="R40" i="19"/>
  <c r="G30" i="19"/>
  <c r="G11" i="19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T40" i="11" l="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L10" i="11" l="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G54" i="19" l="1"/>
  <c r="T53" i="11"/>
  <c r="M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L53" i="11" l="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K153" i="19"/>
  <c r="K64" i="19"/>
  <c r="J64" i="19"/>
  <c r="I64" i="19"/>
  <c r="H64" i="19"/>
  <c r="H153" i="19"/>
  <c r="S147" i="19"/>
  <c r="T147" i="19" s="1"/>
  <c r="G157" i="19"/>
  <c r="G64" i="19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K60" i="19"/>
  <c r="J60" i="19"/>
  <c r="I60" i="19"/>
  <c r="H60" i="19"/>
  <c r="G153" i="19"/>
  <c r="G60" i="19"/>
  <c r="S64" i="19"/>
  <c r="T64" i="19" s="1"/>
  <c r="I153" i="19"/>
  <c r="S157" i="19"/>
  <c r="T157" i="19" s="1"/>
  <c r="T60" i="11" l="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L320" i="6" s="1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DD320" i="6"/>
  <c r="CZ385" i="6"/>
  <c r="DP385" i="6"/>
  <c r="CT350" i="6"/>
  <c r="DR350" i="6"/>
  <c r="CS350" i="6"/>
  <c r="DA350" i="6"/>
  <c r="CR385" i="6" l="1"/>
  <c r="H8" i="3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<sst xmlns="http://schemas.openxmlformats.org/spreadsheetml/2006/main" count="1728" uniqueCount="828">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</sst>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9.5"/>
      <name val="Calibri"/>
      <family val="2"/>
      <scheme val="minor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0" fillId="2" borderId="0" xfId="0" applyNumberFormat="1" applyFill="1" applyAlignment="1">
      <alignment vertical="center"/>
    </xf>
    <xf numFmtId="166" fontId="61" fillId="2" borderId="0" xfId="0" applyNumberFormat="1" applyFont="1" applyFill="1" applyBorder="1" applyAlignment="1">
      <alignment horizontal="center"/>
    </xf>
    <xf numFmtId="166" fontId="73" fillId="3" borderId="33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vertical="center"/>
    </xf>
    <xf numFmtId="166" fontId="61" fillId="2" borderId="0" xfId="0" applyNumberFormat="1" applyFont="1" applyFill="1" applyBorder="1" applyAlignment="1" applyProtection="1">
      <alignment horizontal="center"/>
      <protection hidden="1"/>
    </xf>
    <xf numFmtId="166" fontId="27" fillId="9" borderId="32" xfId="0" applyNumberFormat="1" applyFont="1" applyFill="1" applyBorder="1" applyAlignment="1" applyProtection="1">
      <alignment horizontal="center" vertical="center"/>
      <protection hidden="1"/>
    </xf>
    <xf numFmtId="177" fontId="27" fillId="9" borderId="34" xfId="0" applyNumberFormat="1" applyFont="1" applyFill="1" applyBorder="1" applyAlignment="1">
      <alignment horizontal="center" vertical="center"/>
    </xf>
    <xf numFmtId="166" fontId="25" fillId="3" borderId="76" xfId="0" applyNumberFormat="1" applyFont="1" applyFill="1" applyBorder="1" applyAlignment="1" applyProtection="1">
      <alignment horizontal="center" vertical="center"/>
      <protection hidden="1"/>
    </xf>
    <xf numFmtId="166" fontId="27" fillId="9" borderId="76" xfId="0" applyNumberFormat="1" applyFont="1" applyFill="1" applyBorder="1" applyAlignment="1" applyProtection="1">
      <alignment horizontal="center" vertical="center"/>
      <protection hidden="1"/>
    </xf>
    <xf numFmtId="167" fontId="27" fillId="9" borderId="78" xfId="1" applyNumberFormat="1" applyFont="1" applyFill="1" applyBorder="1" applyAlignment="1" applyProtection="1">
      <alignment horizontal="center" vertical="center"/>
      <protection hidden="1"/>
    </xf>
    <xf numFmtId="166" fontId="3" fillId="4" borderId="41" xfId="0" applyNumberFormat="1" applyFont="1" applyFill="1" applyBorder="1" applyAlignment="1">
      <alignment horizontal="center" vertical="center"/>
    </xf>
    <xf numFmtId="176" fontId="29" fillId="8" borderId="40" xfId="0" applyNumberFormat="1" applyFont="1" applyFill="1" applyBorder="1" applyAlignment="1">
      <alignment horizontal="center"/>
    </xf>
    <xf numFmtId="10" fontId="29" fillId="8" borderId="79" xfId="0" applyNumberFormat="1" applyFont="1" applyFill="1" applyBorder="1" applyAlignment="1">
      <alignment horizontal="center"/>
    </xf>
    <xf numFmtId="166" fontId="24" fillId="3" borderId="41" xfId="0" applyNumberFormat="1" applyFont="1" applyFill="1" applyBorder="1" applyAlignment="1" applyProtection="1">
      <alignment horizontal="center" vertical="center"/>
      <protection hidden="1"/>
    </xf>
    <xf numFmtId="176" fontId="27" fillId="9" borderId="40" xfId="0" applyNumberFormat="1" applyFont="1" applyFill="1" applyBorder="1" applyAlignment="1" applyProtection="1">
      <alignment horizontal="center"/>
      <protection hidden="1"/>
    </xf>
    <xf numFmtId="10" fontId="27" fillId="9" borderId="79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Alignment="1" applyProtection="1">
      <alignment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24" fillId="3" borderId="40" xfId="0" applyFont="1" applyFill="1" applyBorder="1" applyAlignment="1" applyProtection="1">
      <alignment horizontal="left" vertical="center"/>
      <protection hidden="1"/>
    </xf>
    <xf numFmtId="0" fontId="24" fillId="3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180976</xdr:rowOff>
    </xdr:from>
    <xdr:to>
      <xdr:col>16</xdr:col>
      <xdr:colOff>238125</xdr:colOff>
      <xdr:row>22</xdr:row>
      <xdr:rowOff>9526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6"/>
          <a:ext cx="3152774" cy="28956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novembar 2021. godine iznosili su 1.663,2 mil. € ili 34,1%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na nivou su planiranih. U odnosu na isti period prethodne godine prihodi su veći za 207,8 mil. € ili 14,3%. </a:t>
          </a:r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novembar 2021. godine iznosili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1.739,4 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35,6% BDP-a i manji su za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113,3 mil. € ili 6,1% u odnosu na isti period prethodne godine. U odnosu na planirane, izdaci su manji za 112,0 mil. € ili 6,1%. U periodu januar - novembar 2021. godine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76,2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1,6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BDP-a, što je za 112,1 mil. € ili 59,5% manje od planiranog, odnosno za 321,1 mil. € ili 80,8% manje od zabilježenog u istom periodu 2020. godine.</a:t>
          </a: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1</xdr:rowOff>
    </xdr:from>
    <xdr:to>
      <xdr:col>22</xdr:col>
      <xdr:colOff>323849</xdr:colOff>
      <xdr:row>22</xdr:row>
      <xdr:rowOff>9526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58425" y="1343026"/>
          <a:ext cx="3657599" cy="287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Ostale napomene: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Rješenjem o privremenom finansiranju budžeta za januar, februar, mart, april, maj i jun 2021. godine, odnosno Zakonom o budžetu za 2021. godinu za period jul - decembar.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2021-11</v>
      </c>
      <c r="O6" s="143" t="str">
        <f>+CONCATENATE(N6,"p")</f>
        <v>2021-11p</v>
      </c>
      <c r="P6" s="130"/>
      <c r="Q6" s="130"/>
      <c r="R6" s="143" t="str">
        <f>+IF(Master!B3-10&gt;=0,CONCATENATE(Master!B4-1,"-",Master!B3),CONCATENATE(Master!B4-1,"-0",Master!B3))</f>
        <v>2020-11</v>
      </c>
      <c r="S6" s="130"/>
      <c r="T6" s="130"/>
    </row>
    <row r="7" spans="1:20">
      <c r="A7" s="144"/>
      <c r="B7" s="506" t="s">
        <v>692</v>
      </c>
      <c r="C7" s="507"/>
      <c r="D7" s="507"/>
      <c r="E7" s="507"/>
      <c r="F7" s="507"/>
      <c r="G7" s="515" t="s">
        <v>691</v>
      </c>
      <c r="H7" s="516"/>
      <c r="I7" s="516"/>
      <c r="J7" s="516"/>
      <c r="K7" s="516"/>
      <c r="L7" s="516"/>
      <c r="M7" s="517"/>
      <c r="N7" s="518" t="str">
        <f>+Master!G242</f>
        <v>Decembar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145" t="str">
        <f>+Master!G25</f>
        <v>Ostvarenje</v>
      </c>
      <c r="H8" s="145" t="str">
        <f>+Master!G24</f>
        <v>Plan</v>
      </c>
      <c r="I8" s="502" t="str">
        <f>+Master!G260</f>
        <v>Odstupanje</v>
      </c>
      <c r="J8" s="502"/>
      <c r="K8" s="145" t="str">
        <f>+CONCATENATE(Master!G245," ",Master!B4-1)</f>
        <v>Jan - Nov 2020</v>
      </c>
      <c r="L8" s="502" t="str">
        <f>+I8</f>
        <v>Odstupanje</v>
      </c>
      <c r="M8" s="514"/>
      <c r="N8" s="146" t="str">
        <f>+G8</f>
        <v>Ostvarenje</v>
      </c>
      <c r="O8" s="145" t="str">
        <f>+H8</f>
        <v>Plan</v>
      </c>
      <c r="P8" s="502" t="str">
        <f>+I8</f>
        <v>Odstupanje</v>
      </c>
      <c r="Q8" s="502"/>
      <c r="R8" s="145" t="str">
        <f>+CONCATENATE(Master!G244," ",Master!B4-1)</f>
        <v>Novembar 2020</v>
      </c>
      <c r="S8" s="502" t="str">
        <f>+P8</f>
        <v>Odstupanje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36" t="e">
        <f>+VLOOKUP($A18,Master!$D$29:$G$225,4,FALSE)</f>
        <v>#N/A</v>
      </c>
      <c r="C18" s="537"/>
      <c r="D18" s="537"/>
      <c r="E18" s="537"/>
      <c r="F18" s="537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36" t="str">
        <f>+VLOOKUP($A19,Master!$D$29:$G$225,4,FALSE)</f>
        <v>Ostali državni porezi</v>
      </c>
      <c r="C19" s="537"/>
      <c r="D19" s="537"/>
      <c r="E19" s="537"/>
      <c r="F19" s="537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46" t="str">
        <f>+VLOOKUP($A20,Master!$D$29:$G$225,4,FALSE)</f>
        <v>Doprinosi</v>
      </c>
      <c r="C20" s="547"/>
      <c r="D20" s="547"/>
      <c r="E20" s="547"/>
      <c r="F20" s="547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36" t="str">
        <f>+VLOOKUP($A21,Master!$D$29:$G$225,4,FALSE)</f>
        <v>Doprinosi za penzijsko i invalidsko osiguranje</v>
      </c>
      <c r="C21" s="537"/>
      <c r="D21" s="537"/>
      <c r="E21" s="537"/>
      <c r="F21" s="537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36" t="str">
        <f>+VLOOKUP($A22,Master!$D$29:$G$225,4,FALSE)</f>
        <v>Doprinosi za zdravstveno osiguranje</v>
      </c>
      <c r="C22" s="537"/>
      <c r="D22" s="537"/>
      <c r="E22" s="537"/>
      <c r="F22" s="537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36" t="str">
        <f>+VLOOKUP($A23,Master!$D$29:$G$225,4,FALSE)</f>
        <v>Doprinosi za osiguranje od nezaposlenosti</v>
      </c>
      <c r="C23" s="537"/>
      <c r="D23" s="537"/>
      <c r="E23" s="537"/>
      <c r="F23" s="537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36" t="str">
        <f>+VLOOKUP($A24,Master!$D$29:$G$225,4,FALSE)</f>
        <v>Ostali doprinosi</v>
      </c>
      <c r="C24" s="537"/>
      <c r="D24" s="537"/>
      <c r="E24" s="537"/>
      <c r="F24" s="537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38" t="str">
        <f>+VLOOKUP($A25,Master!$D$29:$G$225,4,FALSE)</f>
        <v>Takse</v>
      </c>
      <c r="C25" s="539"/>
      <c r="D25" s="539"/>
      <c r="E25" s="539"/>
      <c r="F25" s="539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38" t="str">
        <f>+VLOOKUP($A26,Master!$D$29:$G$225,4,FALSE)</f>
        <v>Naknade</v>
      </c>
      <c r="C26" s="539"/>
      <c r="D26" s="539"/>
      <c r="E26" s="539"/>
      <c r="F26" s="539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38" t="str">
        <f>+VLOOKUP($A27,Master!$D$29:$G$225,4,FALSE)</f>
        <v>Ostali prihodi</v>
      </c>
      <c r="C27" s="539"/>
      <c r="D27" s="539"/>
      <c r="E27" s="539"/>
      <c r="F27" s="539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38" t="str">
        <f>+VLOOKUP($A28,Master!$D$29:$G$225,4,FALSE)</f>
        <v>Primici od otplate kredita i sredstva prenesena iz prethodne godine</v>
      </c>
      <c r="C28" s="539"/>
      <c r="D28" s="539"/>
      <c r="E28" s="539"/>
      <c r="F28" s="539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40" t="str">
        <f>+VLOOKUP($A29,Master!$D$29:$G$225,4,FALSE)</f>
        <v>Donacije i transferi</v>
      </c>
      <c r="C29" s="541"/>
      <c r="D29" s="541"/>
      <c r="E29" s="541"/>
      <c r="F29" s="541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26" t="str">
        <f>+VLOOKUP($A30,Master!$D$29:$G$225,4,FALSE)</f>
        <v>Izdaci budžeta</v>
      </c>
      <c r="C30" s="527"/>
      <c r="D30" s="527"/>
      <c r="E30" s="527"/>
      <c r="F30" s="527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42" t="str">
        <f>+VLOOKUP($A31,Master!$D$29:$G$225,4,FALSE)</f>
        <v>Tekući izdaci</v>
      </c>
      <c r="C31" s="543"/>
      <c r="D31" s="543"/>
      <c r="E31" s="543"/>
      <c r="F31" s="543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44" t="str">
        <f>+VLOOKUP($A32,Master!$D$29:$G$225,4,FALSE)</f>
        <v>Tekuća budžetska potrošnja</v>
      </c>
      <c r="C32" s="545"/>
      <c r="D32" s="545"/>
      <c r="E32" s="545"/>
      <c r="F32" s="545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36" t="str">
        <f>+VLOOKUP($A33,Master!$D$29:$G$225,4,FALSE)</f>
        <v>Bruto zarade i doprinosi na teret poslodavca</v>
      </c>
      <c r="C33" s="537"/>
      <c r="D33" s="537"/>
      <c r="E33" s="537"/>
      <c r="F33" s="537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36" t="str">
        <f>+VLOOKUP($A34,Master!$D$29:$G$225,4,FALSE)</f>
        <v>Ostala lična primanja</v>
      </c>
      <c r="C34" s="537"/>
      <c r="D34" s="537"/>
      <c r="E34" s="537"/>
      <c r="F34" s="537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36" t="str">
        <f>+VLOOKUP($A35,Master!$D$29:$G$225,4,FALSE)</f>
        <v>Rashodi za materijal</v>
      </c>
      <c r="C35" s="537"/>
      <c r="D35" s="537"/>
      <c r="E35" s="537"/>
      <c r="F35" s="537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36" t="str">
        <f>+VLOOKUP($A36,Master!$D$29:$G$225,4,FALSE)</f>
        <v>Rashodi za usluge</v>
      </c>
      <c r="C36" s="537"/>
      <c r="D36" s="537"/>
      <c r="E36" s="537"/>
      <c r="F36" s="537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36" t="str">
        <f>+VLOOKUP($A37,Master!$D$29:$G$225,4,FALSE)</f>
        <v>Rashodi za tekuće održavanje</v>
      </c>
      <c r="C37" s="537"/>
      <c r="D37" s="537"/>
      <c r="E37" s="537"/>
      <c r="F37" s="537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36" t="str">
        <f>+VLOOKUP($A38,Master!$D$29:$G$225,4,FALSE)</f>
        <v>Kamate</v>
      </c>
      <c r="C38" s="537"/>
      <c r="D38" s="537"/>
      <c r="E38" s="537"/>
      <c r="F38" s="537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36" t="str">
        <f>+VLOOKUP($A39,Master!$D$29:$G$225,4,FALSE)</f>
        <v>Renta</v>
      </c>
      <c r="C39" s="537"/>
      <c r="D39" s="537"/>
      <c r="E39" s="537"/>
      <c r="F39" s="537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36" t="str">
        <f>+VLOOKUP($A40,Master!$D$29:$G$225,4,FALSE)</f>
        <v>Subvencije</v>
      </c>
      <c r="C40" s="537"/>
      <c r="D40" s="537"/>
      <c r="E40" s="537"/>
      <c r="F40" s="537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36" t="str">
        <f>+VLOOKUP($A41,Master!$D$29:$G$225,4,FALSE)</f>
        <v>Ostali izdaci</v>
      </c>
      <c r="C41" s="537"/>
      <c r="D41" s="537"/>
      <c r="E41" s="537"/>
      <c r="F41" s="537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36" t="e">
        <f>+VLOOKUP($A42,Master!$D$29:$G$225,4,FALSE)</f>
        <v>#N/A</v>
      </c>
      <c r="C42" s="537"/>
      <c r="D42" s="537"/>
      <c r="E42" s="537"/>
      <c r="F42" s="537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32" t="str">
        <f>+VLOOKUP($A43,Master!$D$29:$G$225,4,FALSE)</f>
        <v>Transferi za socijalnu zaštitu</v>
      </c>
      <c r="C43" s="533"/>
      <c r="D43" s="533"/>
      <c r="E43" s="533"/>
      <c r="F43" s="533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36" t="str">
        <f>+VLOOKUP($A44,Master!$D$29:$G$225,4,FALSE)</f>
        <v>Prava iz oblasti socijalne zaštite</v>
      </c>
      <c r="C44" s="537"/>
      <c r="D44" s="537"/>
      <c r="E44" s="537"/>
      <c r="F44" s="537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36" t="str">
        <f>+VLOOKUP($A45,Master!$D$29:$G$225,4,FALSE)</f>
        <v>Sredstva za tehnološke viškove</v>
      </c>
      <c r="C45" s="537"/>
      <c r="D45" s="537"/>
      <c r="E45" s="537"/>
      <c r="F45" s="537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36" t="str">
        <f>+VLOOKUP($A46,Master!$D$29:$G$225,4,FALSE)</f>
        <v>Prava iz oblasti penzijskog i invalidskog osiguranja</v>
      </c>
      <c r="C46" s="537"/>
      <c r="D46" s="537"/>
      <c r="E46" s="537"/>
      <c r="F46" s="537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36" t="str">
        <f>+VLOOKUP($A47,Master!$D$29:$G$225,4,FALSE)</f>
        <v>Ostala prava iz oblasti zdravstvene zaštite</v>
      </c>
      <c r="C47" s="537"/>
      <c r="D47" s="537"/>
      <c r="E47" s="537"/>
      <c r="F47" s="537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36" t="str">
        <f>+VLOOKUP($A48,Master!$D$29:$G$225,4,FALSE)</f>
        <v>Ostala prava iz zdravstvenog osiguranja</v>
      </c>
      <c r="C48" s="537"/>
      <c r="D48" s="537"/>
      <c r="E48" s="537"/>
      <c r="F48" s="537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34" t="str">
        <f>+VLOOKUP($A49,Master!$D$29:$G$225,4,FALSE)</f>
        <v xml:space="preserve">Transferi institucijama, pojedincima, nevladinom i javnom sektoru </v>
      </c>
      <c r="C49" s="535"/>
      <c r="D49" s="535"/>
      <c r="E49" s="535"/>
      <c r="F49" s="535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34" t="str">
        <f>+VLOOKUP($A50,Master!$D$29:$G$225,4,FALSE)</f>
        <v>Kapitalni izdaci</v>
      </c>
      <c r="C50" s="535"/>
      <c r="D50" s="535"/>
      <c r="E50" s="535"/>
      <c r="F50" s="535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504" t="str">
        <f>+VLOOKUP($A51,Master!$D$29:$G$225,4,FALSE)</f>
        <v>Pozajmice i krediti</v>
      </c>
      <c r="C51" s="505"/>
      <c r="D51" s="505"/>
      <c r="E51" s="505"/>
      <c r="F51" s="505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504" t="str">
        <f>+VLOOKUP($A52,Master!$D$29:$G$225,4,FALSE)</f>
        <v>Rezerve</v>
      </c>
      <c r="C52" s="505"/>
      <c r="D52" s="505"/>
      <c r="E52" s="505"/>
      <c r="F52" s="505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22" t="str">
        <f>+VLOOKUP($A53,Master!$D$29:$G$225,4,FALSE)</f>
        <v>Otplata garancija</v>
      </c>
      <c r="C53" s="523"/>
      <c r="D53" s="523"/>
      <c r="E53" s="523"/>
      <c r="F53" s="523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22" t="str">
        <f>+VLOOKUP($A54,Master!$D$29:$G$225,4,FALSE)</f>
        <v>Otplata obaveza iz prethodnog perioda</v>
      </c>
      <c r="C54" s="523"/>
      <c r="D54" s="523"/>
      <c r="E54" s="523"/>
      <c r="F54" s="523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22" t="str">
        <f>+VLOOKUP($A55,Master!$D$29:$G$227,4,FALSE)</f>
        <v>Neto povećanje obaveza</v>
      </c>
      <c r="C55" s="523"/>
      <c r="D55" s="523"/>
      <c r="E55" s="523"/>
      <c r="F55" s="523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28" t="str">
        <f>+VLOOKUP($A56,Master!$D$29:$G$225,4,FALSE)</f>
        <v>Suficit / deficit</v>
      </c>
      <c r="C56" s="529"/>
      <c r="D56" s="529"/>
      <c r="E56" s="529"/>
      <c r="F56" s="529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30" t="str">
        <f>+VLOOKUP($A57,Master!$D$29:$G$225,4,FALSE)</f>
        <v>Primarni suficit/deficit</v>
      </c>
      <c r="C57" s="531"/>
      <c r="D57" s="531"/>
      <c r="E57" s="531"/>
      <c r="F57" s="531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32" t="str">
        <f>+VLOOKUP($A58,Master!$D$29:$G$225,4,FALSE)</f>
        <v>Otplata dugova</v>
      </c>
      <c r="C58" s="533"/>
      <c r="D58" s="533"/>
      <c r="E58" s="533"/>
      <c r="F58" s="533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20" t="str">
        <f>+VLOOKUP($A59,Master!$D$29:$G$225,4,FALSE)</f>
        <v>Otplata hartija od vrijednosti i kredita rezidentima</v>
      </c>
      <c r="C59" s="521"/>
      <c r="D59" s="521"/>
      <c r="E59" s="521"/>
      <c r="F59" s="521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504" t="str">
        <f>+VLOOKUP($A60,Master!$D$29:$G$225,4,FALSE)</f>
        <v>Otplata hartija od vrijednosti i kredita nerezidentima</v>
      </c>
      <c r="C60" s="505"/>
      <c r="D60" s="505"/>
      <c r="E60" s="505"/>
      <c r="F60" s="505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24" t="str">
        <f>+VLOOKUP($A62,Master!$D$29:$G$225,4,FALSE)</f>
        <v>Nedostajuća sredstva</v>
      </c>
      <c r="C62" s="525"/>
      <c r="D62" s="525"/>
      <c r="E62" s="525"/>
      <c r="F62" s="525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26" t="str">
        <f>+VLOOKUP($A63,Master!$D$29:$G$225,4,FALSE)</f>
        <v>Finansiranje</v>
      </c>
      <c r="C63" s="527"/>
      <c r="D63" s="527"/>
      <c r="E63" s="527"/>
      <c r="F63" s="527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20" t="str">
        <f>+VLOOKUP($A64,Master!$D$29:$G$225,4,FALSE)</f>
        <v>Pozajmice i krediti od domaćih izvora</v>
      </c>
      <c r="C64" s="521"/>
      <c r="D64" s="521"/>
      <c r="E64" s="521"/>
      <c r="F64" s="521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504" t="str">
        <f>+VLOOKUP($A65,Master!$D$29:$G$225,4,FALSE)</f>
        <v>Pozajmice i krediti od inostranih izvora</v>
      </c>
      <c r="C65" s="505"/>
      <c r="D65" s="505"/>
      <c r="E65" s="505"/>
      <c r="F65" s="505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504" t="str">
        <f>+VLOOKUP($A66,Master!$D$29:$G$225,4,FALSE)</f>
        <v>Primici od prodaje imovine</v>
      </c>
      <c r="C66" s="505"/>
      <c r="D66" s="505"/>
      <c r="E66" s="505"/>
      <c r="F66" s="505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G12" sqref="G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 i socijalnog staranja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Novembar</v>
      </c>
      <c r="E11" s="135"/>
      <c r="F11" s="135"/>
      <c r="G11" s="137" t="str">
        <f>+Master!G273</f>
        <v>Prihodi za period Januar - Novembar</v>
      </c>
      <c r="H11" s="135"/>
      <c r="I11" s="135"/>
      <c r="J11" s="135"/>
      <c r="K11" s="136"/>
    </row>
    <row r="12" spans="3:11">
      <c r="C12" s="134"/>
      <c r="D12" s="138">
        <f>+'Analitika - 2021'!N10</f>
        <v>158634203.05000001</v>
      </c>
      <c r="E12" s="456">
        <f>+D12/'2021'!T7</f>
        <v>3.2498351473992583E-2</v>
      </c>
      <c r="F12" s="135"/>
      <c r="G12" s="138">
        <f>+'Analitika - 2021'!G10</f>
        <v>1663210181.8</v>
      </c>
      <c r="H12" s="456">
        <f>+G12/'2021'!T7</f>
        <v>0.34073099006412227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Novembar</v>
      </c>
      <c r="E15" s="135"/>
      <c r="F15" s="135"/>
      <c r="G15" s="137" t="str">
        <f>+Master!G274</f>
        <v>Rashodi za period Januar - Novembar</v>
      </c>
      <c r="H15" s="135"/>
      <c r="I15" s="135"/>
      <c r="J15" s="135"/>
      <c r="K15" s="136"/>
    </row>
    <row r="16" spans="3:11">
      <c r="C16" s="134"/>
      <c r="D16" s="138">
        <f>+'Analitika - 2021'!N29</f>
        <v>172182918.45999998</v>
      </c>
      <c r="E16" s="456">
        <f>+D16/'2021'!T7</f>
        <v>3.52739881711839E-2</v>
      </c>
      <c r="F16" s="135"/>
      <c r="G16" s="138">
        <f>+'Analitika - 2021'!G29</f>
        <v>1739392021.8500001</v>
      </c>
      <c r="H16" s="456">
        <f>+G16/'2021'!T7</f>
        <v>0.35633786529203287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Novembar</v>
      </c>
      <c r="E19" s="135"/>
      <c r="F19" s="135"/>
      <c r="G19" s="137" t="str">
        <f>+Master!G275</f>
        <v>Suficit/Deficit za period Januar - Novembar</v>
      </c>
      <c r="H19" s="135"/>
      <c r="I19" s="135"/>
      <c r="J19" s="135"/>
      <c r="K19" s="136"/>
    </row>
    <row r="20" spans="3:12">
      <c r="C20" s="134"/>
      <c r="D20" s="138">
        <f>+'Analitika - 2021'!N53</f>
        <v>-13548715.409999967</v>
      </c>
      <c r="E20" s="456">
        <f>+D20/'2021'!T7</f>
        <v>-2.7756366971913153E-3</v>
      </c>
      <c r="F20" s="135"/>
      <c r="G20" s="138">
        <f>+'Analitika - 2021'!G53</f>
        <v>-76181840.049999923</v>
      </c>
      <c r="H20" s="456">
        <f>+G20/'2021'!T7</f>
        <v>-1.5606875227910582E-2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RKT/ZEUaWgufzzLTs388BDrsQc/MQGVhMEI9fhs2w/7RV/auyB+h7gY4WEtjZ/h7wigENvP1+AqLHLPLmJ2DAQ==" saltValue="eiB0kHjv72W0Bfn5KhmuI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1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W69"/>
  <sheetViews>
    <sheetView tabSelected="1" zoomScale="115" zoomScaleNormal="115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60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6"/>
    </row>
    <row r="2" spans="1:20" s="1" customFormat="1">
      <c r="C2" s="2"/>
      <c r="E2" s="3" t="str">
        <f>+Master!G6</f>
        <v>Crna Gora</v>
      </c>
      <c r="G2" s="356"/>
      <c r="I2" s="4"/>
      <c r="P2" s="364"/>
    </row>
    <row r="3" spans="1:20" s="1" customFormat="1">
      <c r="B3" s="163"/>
      <c r="E3" s="4" t="str">
        <f>+Master!G7</f>
        <v>Ministarstvo finansija i socijalnog staranja</v>
      </c>
      <c r="G3" s="356"/>
    </row>
    <row r="4" spans="1:20" s="1" customFormat="1">
      <c r="E4" s="4" t="str">
        <f>+Master!G8</f>
        <v>Direktorat za državni budžet</v>
      </c>
      <c r="G4" s="356"/>
      <c r="H4" s="364"/>
      <c r="I4" s="364"/>
      <c r="J4" s="364"/>
    </row>
    <row r="5" spans="1:20" s="1" customFormat="1">
      <c r="G5" s="356"/>
      <c r="N5" s="485"/>
      <c r="P5" s="485"/>
    </row>
    <row r="6" spans="1:20" ht="15.7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2021-11</v>
      </c>
      <c r="O6" s="143" t="str">
        <f>+CONCATENATE(N6,"p")</f>
        <v>2021-11p</v>
      </c>
      <c r="P6" s="130"/>
      <c r="Q6" s="130"/>
      <c r="R6" s="143" t="str">
        <f>+IF(Master!B3-10&gt;=0,CONCATENATE(Master!B4-1,"-",Master!B3),CONCATENATE(Master!B4-1,"-0",Master!B3))</f>
        <v>2020-11</v>
      </c>
      <c r="S6" s="130"/>
      <c r="T6" s="130"/>
    </row>
    <row r="7" spans="1:20">
      <c r="A7" s="144"/>
      <c r="B7" s="506" t="str">
        <f>+Master!G253</f>
        <v>Analitika za period Jan - Nov</v>
      </c>
      <c r="C7" s="507"/>
      <c r="D7" s="507"/>
      <c r="E7" s="507"/>
      <c r="F7" s="507"/>
      <c r="G7" s="515" t="str">
        <f>+Master!G245</f>
        <v>Jan - Nov</v>
      </c>
      <c r="H7" s="516"/>
      <c r="I7" s="516"/>
      <c r="J7" s="516"/>
      <c r="K7" s="516"/>
      <c r="L7" s="516"/>
      <c r="M7" s="517"/>
      <c r="N7" s="518" t="str">
        <f>+Master!G244</f>
        <v>Novembar</v>
      </c>
      <c r="O7" s="516"/>
      <c r="P7" s="516"/>
      <c r="Q7" s="516"/>
      <c r="R7" s="516"/>
      <c r="S7" s="516"/>
      <c r="T7" s="519"/>
    </row>
    <row r="8" spans="1:20">
      <c r="A8" s="144"/>
      <c r="B8" s="508"/>
      <c r="C8" s="509"/>
      <c r="D8" s="509"/>
      <c r="E8" s="509"/>
      <c r="F8" s="510"/>
      <c r="G8" s="358" t="str">
        <f>+Master!G25</f>
        <v>Ostvarenje</v>
      </c>
      <c r="H8" s="145" t="str">
        <f>+Master!G24</f>
        <v>Plan</v>
      </c>
      <c r="I8" s="502" t="str">
        <f>+Master!G260</f>
        <v>Odstupanje</v>
      </c>
      <c r="J8" s="502"/>
      <c r="K8" s="145" t="str">
        <f>+CONCATENATE(Master!G245," ",Master!B4-1)</f>
        <v>Jan - Nov 2020</v>
      </c>
      <c r="L8" s="502" t="str">
        <f>+I8</f>
        <v>Odstupanje</v>
      </c>
      <c r="M8" s="514"/>
      <c r="N8" s="146" t="str">
        <f>+G8</f>
        <v>Ostvarenje</v>
      </c>
      <c r="O8" s="145" t="str">
        <f>+H8</f>
        <v>Plan</v>
      </c>
      <c r="P8" s="502" t="str">
        <f>+I8</f>
        <v>Odstupanje</v>
      </c>
      <c r="Q8" s="502"/>
      <c r="R8" s="145" t="str">
        <f>+CONCATENATE(Master!G244," ",Master!B4-1)</f>
        <v>Novembar 2020</v>
      </c>
      <c r="S8" s="502" t="str">
        <f>+P8</f>
        <v>Odstupanje</v>
      </c>
      <c r="T8" s="503"/>
    </row>
    <row r="9" spans="1:20" ht="15.75" thickBot="1">
      <c r="A9" s="144"/>
      <c r="B9" s="511"/>
      <c r="C9" s="512"/>
      <c r="D9" s="512"/>
      <c r="E9" s="512"/>
      <c r="F9" s="513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26" t="str">
        <f>+VLOOKUP($A10,Master!$D$29:$G$225,4,FALSE)</f>
        <v>Prihodi budžeta</v>
      </c>
      <c r="C10" s="527"/>
      <c r="D10" s="527"/>
      <c r="E10" s="527"/>
      <c r="F10" s="527"/>
      <c r="G10" s="151">
        <f>'2021'!S10</f>
        <v>1663210181.8</v>
      </c>
      <c r="H10" s="151">
        <f>SUM('2021'!G84:Q84)</f>
        <v>1663111065.0853062</v>
      </c>
      <c r="I10" s="152">
        <f>+G10-H10</f>
        <v>99116.714693784714</v>
      </c>
      <c r="J10" s="154">
        <f>IF(+IF(ISERROR(G10/H10),"…",G10/H10-1)&gt;200%,"...",IF(ISERROR(G10/H10),"…",G10/H10-1))</f>
        <v>5.9597171093717094E-5</v>
      </c>
      <c r="K10" s="151">
        <f>SUM('2020'!G10:Q10)</f>
        <v>1455441399.0700002</v>
      </c>
      <c r="L10" s="152">
        <f>+G10-K10</f>
        <v>207768782.72999978</v>
      </c>
      <c r="M10" s="154">
        <f>IF(+IF(ISERROR(G10/K10),"…",G10/K10-1)&gt;200%,"...",IF(ISERROR(G10/K10),"…",G10/K10-1))</f>
        <v>0.14275310765707228</v>
      </c>
      <c r="N10" s="151">
        <f>'2021'!Q10</f>
        <v>158634203.05000001</v>
      </c>
      <c r="O10" s="151">
        <f>'2021'!Q84</f>
        <v>160886587.28362191</v>
      </c>
      <c r="P10" s="152">
        <f>+N10-O10</f>
        <v>-2252384.2336218953</v>
      </c>
      <c r="Q10" s="154">
        <f>IF(+IF(ISERROR(N10/O10),"…",N10/O10-1)&gt;200%,"...",IF(ISERROR(N10/O10),"…",N10/O10-1))</f>
        <v>-1.399982603677985E-2</v>
      </c>
      <c r="R10" s="151">
        <f>'2020'!Q10</f>
        <v>152121354.52000001</v>
      </c>
      <c r="S10" s="152">
        <f>+N10-R10</f>
        <v>6512848.5300000012</v>
      </c>
      <c r="T10" s="154">
        <f>IF(+IF(ISERROR(N10/R10),"…",N10/R10-1)&gt;200%,"...",IF(ISERROR(N10/R10),"…",N10/R10-1))</f>
        <v>4.2813506036351701E-2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277">
        <f>'2021'!S11</f>
        <v>1066122095.95</v>
      </c>
      <c r="H11" s="277">
        <f>SUM('2021'!G85:Q85)</f>
        <v>1003605611.2973404</v>
      </c>
      <c r="I11" s="158">
        <f t="shared" ref="I11:I57" si="0">+G11-H11</f>
        <v>62516484.652659655</v>
      </c>
      <c r="J11" s="160">
        <f t="shared" ref="J11:J64" si="1">IF(+IF(ISERROR(G11/H11-1),"…",G11/H11-1)&gt;200%,"...",IF(ISERROR(G11/H11-1),"…",G11/H11-1))</f>
        <v>6.2291884330784031E-2</v>
      </c>
      <c r="K11" s="277">
        <f>SUM('2020'!G11:Q11)</f>
        <v>877751009.78999996</v>
      </c>
      <c r="L11" s="158">
        <f>+G11-K11</f>
        <v>188371086.16000009</v>
      </c>
      <c r="M11" s="160">
        <f t="shared" ref="M11:M64" si="2">IF(+IF(ISERROR(G11/K11),"…",G11/K11-1)&gt;200%,"...",IF(ISERROR(G11/K11),"…",G11/K11-1))</f>
        <v>0.21460651603815006</v>
      </c>
      <c r="N11" s="277">
        <f>'2021'!Q11</f>
        <v>100241778.90000001</v>
      </c>
      <c r="O11" s="277">
        <f>'2021'!Q85</f>
        <v>87618055.236293003</v>
      </c>
      <c r="P11" s="158">
        <f>+N11-O11</f>
        <v>12623723.663707003</v>
      </c>
      <c r="Q11" s="160">
        <f t="shared" ref="Q11:Q64" si="3">IF(+IF(ISERROR(N11/O11),"…",N11/O11-1)&gt;200%,"...",IF(ISERROR(N11/O11),"…",N11/O11-1))</f>
        <v>0.14407673886007477</v>
      </c>
      <c r="R11" s="277">
        <f>'2020'!Q11</f>
        <v>72792310.129999995</v>
      </c>
      <c r="S11" s="158">
        <f t="shared" ref="S11:S57" si="4">+N11-R11</f>
        <v>27449468.770000011</v>
      </c>
      <c r="T11" s="160">
        <f t="shared" ref="T11:T64" si="5">IF(+IF(ISERROR(N11/R11),"…",N11/R11-1)&gt;200%,"...",IF(ISERROR(N11/R11),"…",N11/R11-1))</f>
        <v>0.37709297480706305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f>'2021'!S12</f>
        <v>107686595.3</v>
      </c>
      <c r="H12" s="163">
        <f>SUM('2021'!G86:Q86)</f>
        <v>131013010.73697773</v>
      </c>
      <c r="I12" s="164">
        <f t="shared" si="0"/>
        <v>-23326415.436977729</v>
      </c>
      <c r="J12" s="166">
        <f t="shared" si="1"/>
        <v>-0.17804655664167535</v>
      </c>
      <c r="K12" s="163">
        <f>SUM('2020'!G12:Q12)</f>
        <v>100871490.60000001</v>
      </c>
      <c r="L12" s="164">
        <f>+G12-K12</f>
        <v>6815104.6999999881</v>
      </c>
      <c r="M12" s="166">
        <f t="shared" si="2"/>
        <v>6.7562248356424881E-2</v>
      </c>
      <c r="N12" s="163">
        <f>'2021'!Q12</f>
        <v>11130007.369999999</v>
      </c>
      <c r="O12" s="163">
        <f>'2021'!Q86</f>
        <v>14377895.871985486</v>
      </c>
      <c r="P12" s="164">
        <f t="shared" ref="P12:P57" si="6">+N12-O12</f>
        <v>-3247888.5019854866</v>
      </c>
      <c r="Q12" s="166">
        <f t="shared" si="3"/>
        <v>-0.22589456279995834</v>
      </c>
      <c r="R12" s="163">
        <f>'2020'!Q12</f>
        <v>9295535.8699999992</v>
      </c>
      <c r="S12" s="164">
        <f t="shared" si="4"/>
        <v>1834471.5</v>
      </c>
      <c r="T12" s="166">
        <f t="shared" si="5"/>
        <v>0.19734973062935435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f>'2021'!S13</f>
        <v>71318011.269999996</v>
      </c>
      <c r="H13" s="163">
        <f>SUM('2021'!G87:Q87)</f>
        <v>56200121.155610807</v>
      </c>
      <c r="I13" s="164">
        <f t="shared" si="0"/>
        <v>15117890.114389189</v>
      </c>
      <c r="J13" s="166">
        <f t="shared" si="1"/>
        <v>0.26900102354814726</v>
      </c>
      <c r="K13" s="163">
        <f>SUM('2020'!G13:Q13)</f>
        <v>76857503.689999998</v>
      </c>
      <c r="L13" s="164">
        <f t="shared" ref="L13:L57" si="7">+G13-K13</f>
        <v>-5539492.4200000018</v>
      </c>
      <c r="M13" s="166">
        <f t="shared" si="2"/>
        <v>-7.2074841805208845E-2</v>
      </c>
      <c r="N13" s="163">
        <f>'2021'!Q13</f>
        <v>572934.72</v>
      </c>
      <c r="O13" s="163">
        <f>'2021'!Q87</f>
        <v>783170.64768952818</v>
      </c>
      <c r="P13" s="164">
        <f t="shared" si="6"/>
        <v>-210235.92768952821</v>
      </c>
      <c r="Q13" s="166">
        <f t="shared" si="3"/>
        <v>-0.26844204173095099</v>
      </c>
      <c r="R13" s="163">
        <f>'2020'!Q13</f>
        <v>1030775.31</v>
      </c>
      <c r="S13" s="164">
        <f t="shared" si="4"/>
        <v>-457840.59000000008</v>
      </c>
      <c r="T13" s="166">
        <f t="shared" si="5"/>
        <v>-0.44417108710141695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f>'2021'!S14</f>
        <v>1751416.8699999999</v>
      </c>
      <c r="H14" s="163">
        <f>SUM('2021'!G88:Q88)</f>
        <v>1390286.0276998891</v>
      </c>
      <c r="I14" s="164">
        <f t="shared" si="0"/>
        <v>361130.84230011073</v>
      </c>
      <c r="J14" s="166">
        <f t="shared" si="1"/>
        <v>0.25975291062772987</v>
      </c>
      <c r="K14" s="163">
        <f>SUM('2020'!G14:Q14)</f>
        <v>1393749.36</v>
      </c>
      <c r="L14" s="164">
        <f t="shared" si="7"/>
        <v>357667.50999999978</v>
      </c>
      <c r="M14" s="166">
        <f t="shared" si="2"/>
        <v>0.25662254653878347</v>
      </c>
      <c r="N14" s="163">
        <f>'2021'!Q14</f>
        <v>256744.67</v>
      </c>
      <c r="O14" s="163">
        <f>'2021'!Q88</f>
        <v>130654.63070136901</v>
      </c>
      <c r="P14" s="164">
        <f t="shared" si="6"/>
        <v>126090.039298631</v>
      </c>
      <c r="Q14" s="166">
        <f t="shared" si="3"/>
        <v>0.96506368447689339</v>
      </c>
      <c r="R14" s="163">
        <f>'2020'!Q14</f>
        <v>97080.29</v>
      </c>
      <c r="S14" s="164">
        <f t="shared" si="4"/>
        <v>159664.38</v>
      </c>
      <c r="T14" s="166">
        <f t="shared" si="5"/>
        <v>1.6446631957939148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f>'2021'!S15</f>
        <v>622541014.23000002</v>
      </c>
      <c r="H15" s="163">
        <f>SUM('2021'!G89:Q89)</f>
        <v>561312646.07176495</v>
      </c>
      <c r="I15" s="164">
        <f t="shared" si="0"/>
        <v>61228368.158235073</v>
      </c>
      <c r="J15" s="166">
        <f t="shared" si="1"/>
        <v>0.10908068540185156</v>
      </c>
      <c r="K15" s="163">
        <f>SUM('2020'!G15:Q15)</f>
        <v>482165851.67000002</v>
      </c>
      <c r="L15" s="164">
        <f t="shared" si="7"/>
        <v>140375162.56</v>
      </c>
      <c r="M15" s="166">
        <f t="shared" si="2"/>
        <v>0.29113460041561479</v>
      </c>
      <c r="N15" s="163">
        <f>'2021'!Q15</f>
        <v>62811263.609999999</v>
      </c>
      <c r="O15" s="163">
        <f>'2021'!Q89</f>
        <v>48316463.859108962</v>
      </c>
      <c r="P15" s="164">
        <f t="shared" si="6"/>
        <v>14494799.750891037</v>
      </c>
      <c r="Q15" s="166">
        <f t="shared" si="3"/>
        <v>0.29999711471348456</v>
      </c>
      <c r="R15" s="163">
        <f>'2020'!Q15</f>
        <v>43083981.810000002</v>
      </c>
      <c r="S15" s="164">
        <f t="shared" si="4"/>
        <v>19727281.799999997</v>
      </c>
      <c r="T15" s="166">
        <f t="shared" si="5"/>
        <v>0.4578797263214236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f>'2021'!S16</f>
        <v>226834723.19999996</v>
      </c>
      <c r="H16" s="163">
        <f>SUM('2021'!G90:Q90)</f>
        <v>220944600.24586344</v>
      </c>
      <c r="I16" s="164">
        <f t="shared" si="0"/>
        <v>5890122.9541365206</v>
      </c>
      <c r="J16" s="166">
        <f t="shared" si="1"/>
        <v>2.665882283424037E-2</v>
      </c>
      <c r="K16" s="163">
        <f>SUM('2020'!G16:Q16)</f>
        <v>186594587.25000003</v>
      </c>
      <c r="L16" s="164">
        <f t="shared" si="7"/>
        <v>40240135.949999928</v>
      </c>
      <c r="M16" s="166">
        <f t="shared" si="2"/>
        <v>0.21565543000497689</v>
      </c>
      <c r="N16" s="163">
        <f>'2021'!Q16</f>
        <v>22114560.530000001</v>
      </c>
      <c r="O16" s="163">
        <f>'2021'!Q90</f>
        <v>21291284.31250241</v>
      </c>
      <c r="P16" s="164">
        <f t="shared" si="6"/>
        <v>823276.21749759093</v>
      </c>
      <c r="Q16" s="166">
        <f t="shared" si="3"/>
        <v>3.8667287769679426E-2</v>
      </c>
      <c r="R16" s="163">
        <f>'2020'!Q16</f>
        <v>16609981.27</v>
      </c>
      <c r="S16" s="164">
        <f t="shared" si="4"/>
        <v>5504579.2600000016</v>
      </c>
      <c r="T16" s="166">
        <f t="shared" si="5"/>
        <v>0.33140189447064938</v>
      </c>
    </row>
    <row r="17" spans="1:20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f>'2021'!S17</f>
        <v>25725391.169999998</v>
      </c>
      <c r="H17" s="163">
        <f>SUM('2021'!G91:Q91)</f>
        <v>22695221.561222043</v>
      </c>
      <c r="I17" s="164">
        <f t="shared" si="0"/>
        <v>3030169.6087779552</v>
      </c>
      <c r="J17" s="166">
        <f t="shared" si="1"/>
        <v>0.13351575355207923</v>
      </c>
      <c r="K17" s="163">
        <f>SUM('2020'!G17:Q17)</f>
        <v>20687944.599999998</v>
      </c>
      <c r="L17" s="164">
        <f t="shared" si="7"/>
        <v>5037446.57</v>
      </c>
      <c r="M17" s="166">
        <f t="shared" si="2"/>
        <v>0.24349671595698297</v>
      </c>
      <c r="N17" s="163">
        <f>'2021'!Q17</f>
        <v>2368746</v>
      </c>
      <c r="O17" s="163">
        <f>'2021'!Q91</f>
        <v>1733668.830290545</v>
      </c>
      <c r="P17" s="164">
        <f t="shared" si="6"/>
        <v>635077.16970945499</v>
      </c>
      <c r="Q17" s="166">
        <f t="shared" si="3"/>
        <v>0.36631977146582417</v>
      </c>
      <c r="R17" s="163">
        <f>'2020'!Q17</f>
        <v>1771129.39</v>
      </c>
      <c r="S17" s="164">
        <f t="shared" si="4"/>
        <v>597616.6100000001</v>
      </c>
      <c r="T17" s="166">
        <f t="shared" si="5"/>
        <v>0.33742120331479564</v>
      </c>
    </row>
    <row r="18" spans="1:20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f>'2021'!S18</f>
        <v>10264943.910000002</v>
      </c>
      <c r="H18" s="163">
        <f>SUM('2021'!G92:Q92)</f>
        <v>10049725.498201504</v>
      </c>
      <c r="I18" s="164">
        <f t="shared" si="0"/>
        <v>215218.41179849766</v>
      </c>
      <c r="J18" s="166">
        <f t="shared" si="1"/>
        <v>2.1415352273752353E-2</v>
      </c>
      <c r="K18" s="163">
        <f>SUM('2020'!G18:Q18)</f>
        <v>9179882.620000001</v>
      </c>
      <c r="L18" s="164">
        <f t="shared" si="7"/>
        <v>1085061.290000001</v>
      </c>
      <c r="M18" s="166">
        <f t="shared" si="2"/>
        <v>0.11819990896572063</v>
      </c>
      <c r="N18" s="163">
        <f>'2021'!Q18</f>
        <v>987522</v>
      </c>
      <c r="O18" s="163">
        <f>'2021'!Q92</f>
        <v>984917.08401470014</v>
      </c>
      <c r="P18" s="164">
        <f t="shared" si="6"/>
        <v>2604.9159852998564</v>
      </c>
      <c r="Q18" s="166">
        <f t="shared" si="3"/>
        <v>2.6448073930058769E-3</v>
      </c>
      <c r="R18" s="163">
        <f>'2020'!Q18</f>
        <v>903826.19</v>
      </c>
      <c r="S18" s="164">
        <f t="shared" si="4"/>
        <v>83695.810000000056</v>
      </c>
      <c r="T18" s="166">
        <f t="shared" si="5"/>
        <v>9.2601664928519067E-2</v>
      </c>
    </row>
    <row r="19" spans="1:20">
      <c r="A19" s="150">
        <v>712</v>
      </c>
      <c r="B19" s="538" t="str">
        <f>+VLOOKUP($A19,Master!$D$29:$G$225,4,FALSE)</f>
        <v>Doprinosi</v>
      </c>
      <c r="C19" s="539"/>
      <c r="D19" s="539"/>
      <c r="E19" s="539"/>
      <c r="F19" s="539"/>
      <c r="G19" s="169">
        <f>'2021'!S19</f>
        <v>467480447.74000001</v>
      </c>
      <c r="H19" s="169">
        <f>SUM('2021'!G93:Q93)</f>
        <v>489263252.14317983</v>
      </c>
      <c r="I19" s="170">
        <f t="shared" si="0"/>
        <v>-21782804.403179824</v>
      </c>
      <c r="J19" s="172">
        <f t="shared" si="1"/>
        <v>-4.4521644140985361E-2</v>
      </c>
      <c r="K19" s="169">
        <f>SUM('2020'!G19:Q19)</f>
        <v>450476244.42999995</v>
      </c>
      <c r="L19" s="170">
        <f t="shared" si="7"/>
        <v>17004203.310000062</v>
      </c>
      <c r="M19" s="172">
        <f t="shared" si="2"/>
        <v>3.7747169845806061E-2</v>
      </c>
      <c r="N19" s="169">
        <f>'2021'!Q19</f>
        <v>46560226.979999997</v>
      </c>
      <c r="O19" s="169">
        <f>'2021'!Q93</f>
        <v>47825022.848444022</v>
      </c>
      <c r="P19" s="170">
        <f t="shared" si="6"/>
        <v>-1264795.8684440255</v>
      </c>
      <c r="Q19" s="172">
        <f t="shared" si="3"/>
        <v>-2.6446320213000751E-2</v>
      </c>
      <c r="R19" s="169">
        <f>'2020'!Q19</f>
        <v>43869251.589999996</v>
      </c>
      <c r="S19" s="170">
        <f t="shared" si="4"/>
        <v>2690975.3900000006</v>
      </c>
      <c r="T19" s="172">
        <f t="shared" si="5"/>
        <v>6.1340809165146837E-2</v>
      </c>
    </row>
    <row r="20" spans="1:20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f>'2021'!S20</f>
        <v>289024312.70000005</v>
      </c>
      <c r="H20" s="163">
        <f>SUM('2021'!G94:Q94)</f>
        <v>302525567.61432505</v>
      </c>
      <c r="I20" s="164">
        <f t="shared" si="0"/>
        <v>-13501254.914324999</v>
      </c>
      <c r="J20" s="166">
        <f t="shared" si="1"/>
        <v>-4.462847560552996E-2</v>
      </c>
      <c r="K20" s="163">
        <f>SUM('2020'!G20:Q20)</f>
        <v>280812995.43000001</v>
      </c>
      <c r="L20" s="164">
        <f t="shared" si="7"/>
        <v>8211317.2700000405</v>
      </c>
      <c r="M20" s="166">
        <f t="shared" si="2"/>
        <v>2.9241229585640571E-2</v>
      </c>
      <c r="N20" s="163">
        <f>'2021'!Q20</f>
        <v>28933702.27</v>
      </c>
      <c r="O20" s="163">
        <f>'2021'!Q94</f>
        <v>30479637.603546329</v>
      </c>
      <c r="P20" s="164">
        <f t="shared" si="6"/>
        <v>-1545935.3335463293</v>
      </c>
      <c r="Q20" s="166">
        <f t="shared" si="3"/>
        <v>-5.0720266220175114E-2</v>
      </c>
      <c r="R20" s="163">
        <f>'2020'!Q20</f>
        <v>27710639.109999999</v>
      </c>
      <c r="S20" s="164">
        <f t="shared" si="4"/>
        <v>1223063.1600000001</v>
      </c>
      <c r="T20" s="166">
        <f t="shared" si="5"/>
        <v>4.4136952422675568E-2</v>
      </c>
    </row>
    <row r="21" spans="1:20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f>'2021'!S21</f>
        <v>152939371.64000002</v>
      </c>
      <c r="H21" s="163">
        <f>SUM('2021'!G95:Q95)</f>
        <v>159614585.08943772</v>
      </c>
      <c r="I21" s="164">
        <f t="shared" si="0"/>
        <v>-6675213.4494377077</v>
      </c>
      <c r="J21" s="166">
        <f t="shared" si="1"/>
        <v>-4.1820823865797441E-2</v>
      </c>
      <c r="K21" s="163">
        <f>SUM('2020'!G21:Q21)</f>
        <v>145290343.35999998</v>
      </c>
      <c r="L21" s="164">
        <f t="shared" si="7"/>
        <v>7649028.280000031</v>
      </c>
      <c r="M21" s="166">
        <f t="shared" si="2"/>
        <v>5.2646501502493503E-2</v>
      </c>
      <c r="N21" s="163">
        <f>'2021'!Q21</f>
        <v>15188463.41</v>
      </c>
      <c r="O21" s="163">
        <f>'2021'!Q95</f>
        <v>14647415.233922748</v>
      </c>
      <c r="P21" s="164">
        <f t="shared" si="6"/>
        <v>541048.17607725225</v>
      </c>
      <c r="Q21" s="166">
        <f t="shared" si="3"/>
        <v>3.6938133277208518E-2</v>
      </c>
      <c r="R21" s="163">
        <f>'2020'!Q21</f>
        <v>13825874.189999999</v>
      </c>
      <c r="S21" s="164">
        <f t="shared" si="4"/>
        <v>1362589.2200000007</v>
      </c>
      <c r="T21" s="166">
        <f t="shared" si="5"/>
        <v>9.8553567121675067E-2</v>
      </c>
    </row>
    <row r="22" spans="1:20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f>'2021'!S22</f>
        <v>13835662.770000001</v>
      </c>
      <c r="H22" s="163">
        <f>SUM('2021'!G96:Q96)</f>
        <v>14688539.1998892</v>
      </c>
      <c r="I22" s="164">
        <f t="shared" si="0"/>
        <v>-852876.42988919839</v>
      </c>
      <c r="J22" s="166">
        <f t="shared" si="1"/>
        <v>-5.8064074193002968E-2</v>
      </c>
      <c r="K22" s="163">
        <f>SUM('2020'!G22:Q22)</f>
        <v>13096182.110000003</v>
      </c>
      <c r="L22" s="164">
        <f t="shared" si="7"/>
        <v>739480.65999999829</v>
      </c>
      <c r="M22" s="166">
        <f t="shared" si="2"/>
        <v>5.6465361720599905E-2</v>
      </c>
      <c r="N22" s="163">
        <f>'2021'!Q22</f>
        <v>1349119.82</v>
      </c>
      <c r="O22" s="163">
        <f>'2021'!Q96</f>
        <v>1454939.4368525913</v>
      </c>
      <c r="P22" s="164">
        <f t="shared" si="6"/>
        <v>-105819.61685259128</v>
      </c>
      <c r="Q22" s="166">
        <f t="shared" si="3"/>
        <v>-7.2731286383649341E-2</v>
      </c>
      <c r="R22" s="163">
        <f>'2020'!Q22</f>
        <v>1219234.01</v>
      </c>
      <c r="S22" s="164">
        <f t="shared" si="4"/>
        <v>129885.81000000006</v>
      </c>
      <c r="T22" s="166">
        <f t="shared" si="5"/>
        <v>0.10653066510177167</v>
      </c>
    </row>
    <row r="23" spans="1:20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f>'2021'!S23</f>
        <v>11681100.630000001</v>
      </c>
      <c r="H23" s="163">
        <f>SUM('2021'!G97:Q97)</f>
        <v>12434560.239527877</v>
      </c>
      <c r="I23" s="164">
        <f t="shared" si="0"/>
        <v>-753459.6095278766</v>
      </c>
      <c r="J23" s="166">
        <f t="shared" si="1"/>
        <v>-6.059398925365489E-2</v>
      </c>
      <c r="K23" s="163">
        <f>SUM('2020'!G23:Q23)</f>
        <v>11276723.529999999</v>
      </c>
      <c r="L23" s="164">
        <f t="shared" si="7"/>
        <v>404377.10000000149</v>
      </c>
      <c r="M23" s="166">
        <f t="shared" si="2"/>
        <v>3.5859449681835187E-2</v>
      </c>
      <c r="N23" s="163">
        <f>'2021'!Q23</f>
        <v>1088941.48</v>
      </c>
      <c r="O23" s="163">
        <f>'2021'!Q97</f>
        <v>1243030.5741223574</v>
      </c>
      <c r="P23" s="164">
        <f t="shared" si="6"/>
        <v>-154089.09412235743</v>
      </c>
      <c r="Q23" s="166">
        <f t="shared" si="3"/>
        <v>-0.12396243288798603</v>
      </c>
      <c r="R23" s="163">
        <f>'2020'!Q23</f>
        <v>1113504.28</v>
      </c>
      <c r="S23" s="164">
        <f t="shared" si="4"/>
        <v>-24562.800000000047</v>
      </c>
      <c r="T23" s="166">
        <f t="shared" si="5"/>
        <v>-2.2059008161154137E-2</v>
      </c>
    </row>
    <row r="24" spans="1:20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f>'2021'!S24</f>
        <v>11393718.9</v>
      </c>
      <c r="H24" s="175">
        <f>SUM('2021'!G98:Q98)</f>
        <v>11693089.898682358</v>
      </c>
      <c r="I24" s="176">
        <f t="shared" si="0"/>
        <v>-299370.99868235737</v>
      </c>
      <c r="J24" s="178">
        <f t="shared" si="1"/>
        <v>-2.5602385791636872E-2</v>
      </c>
      <c r="K24" s="175">
        <f>SUM('2020'!G24:Q24)</f>
        <v>9421073.8599999994</v>
      </c>
      <c r="L24" s="176">
        <f t="shared" si="7"/>
        <v>1972645.040000001</v>
      </c>
      <c r="M24" s="178">
        <f t="shared" si="2"/>
        <v>0.20938643187752293</v>
      </c>
      <c r="N24" s="175">
        <f>'2021'!Q24</f>
        <v>1049502.56</v>
      </c>
      <c r="O24" s="175">
        <f>'2021'!Q98</f>
        <v>809312.75905618665</v>
      </c>
      <c r="P24" s="176">
        <f t="shared" si="6"/>
        <v>240189.8009438134</v>
      </c>
      <c r="Q24" s="178">
        <f t="shared" si="3"/>
        <v>0.29678242219228146</v>
      </c>
      <c r="R24" s="175">
        <f>'2020'!Q24</f>
        <v>955177.11</v>
      </c>
      <c r="S24" s="176">
        <f t="shared" si="4"/>
        <v>94325.45000000007</v>
      </c>
      <c r="T24" s="178">
        <f t="shared" si="5"/>
        <v>9.875179064958961E-2</v>
      </c>
    </row>
    <row r="25" spans="1:20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f>'2021'!S25</f>
        <v>38800373.43</v>
      </c>
      <c r="H25" s="175">
        <f>SUM('2021'!G99:Q99)</f>
        <v>34107609.732152112</v>
      </c>
      <c r="I25" s="176">
        <f t="shared" si="0"/>
        <v>4692763.6978478879</v>
      </c>
      <c r="J25" s="178">
        <f t="shared" si="1"/>
        <v>0.13758699993052215</v>
      </c>
      <c r="K25" s="175">
        <f>SUM('2020'!G25:Q25)</f>
        <v>24641124.280000001</v>
      </c>
      <c r="L25" s="176">
        <f t="shared" si="7"/>
        <v>14159249.149999999</v>
      </c>
      <c r="M25" s="178">
        <f t="shared" si="2"/>
        <v>0.57461863302610627</v>
      </c>
      <c r="N25" s="175">
        <f>'2021'!Q25</f>
        <v>5178797.51</v>
      </c>
      <c r="O25" s="175">
        <f>'2021'!Q99</f>
        <v>4036123.9648556504</v>
      </c>
      <c r="P25" s="176">
        <f t="shared" si="6"/>
        <v>1142673.5451443493</v>
      </c>
      <c r="Q25" s="178">
        <f t="shared" si="3"/>
        <v>0.28311160784309952</v>
      </c>
      <c r="R25" s="175">
        <f>'2020'!Q25</f>
        <v>2393815.35</v>
      </c>
      <c r="S25" s="176">
        <f t="shared" si="4"/>
        <v>2784982.1599999997</v>
      </c>
      <c r="T25" s="178">
        <f t="shared" si="5"/>
        <v>1.1634072611323174</v>
      </c>
    </row>
    <row r="26" spans="1:20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f>'2021'!S26</f>
        <v>50039036.43</v>
      </c>
      <c r="H26" s="175">
        <f>SUM('2021'!G100:Q100)</f>
        <v>62908280.158682823</v>
      </c>
      <c r="I26" s="176">
        <f t="shared" si="0"/>
        <v>-12869243.728682823</v>
      </c>
      <c r="J26" s="178">
        <f t="shared" si="1"/>
        <v>-0.20457153964821218</v>
      </c>
      <c r="K26" s="175">
        <f>SUM('2020'!G26:Q26)</f>
        <v>35001460.919999994</v>
      </c>
      <c r="L26" s="176">
        <f t="shared" si="7"/>
        <v>15037575.510000005</v>
      </c>
      <c r="M26" s="178">
        <f t="shared" si="2"/>
        <v>0.42962708169153774</v>
      </c>
      <c r="N26" s="175">
        <f>'2021'!Q26</f>
        <v>1690115.6199999999</v>
      </c>
      <c r="O26" s="175">
        <f>'2021'!Q100</f>
        <v>1925376.3465948214</v>
      </c>
      <c r="P26" s="176">
        <f t="shared" si="6"/>
        <v>-235260.72659482155</v>
      </c>
      <c r="Q26" s="178">
        <f t="shared" si="3"/>
        <v>-0.12218947584502038</v>
      </c>
      <c r="R26" s="175">
        <f>'2020'!Q26</f>
        <v>1756272.85</v>
      </c>
      <c r="S26" s="176">
        <f t="shared" si="4"/>
        <v>-66157.230000000214</v>
      </c>
      <c r="T26" s="178">
        <f t="shared" si="5"/>
        <v>-3.7669107052472062E-2</v>
      </c>
    </row>
    <row r="27" spans="1:20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f>'2021'!S27</f>
        <v>7840752.6099999994</v>
      </c>
      <c r="H27" s="175">
        <f>SUM('2021'!G101:Q101)</f>
        <v>7307758.2062975643</v>
      </c>
      <c r="I27" s="176">
        <f t="shared" si="0"/>
        <v>532994.40370243508</v>
      </c>
      <c r="J27" s="178">
        <f t="shared" si="1"/>
        <v>7.2935418586115741E-2</v>
      </c>
      <c r="K27" s="175">
        <f>SUM('2020'!G27:Q27)</f>
        <v>6354662.1799999997</v>
      </c>
      <c r="L27" s="176">
        <f t="shared" si="7"/>
        <v>1486090.4299999997</v>
      </c>
      <c r="M27" s="178">
        <f t="shared" si="2"/>
        <v>0.23385828985168811</v>
      </c>
      <c r="N27" s="175">
        <f>'2021'!Q27</f>
        <v>1198500.7600000002</v>
      </c>
      <c r="O27" s="175">
        <f>'2021'!Q101</f>
        <v>1664971.2137021665</v>
      </c>
      <c r="P27" s="176">
        <f t="shared" si="6"/>
        <v>-466470.45370216621</v>
      </c>
      <c r="Q27" s="178">
        <f t="shared" si="3"/>
        <v>-0.28016727848701983</v>
      </c>
      <c r="R27" s="175">
        <f>'2020'!Q27</f>
        <v>1062947.03</v>
      </c>
      <c r="S27" s="176">
        <f t="shared" si="4"/>
        <v>135553.73000000021</v>
      </c>
      <c r="T27" s="178">
        <f t="shared" si="5"/>
        <v>0.12752632650001394</v>
      </c>
    </row>
    <row r="28" spans="1:20" ht="15.7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f>'2021'!S28</f>
        <v>21533756.739999998</v>
      </c>
      <c r="H28" s="175">
        <f>SUM('2021'!G102:Q102)</f>
        <v>54225463.648970872</v>
      </c>
      <c r="I28" s="176">
        <f t="shared" si="0"/>
        <v>-32691706.908970874</v>
      </c>
      <c r="J28" s="178">
        <f t="shared" si="1"/>
        <v>-0.60288478344050667</v>
      </c>
      <c r="K28" s="175">
        <f>SUM('2020'!G28:Q28)</f>
        <v>51795823.609999999</v>
      </c>
      <c r="L28" s="176">
        <f t="shared" si="7"/>
        <v>-30262066.870000001</v>
      </c>
      <c r="M28" s="178">
        <f t="shared" si="2"/>
        <v>-0.58425689101615963</v>
      </c>
      <c r="N28" s="175">
        <f>'2021'!Q28</f>
        <v>2715280.72</v>
      </c>
      <c r="O28" s="175">
        <f>'2021'!Q102</f>
        <v>17007724.914676052</v>
      </c>
      <c r="P28" s="176">
        <f t="shared" si="6"/>
        <v>-14292444.194676051</v>
      </c>
      <c r="Q28" s="178">
        <f t="shared" si="3"/>
        <v>-0.84035015067435792</v>
      </c>
      <c r="R28" s="175">
        <f>'2020'!Q28</f>
        <v>29291580.460000001</v>
      </c>
      <c r="S28" s="176">
        <f t="shared" si="4"/>
        <v>-26576299.740000002</v>
      </c>
      <c r="T28" s="178">
        <f t="shared" si="5"/>
        <v>-0.90730166561999159</v>
      </c>
    </row>
    <row r="29" spans="1:20" ht="15.7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>'2021'!S29</f>
        <v>1739392021.8500001</v>
      </c>
      <c r="H29" s="151">
        <f>SUM('2021'!G103:Q103)</f>
        <v>1851436599.4400496</v>
      </c>
      <c r="I29" s="152">
        <f t="shared" si="0"/>
        <v>-112044577.59004951</v>
      </c>
      <c r="J29" s="154">
        <f t="shared" si="1"/>
        <v>-6.0517642150931028E-2</v>
      </c>
      <c r="K29" s="151">
        <f>SUM('2020'!G29:Q29)</f>
        <v>1852694219.2799997</v>
      </c>
      <c r="L29" s="152">
        <f t="shared" si="7"/>
        <v>-113302197.42999959</v>
      </c>
      <c r="M29" s="154">
        <f t="shared" si="2"/>
        <v>-6.1155368355405915E-2</v>
      </c>
      <c r="N29" s="151">
        <f>'2021'!Q29</f>
        <v>172182918.45999998</v>
      </c>
      <c r="O29" s="151">
        <f>'2021'!Q103</f>
        <v>168241373.96214712</v>
      </c>
      <c r="P29" s="152">
        <f t="shared" si="6"/>
        <v>3941544.4978528619</v>
      </c>
      <c r="Q29" s="154">
        <f t="shared" si="3"/>
        <v>2.3427914341330069E-2</v>
      </c>
      <c r="R29" s="151">
        <f>'2020'!Q29</f>
        <v>165383741.06</v>
      </c>
      <c r="S29" s="152">
        <f t="shared" si="4"/>
        <v>6799177.3999999762</v>
      </c>
      <c r="T29" s="154">
        <f t="shared" si="5"/>
        <v>4.1111522550050905E-2</v>
      </c>
    </row>
    <row r="30" spans="1:20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313">
        <f>'2021'!S30</f>
        <v>748347542.06999993</v>
      </c>
      <c r="H30" s="313">
        <f>SUM('2021'!G104:Q104)</f>
        <v>790214102.31781638</v>
      </c>
      <c r="I30" s="188">
        <f t="shared" si="0"/>
        <v>-41866560.247816443</v>
      </c>
      <c r="J30" s="190">
        <f t="shared" si="1"/>
        <v>-5.2981287128406773E-2</v>
      </c>
      <c r="K30" s="313">
        <f>SUM('2020'!G30:Q30)</f>
        <v>764950054.63999999</v>
      </c>
      <c r="L30" s="188">
        <f t="shared" si="7"/>
        <v>-16602512.570000052</v>
      </c>
      <c r="M30" s="190">
        <f t="shared" si="2"/>
        <v>-2.1704047825466866E-2</v>
      </c>
      <c r="N30" s="313">
        <f>'2021'!Q30</f>
        <v>70640735.879999995</v>
      </c>
      <c r="O30" s="313">
        <f>'2021'!Q104</f>
        <v>67553620.464380473</v>
      </c>
      <c r="P30" s="188">
        <f t="shared" si="6"/>
        <v>3087115.4156195223</v>
      </c>
      <c r="Q30" s="190">
        <f t="shared" si="3"/>
        <v>4.5698741154033273E-2</v>
      </c>
      <c r="R30" s="313">
        <f>'2020'!Q30</f>
        <v>73263896.420000002</v>
      </c>
      <c r="S30" s="188">
        <f t="shared" si="4"/>
        <v>-2623160.5400000066</v>
      </c>
      <c r="T30" s="190">
        <f t="shared" si="5"/>
        <v>-3.5804272884453425E-2</v>
      </c>
    </row>
    <row r="31" spans="1:20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f>'2021'!S31</f>
        <v>488175774.20000005</v>
      </c>
      <c r="H31" s="163">
        <f>SUM('2021'!G105:Q105)</f>
        <v>481091801.79153335</v>
      </c>
      <c r="I31" s="164">
        <f t="shared" si="0"/>
        <v>7083972.4084666967</v>
      </c>
      <c r="J31" s="166">
        <f t="shared" si="1"/>
        <v>1.4724783049901768E-2</v>
      </c>
      <c r="K31" s="163">
        <f>SUM('2020'!G31:Q31)</f>
        <v>452083572.05999994</v>
      </c>
      <c r="L31" s="164">
        <f t="shared" si="7"/>
        <v>36092202.140000105</v>
      </c>
      <c r="M31" s="166">
        <f t="shared" si="2"/>
        <v>7.9835243681913637E-2</v>
      </c>
      <c r="N31" s="163">
        <f>'2021'!Q31</f>
        <v>42899701.979999997</v>
      </c>
      <c r="O31" s="163">
        <f>'2021'!Q105</f>
        <v>41853667.688466668</v>
      </c>
      <c r="P31" s="164">
        <f>+N31-O31</f>
        <v>1046034.2915333286</v>
      </c>
      <c r="Q31" s="166">
        <f>IF(+IF(ISERROR(N31/O31),"…",N31/O31-1)&gt;200%,"...",IF(ISERROR(N31/O31),"…",N31/O31-1))</f>
        <v>2.4992655346703918E-2</v>
      </c>
      <c r="R31" s="163">
        <f>'2020'!Q31</f>
        <v>38685460.780000001</v>
      </c>
      <c r="S31" s="164">
        <f t="shared" si="4"/>
        <v>4214241.1999999955</v>
      </c>
      <c r="T31" s="166">
        <f t="shared" si="5"/>
        <v>0.10893604767863363</v>
      </c>
    </row>
    <row r="32" spans="1:20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f>'2021'!S32</f>
        <v>9027486.5899999999</v>
      </c>
      <c r="H32" s="163">
        <f>SUM('2021'!G106:Q106)</f>
        <v>11507826.113999998</v>
      </c>
      <c r="I32" s="164">
        <f t="shared" si="0"/>
        <v>-2480339.5239999983</v>
      </c>
      <c r="J32" s="166">
        <f t="shared" si="1"/>
        <v>-0.21553501933632002</v>
      </c>
      <c r="K32" s="163">
        <f>SUM('2020'!G32:Q32)</f>
        <v>10404944.939999999</v>
      </c>
      <c r="L32" s="164">
        <f t="shared" si="7"/>
        <v>-1377458.3499999996</v>
      </c>
      <c r="M32" s="166">
        <f t="shared" si="2"/>
        <v>-0.13238497252441972</v>
      </c>
      <c r="N32" s="163">
        <f>'2021'!Q32</f>
        <v>1196263.8500000001</v>
      </c>
      <c r="O32" s="163">
        <f>'2021'!Q106</f>
        <v>992187.80600000045</v>
      </c>
      <c r="P32" s="164">
        <f t="shared" si="6"/>
        <v>204076.04399999965</v>
      </c>
      <c r="Q32" s="166">
        <f t="shared" si="3"/>
        <v>0.20568287854970824</v>
      </c>
      <c r="R32" s="163">
        <f>'2020'!Q32</f>
        <v>886334.18</v>
      </c>
      <c r="S32" s="164">
        <f t="shared" si="4"/>
        <v>309929.67000000004</v>
      </c>
      <c r="T32" s="166">
        <f t="shared" si="5"/>
        <v>0.34967586379214222</v>
      </c>
    </row>
    <row r="33" spans="1:20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f>'2021'!S33</f>
        <v>26579314.870000001</v>
      </c>
      <c r="H33" s="163">
        <f>SUM('2021'!G107:Q107)</f>
        <v>29922020.529216669</v>
      </c>
      <c r="I33" s="164">
        <f t="shared" si="0"/>
        <v>-3342705.6592166685</v>
      </c>
      <c r="J33" s="166">
        <f t="shared" si="1"/>
        <v>-0.11171390167160533</v>
      </c>
      <c r="K33" s="163">
        <f>SUM('2020'!G33:Q33)</f>
        <v>33361188.790000003</v>
      </c>
      <c r="L33" s="164">
        <f t="shared" si="7"/>
        <v>-6781873.9200000018</v>
      </c>
      <c r="M33" s="166">
        <f t="shared" si="2"/>
        <v>-0.20328633858613765</v>
      </c>
      <c r="N33" s="163">
        <f>'2021'!Q33</f>
        <v>3314735.27</v>
      </c>
      <c r="O33" s="163">
        <f>'2021'!Q107</f>
        <v>2038155.2507833347</v>
      </c>
      <c r="P33" s="164">
        <f t="shared" si="6"/>
        <v>1276580.0192166653</v>
      </c>
      <c r="Q33" s="166">
        <f t="shared" si="3"/>
        <v>0.62634091231569866</v>
      </c>
      <c r="R33" s="163">
        <f>'2020'!Q33</f>
        <v>5281833.1900000004</v>
      </c>
      <c r="S33" s="164">
        <f t="shared" si="4"/>
        <v>-1967097.9200000004</v>
      </c>
      <c r="T33" s="166">
        <f t="shared" si="5"/>
        <v>-0.37242711938049677</v>
      </c>
    </row>
    <row r="34" spans="1:20">
      <c r="A34" s="150">
        <v>414</v>
      </c>
      <c r="B34" s="536" t="str">
        <f>+VLOOKUP($A34,Master!$D$29:$G$225,4,FALSE)</f>
        <v>Rashodi za usluge</v>
      </c>
      <c r="C34" s="537"/>
      <c r="D34" s="537"/>
      <c r="E34" s="537"/>
      <c r="F34" s="537"/>
      <c r="G34" s="163">
        <f>'2021'!S34</f>
        <v>46852696.340000004</v>
      </c>
      <c r="H34" s="163">
        <f>SUM('2021'!G108:Q108)</f>
        <v>58306157.785283335</v>
      </c>
      <c r="I34" s="164">
        <f t="shared" si="0"/>
        <v>-11453461.445283331</v>
      </c>
      <c r="J34" s="166">
        <f t="shared" si="1"/>
        <v>-0.19643656657091924</v>
      </c>
      <c r="K34" s="163">
        <f>SUM('2020'!G34:Q34)</f>
        <v>64092216.529999994</v>
      </c>
      <c r="L34" s="164">
        <f t="shared" si="7"/>
        <v>-17239520.18999999</v>
      </c>
      <c r="M34" s="166">
        <f t="shared" si="2"/>
        <v>-0.26897993427845635</v>
      </c>
      <c r="N34" s="163">
        <f>'2021'!Q34</f>
        <v>4815770.76</v>
      </c>
      <c r="O34" s="163">
        <f>'2021'!Q108</f>
        <v>4439703.7447166666</v>
      </c>
      <c r="P34" s="164">
        <f t="shared" si="6"/>
        <v>376067.01528333314</v>
      </c>
      <c r="Q34" s="166">
        <f t="shared" si="3"/>
        <v>8.4705430115885605E-2</v>
      </c>
      <c r="R34" s="163">
        <f>'2020'!Q34</f>
        <v>5833602.8700000001</v>
      </c>
      <c r="S34" s="164">
        <f t="shared" si="4"/>
        <v>-1017832.1100000003</v>
      </c>
      <c r="T34" s="166">
        <f t="shared" si="5"/>
        <v>-0.17447744261686438</v>
      </c>
    </row>
    <row r="35" spans="1:20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f>'2021'!S35</f>
        <v>17087655.800000001</v>
      </c>
      <c r="H35" s="163">
        <f>SUM('2021'!G109:Q109)</f>
        <v>21262841.01121667</v>
      </c>
      <c r="I35" s="164">
        <f t="shared" si="0"/>
        <v>-4175185.2112166695</v>
      </c>
      <c r="J35" s="166">
        <f t="shared" si="1"/>
        <v>-0.19636064668000652</v>
      </c>
      <c r="K35" s="163">
        <f>SUM('2020'!G35:Q35)</f>
        <v>19739809.870000005</v>
      </c>
      <c r="L35" s="164">
        <f t="shared" si="7"/>
        <v>-2652154.070000004</v>
      </c>
      <c r="M35" s="166">
        <f t="shared" si="2"/>
        <v>-0.13435560359832399</v>
      </c>
      <c r="N35" s="163">
        <f>'2021'!Q35</f>
        <v>2052579.1</v>
      </c>
      <c r="O35" s="163">
        <f>'2021'!Q109</f>
        <v>2078633.2887833335</v>
      </c>
      <c r="P35" s="164">
        <f t="shared" si="6"/>
        <v>-26054.188783333404</v>
      </c>
      <c r="Q35" s="166">
        <f t="shared" si="3"/>
        <v>-1.253428823829883E-2</v>
      </c>
      <c r="R35" s="163">
        <f>'2020'!Q35</f>
        <v>1984910.33</v>
      </c>
      <c r="S35" s="164">
        <f t="shared" si="4"/>
        <v>67668.770000000019</v>
      </c>
      <c r="T35" s="166">
        <f t="shared" si="5"/>
        <v>3.409160050066351E-2</v>
      </c>
    </row>
    <row r="36" spans="1:20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f>'2021'!S36</f>
        <v>87363305.76000002</v>
      </c>
      <c r="H36" s="163">
        <f>SUM('2021'!G110:Q110)</f>
        <v>90612720.234282941</v>
      </c>
      <c r="I36" s="164">
        <f t="shared" si="0"/>
        <v>-3249414.4742829204</v>
      </c>
      <c r="J36" s="166">
        <f t="shared" si="1"/>
        <v>-3.5860467116332284E-2</v>
      </c>
      <c r="K36" s="163">
        <f>SUM('2020'!G36:Q36)</f>
        <v>101924316.22000001</v>
      </c>
      <c r="L36" s="164">
        <f t="shared" si="7"/>
        <v>-14561010.459999993</v>
      </c>
      <c r="M36" s="166">
        <f t="shared" si="2"/>
        <v>-0.14286100706891736</v>
      </c>
      <c r="N36" s="163">
        <f>'2021'!Q36</f>
        <v>6572572.5</v>
      </c>
      <c r="O36" s="163">
        <f>'2021'!Q110</f>
        <v>6605449.4379138006</v>
      </c>
      <c r="P36" s="164">
        <f t="shared" si="6"/>
        <v>-32876.93791380059</v>
      </c>
      <c r="Q36" s="166">
        <f t="shared" si="3"/>
        <v>-4.9772446557677652E-3</v>
      </c>
      <c r="R36" s="163">
        <f>'2020'!Q36</f>
        <v>10001902.91</v>
      </c>
      <c r="S36" s="164">
        <f t="shared" si="4"/>
        <v>-3429330.41</v>
      </c>
      <c r="T36" s="166">
        <f t="shared" si="5"/>
        <v>-0.34286779634416586</v>
      </c>
    </row>
    <row r="37" spans="1:20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f>'2021'!S37</f>
        <v>8866259.790000001</v>
      </c>
      <c r="H37" s="163">
        <f>SUM('2021'!G111:Q111)</f>
        <v>9877627.3904500008</v>
      </c>
      <c r="I37" s="164">
        <f t="shared" si="0"/>
        <v>-1011367.6004499998</v>
      </c>
      <c r="J37" s="166">
        <f t="shared" si="1"/>
        <v>-0.10238972988876072</v>
      </c>
      <c r="K37" s="163">
        <f>SUM('2020'!G37:Q37)</f>
        <v>9697541.7600000016</v>
      </c>
      <c r="L37" s="164">
        <f t="shared" si="7"/>
        <v>-831281.97000000067</v>
      </c>
      <c r="M37" s="166">
        <f t="shared" si="2"/>
        <v>-8.5720896137703284E-2</v>
      </c>
      <c r="N37" s="163">
        <f>'2021'!Q37</f>
        <v>1013643.73</v>
      </c>
      <c r="O37" s="163">
        <f>'2021'!Q111</f>
        <v>997721.26954999997</v>
      </c>
      <c r="P37" s="164">
        <f t="shared" si="6"/>
        <v>15922.460450000013</v>
      </c>
      <c r="Q37" s="166">
        <f t="shared" si="3"/>
        <v>1.5958826313466679E-2</v>
      </c>
      <c r="R37" s="163">
        <f>'2020'!Q37</f>
        <v>1092565.04</v>
      </c>
      <c r="S37" s="164">
        <f t="shared" si="4"/>
        <v>-78921.310000000056</v>
      </c>
      <c r="T37" s="166">
        <f t="shared" si="5"/>
        <v>-7.2234884982224967E-2</v>
      </c>
    </row>
    <row r="38" spans="1:20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f>'2021'!S38</f>
        <v>35306527.689999998</v>
      </c>
      <c r="H38" s="163">
        <f>SUM('2021'!G112:Q112)</f>
        <v>46132201.677466676</v>
      </c>
      <c r="I38" s="164">
        <f t="shared" si="0"/>
        <v>-10825673.987466678</v>
      </c>
      <c r="J38" s="166">
        <f t="shared" si="1"/>
        <v>-0.23466631970341212</v>
      </c>
      <c r="K38" s="163">
        <f>SUM('2020'!G38:Q38)</f>
        <v>31454155.670000002</v>
      </c>
      <c r="L38" s="164">
        <f t="shared" si="7"/>
        <v>3852372.0199999958</v>
      </c>
      <c r="M38" s="166">
        <f t="shared" si="2"/>
        <v>0.1224757726901653</v>
      </c>
      <c r="N38" s="163">
        <f>'2021'!Q38</f>
        <v>4749689.82</v>
      </c>
      <c r="O38" s="163">
        <f>'2021'!Q112</f>
        <v>4639246.2625333332</v>
      </c>
      <c r="P38" s="164">
        <f t="shared" si="6"/>
        <v>110443.55746666715</v>
      </c>
      <c r="Q38" s="166">
        <f t="shared" si="3"/>
        <v>2.38063580195369E-2</v>
      </c>
      <c r="R38" s="163">
        <f>'2020'!Q38</f>
        <v>5206660.47</v>
      </c>
      <c r="S38" s="164">
        <f t="shared" si="4"/>
        <v>-456970.64999999944</v>
      </c>
      <c r="T38" s="166">
        <f t="shared" si="5"/>
        <v>-8.776655451858173E-2</v>
      </c>
    </row>
    <row r="39" spans="1:20">
      <c r="A39" s="150">
        <v>419</v>
      </c>
      <c r="B39" s="536" t="str">
        <f>+VLOOKUP($A39,Master!$D$29:$G$225,4,FALSE)</f>
        <v>Ostali izdaci</v>
      </c>
      <c r="C39" s="537"/>
      <c r="D39" s="537"/>
      <c r="E39" s="537"/>
      <c r="F39" s="537"/>
      <c r="G39" s="163">
        <f>'2021'!S39</f>
        <v>29088521.030000001</v>
      </c>
      <c r="H39" s="163">
        <f>SUM('2021'!G113:Q113)</f>
        <v>41500905.78436666</v>
      </c>
      <c r="I39" s="164">
        <f t="shared" si="0"/>
        <v>-12412384.754366659</v>
      </c>
      <c r="J39" s="166">
        <f t="shared" si="1"/>
        <v>-0.29908708062565681</v>
      </c>
      <c r="K39" s="163">
        <f>SUM('2020'!G39:Q39)</f>
        <v>42192308.800000004</v>
      </c>
      <c r="L39" s="164">
        <f t="shared" si="7"/>
        <v>-13103787.770000003</v>
      </c>
      <c r="M39" s="166">
        <f t="shared" si="2"/>
        <v>-0.31057290161850548</v>
      </c>
      <c r="N39" s="163">
        <f>'2021'!Q39</f>
        <v>4025778.87</v>
      </c>
      <c r="O39" s="163">
        <f>'2021'!Q113</f>
        <v>3908855.7156333341</v>
      </c>
      <c r="P39" s="164">
        <f t="shared" si="6"/>
        <v>116923.15436666599</v>
      </c>
      <c r="Q39" s="166">
        <f t="shared" si="3"/>
        <v>2.9912374073833403E-2</v>
      </c>
      <c r="R39" s="163">
        <f>'2020'!Q39</f>
        <v>4290626.6500000004</v>
      </c>
      <c r="S39" s="164">
        <f t="shared" si="4"/>
        <v>-264847.78000000026</v>
      </c>
      <c r="T39" s="166">
        <f t="shared" si="5"/>
        <v>-6.1727062642469743E-2</v>
      </c>
    </row>
    <row r="40" spans="1:20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'2021'!S40</f>
        <v>517254824.69999987</v>
      </c>
      <c r="H40" s="193">
        <f>SUM('2021'!G114:Q114)</f>
        <v>527595723.16178328</v>
      </c>
      <c r="I40" s="194">
        <f t="shared" si="0"/>
        <v>-10340898.461783409</v>
      </c>
      <c r="J40" s="196">
        <f t="shared" si="1"/>
        <v>-1.9600042244111271E-2</v>
      </c>
      <c r="K40" s="193">
        <f>SUM('2020'!G40:Q40)</f>
        <v>509662239.97999996</v>
      </c>
      <c r="L40" s="194">
        <f t="shared" si="7"/>
        <v>7592584.7199999094</v>
      </c>
      <c r="M40" s="196">
        <f t="shared" si="2"/>
        <v>1.4897287113712521E-2</v>
      </c>
      <c r="N40" s="193">
        <f>'2021'!Q40</f>
        <v>47602308.230000004</v>
      </c>
      <c r="O40" s="193">
        <f>'2021'!Q114</f>
        <v>51656098.708216675</v>
      </c>
      <c r="P40" s="194">
        <f t="shared" si="6"/>
        <v>-4053790.4782166705</v>
      </c>
      <c r="Q40" s="196">
        <f t="shared" si="3"/>
        <v>-7.8476512543365073E-2</v>
      </c>
      <c r="R40" s="193">
        <f>'2020'!Q40</f>
        <v>47274132.93</v>
      </c>
      <c r="S40" s="194">
        <f t="shared" si="4"/>
        <v>328175.30000000447</v>
      </c>
      <c r="T40" s="196">
        <f t="shared" si="5"/>
        <v>6.9419633880105636E-3</v>
      </c>
    </row>
    <row r="41" spans="1:20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f>'2021'!S41</f>
        <v>76569354.540000007</v>
      </c>
      <c r="H41" s="163">
        <f>SUM('2021'!G115:Q115)</f>
        <v>78311970.319999993</v>
      </c>
      <c r="I41" s="164">
        <f t="shared" si="0"/>
        <v>-1742615.7799999863</v>
      </c>
      <c r="J41" s="166">
        <f t="shared" si="1"/>
        <v>-2.2252227505951794E-2</v>
      </c>
      <c r="K41" s="163">
        <f>SUM('2020'!G41:Q41)</f>
        <v>73840291.700000003</v>
      </c>
      <c r="L41" s="164">
        <f t="shared" si="7"/>
        <v>2729062.8400000036</v>
      </c>
      <c r="M41" s="166">
        <f t="shared" si="2"/>
        <v>3.6958993215894909E-2</v>
      </c>
      <c r="N41" s="163">
        <f>'2021'!Q41</f>
        <v>8108140.6100000003</v>
      </c>
      <c r="O41" s="163">
        <f>'2021'!Q115</f>
        <v>10126529.68</v>
      </c>
      <c r="P41" s="164">
        <f t="shared" si="6"/>
        <v>-2018389.0699999994</v>
      </c>
      <c r="Q41" s="166">
        <f t="shared" si="3"/>
        <v>-0.19931695593470078</v>
      </c>
      <c r="R41" s="163">
        <f>'2020'!Q41</f>
        <v>7147001.1699999999</v>
      </c>
      <c r="S41" s="164">
        <f t="shared" si="4"/>
        <v>961139.44000000041</v>
      </c>
      <c r="T41" s="166">
        <f t="shared" si="5"/>
        <v>0.13448150030175521</v>
      </c>
    </row>
    <row r="42" spans="1:20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f>'2021'!S42</f>
        <v>19862322.57</v>
      </c>
      <c r="H42" s="163">
        <f>SUM('2021'!G116:Q116)</f>
        <v>17228362.432000004</v>
      </c>
      <c r="I42" s="164">
        <f t="shared" si="0"/>
        <v>2633960.1379999965</v>
      </c>
      <c r="J42" s="166">
        <f t="shared" si="1"/>
        <v>0.15288511304520003</v>
      </c>
      <c r="K42" s="163">
        <f>SUM('2020'!G42:Q42)</f>
        <v>16641129.630000001</v>
      </c>
      <c r="L42" s="164">
        <f t="shared" si="7"/>
        <v>3221192.9399999995</v>
      </c>
      <c r="M42" s="166">
        <f t="shared" si="2"/>
        <v>0.19356816584091474</v>
      </c>
      <c r="N42" s="163">
        <f>'2021'!Q42</f>
        <v>1693671.28</v>
      </c>
      <c r="O42" s="163">
        <f>'2021'!Q116</f>
        <v>1331215.5080000004</v>
      </c>
      <c r="P42" s="164">
        <f t="shared" si="6"/>
        <v>362455.77199999965</v>
      </c>
      <c r="Q42" s="166">
        <f t="shared" si="3"/>
        <v>0.27227430105929895</v>
      </c>
      <c r="R42" s="163">
        <f>'2020'!Q42</f>
        <v>1642662.15</v>
      </c>
      <c r="S42" s="164">
        <f t="shared" si="4"/>
        <v>51009.130000000121</v>
      </c>
      <c r="T42" s="166">
        <f t="shared" si="5"/>
        <v>3.105272134017345E-2</v>
      </c>
    </row>
    <row r="43" spans="1:20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f>'2021'!S43</f>
        <v>395219351.19</v>
      </c>
      <c r="H43" s="163">
        <f>SUM('2021'!G117:Q117)</f>
        <v>407330547.33564991</v>
      </c>
      <c r="I43" s="164">
        <f t="shared" si="0"/>
        <v>-12111196.14564991</v>
      </c>
      <c r="J43" s="166">
        <f t="shared" si="1"/>
        <v>-2.973309079043851E-2</v>
      </c>
      <c r="K43" s="163">
        <f>SUM('2020'!G43:Q43)</f>
        <v>392209287.12000006</v>
      </c>
      <c r="L43" s="164">
        <f t="shared" si="7"/>
        <v>3010064.0699999332</v>
      </c>
      <c r="M43" s="166">
        <f t="shared" si="2"/>
        <v>7.6746374164233799E-3</v>
      </c>
      <c r="N43" s="163">
        <f>'2021'!Q43</f>
        <v>35886030.640000001</v>
      </c>
      <c r="O43" s="163">
        <f>'2021'!Q117</f>
        <v>38123196.594350003</v>
      </c>
      <c r="P43" s="164">
        <f t="shared" si="6"/>
        <v>-2237165.9543500021</v>
      </c>
      <c r="Q43" s="166">
        <f t="shared" si="3"/>
        <v>-5.8682538564501119E-2</v>
      </c>
      <c r="R43" s="163">
        <f>'2020'!Q43</f>
        <v>36217355.229999997</v>
      </c>
      <c r="S43" s="164">
        <f t="shared" si="4"/>
        <v>-331324.58999999613</v>
      </c>
      <c r="T43" s="166">
        <f t="shared" si="5"/>
        <v>-9.1482270832837775E-3</v>
      </c>
    </row>
    <row r="44" spans="1:20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f>'2021'!S44</f>
        <v>15492949.389999999</v>
      </c>
      <c r="H44" s="163">
        <f>SUM('2021'!G118:Q118)</f>
        <v>14264371.602899998</v>
      </c>
      <c r="I44" s="164">
        <f t="shared" si="0"/>
        <v>1228577.7871000003</v>
      </c>
      <c r="J44" s="166">
        <f t="shared" si="1"/>
        <v>8.6129120952669558E-2</v>
      </c>
      <c r="K44" s="163">
        <f>SUM('2020'!G44:Q44)</f>
        <v>18300183.569999997</v>
      </c>
      <c r="L44" s="164">
        <f t="shared" si="7"/>
        <v>-2807234.1799999978</v>
      </c>
      <c r="M44" s="166">
        <f t="shared" si="2"/>
        <v>-0.15339923609301798</v>
      </c>
      <c r="N44" s="163">
        <f>'2021'!Q44</f>
        <v>925856.6</v>
      </c>
      <c r="O44" s="163">
        <f>'2021'!Q118</f>
        <v>1035628.3971000001</v>
      </c>
      <c r="P44" s="164">
        <f t="shared" si="6"/>
        <v>-109771.79710000008</v>
      </c>
      <c r="Q44" s="166">
        <f t="shared" si="3"/>
        <v>-0.10599535258726644</v>
      </c>
      <c r="R44" s="163">
        <f>'2020'!Q44</f>
        <v>1478440.88</v>
      </c>
      <c r="S44" s="164">
        <f t="shared" si="4"/>
        <v>-552584.27999999991</v>
      </c>
      <c r="T44" s="166">
        <f t="shared" si="5"/>
        <v>-0.37376149934382219</v>
      </c>
    </row>
    <row r="45" spans="1:20">
      <c r="A45" s="150">
        <v>425</v>
      </c>
      <c r="B45" s="536" t="str">
        <f>+VLOOKUP($A45,Master!$D$29:$G$225,4,FALSE)</f>
        <v>Ostala prava iz zdravstvenog osiguranja</v>
      </c>
      <c r="C45" s="537"/>
      <c r="D45" s="537"/>
      <c r="E45" s="537"/>
      <c r="F45" s="537"/>
      <c r="G45" s="163">
        <f>'2021'!S45</f>
        <v>10110847.01</v>
      </c>
      <c r="H45" s="163">
        <f>SUM('2021'!G119:Q119)</f>
        <v>10460471.471233334</v>
      </c>
      <c r="I45" s="164">
        <f t="shared" si="0"/>
        <v>-349624.46123333462</v>
      </c>
      <c r="J45" s="166">
        <f t="shared" si="1"/>
        <v>-3.3423394174422638E-2</v>
      </c>
      <c r="K45" s="163">
        <f>SUM('2020'!G45:Q45)</f>
        <v>8671347.959999999</v>
      </c>
      <c r="L45" s="164">
        <f t="shared" si="7"/>
        <v>1439499.0500000007</v>
      </c>
      <c r="M45" s="166">
        <f t="shared" si="2"/>
        <v>0.16600637601446233</v>
      </c>
      <c r="N45" s="163">
        <f>'2021'!Q45</f>
        <v>988609.1</v>
      </c>
      <c r="O45" s="163">
        <f>'2021'!Q119</f>
        <v>1039528.5287666667</v>
      </c>
      <c r="P45" s="164">
        <f t="shared" si="6"/>
        <v>-50919.428766666679</v>
      </c>
      <c r="Q45" s="166">
        <f t="shared" si="3"/>
        <v>-4.8983195128929569E-2</v>
      </c>
      <c r="R45" s="163">
        <f>'2020'!Q45</f>
        <v>788673.5</v>
      </c>
      <c r="S45" s="164">
        <f t="shared" si="4"/>
        <v>199935.59999999998</v>
      </c>
      <c r="T45" s="166">
        <f t="shared" si="5"/>
        <v>0.25350870797611424</v>
      </c>
    </row>
    <row r="46" spans="1:20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f>'2021'!S46</f>
        <v>227701758.21000001</v>
      </c>
      <c r="H46" s="175">
        <f>SUM('2021'!G120:Q120)</f>
        <v>239086712.05561662</v>
      </c>
      <c r="I46" s="176">
        <f t="shared" si="0"/>
        <v>-11384953.845616609</v>
      </c>
      <c r="J46" s="178">
        <f t="shared" si="1"/>
        <v>-4.7618513583340571E-2</v>
      </c>
      <c r="K46" s="175">
        <f>SUM('2020'!G46:Q46)</f>
        <v>257063463.05999997</v>
      </c>
      <c r="L46" s="176">
        <f t="shared" si="7"/>
        <v>-29361704.849999964</v>
      </c>
      <c r="M46" s="178">
        <f t="shared" si="2"/>
        <v>-0.1142196736186768</v>
      </c>
      <c r="N46" s="175">
        <f>'2021'!Q46</f>
        <v>27077034.149999999</v>
      </c>
      <c r="O46" s="175">
        <f>'2021'!Q120</f>
        <v>20959047.32438333</v>
      </c>
      <c r="P46" s="176">
        <f t="shared" si="6"/>
        <v>6117986.8256166689</v>
      </c>
      <c r="Q46" s="178">
        <f t="shared" si="3"/>
        <v>0.29190195197942637</v>
      </c>
      <c r="R46" s="175">
        <f>'2020'!Q46</f>
        <v>17496982.879999999</v>
      </c>
      <c r="S46" s="176">
        <f t="shared" si="4"/>
        <v>9580051.2699999996</v>
      </c>
      <c r="T46" s="178">
        <f t="shared" si="5"/>
        <v>0.547525898362198</v>
      </c>
    </row>
    <row r="47" spans="1:20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f>'2021'!S47</f>
        <v>147660625.00999999</v>
      </c>
      <c r="H47" s="175">
        <f>SUM('2021'!G121:Q121)</f>
        <v>211481608.5424</v>
      </c>
      <c r="I47" s="176">
        <f t="shared" si="0"/>
        <v>-63820983.532400012</v>
      </c>
      <c r="J47" s="178">
        <f t="shared" si="1"/>
        <v>-0.30178030123884048</v>
      </c>
      <c r="K47" s="175">
        <f>SUM('2020'!G47:Q47)</f>
        <v>197055955.01999998</v>
      </c>
      <c r="L47" s="176">
        <f t="shared" si="7"/>
        <v>-49395330.00999999</v>
      </c>
      <c r="M47" s="178">
        <f t="shared" si="2"/>
        <v>-0.2506665175634335</v>
      </c>
      <c r="N47" s="175">
        <f>'2021'!Q47</f>
        <v>19451903.010000002</v>
      </c>
      <c r="O47" s="175">
        <f>'2021'!Q121</f>
        <v>24073116.957600009</v>
      </c>
      <c r="P47" s="176">
        <f t="shared" si="6"/>
        <v>-4621213.9476000071</v>
      </c>
      <c r="Q47" s="178">
        <f t="shared" si="3"/>
        <v>-0.19196574983369841</v>
      </c>
      <c r="R47" s="175">
        <f>'2020'!Q47</f>
        <v>19501124.399999999</v>
      </c>
      <c r="S47" s="176">
        <f t="shared" si="4"/>
        <v>-49221.389999996871</v>
      </c>
      <c r="T47" s="178">
        <f t="shared" si="5"/>
        <v>-2.5240283067984315E-3</v>
      </c>
    </row>
    <row r="48" spans="1:20">
      <c r="A48" s="150">
        <v>451</v>
      </c>
      <c r="B48" s="504" t="str">
        <f>+VLOOKUP($A48,Master!$D$29:$G$225,4,FALSE)</f>
        <v>Pozajmice i krediti</v>
      </c>
      <c r="C48" s="505"/>
      <c r="D48" s="505"/>
      <c r="E48" s="505"/>
      <c r="F48" s="505"/>
      <c r="G48" s="163">
        <f>'2021'!S48</f>
        <v>1151158</v>
      </c>
      <c r="H48" s="163">
        <f>SUM('2021'!G122:Q122)</f>
        <v>1465214.444933333</v>
      </c>
      <c r="I48" s="164">
        <f>G48-H48</f>
        <v>-314056.44493333297</v>
      </c>
      <c r="J48" s="282">
        <f t="shared" si="1"/>
        <v>-0.21434162488592068</v>
      </c>
      <c r="K48" s="163">
        <f>SUM('2020'!G48:Q48)</f>
        <v>1432745</v>
      </c>
      <c r="L48" s="279">
        <f t="shared" si="7"/>
        <v>-281587</v>
      </c>
      <c r="M48" s="282">
        <f t="shared" si="2"/>
        <v>-0.19653671797842598</v>
      </c>
      <c r="N48" s="163">
        <f>'2021'!Q48</f>
        <v>1680</v>
      </c>
      <c r="O48" s="163">
        <f>'2021'!Q122</f>
        <v>88786.555066666639</v>
      </c>
      <c r="P48" s="164">
        <f t="shared" si="6"/>
        <v>-87106.555066666639</v>
      </c>
      <c r="Q48" s="282">
        <f t="shared" si="3"/>
        <v>-0.98107821619232161</v>
      </c>
      <c r="R48" s="163">
        <f>'2020'!Q48</f>
        <v>0</v>
      </c>
      <c r="S48" s="279">
        <f t="shared" si="4"/>
        <v>1680</v>
      </c>
      <c r="T48" s="282" t="str">
        <f t="shared" si="5"/>
        <v>...</v>
      </c>
    </row>
    <row r="49" spans="1:23">
      <c r="A49" s="150">
        <v>47</v>
      </c>
      <c r="B49" s="504" t="str">
        <f>+VLOOKUP($A49,Master!$D$29:$G$225,4,FALSE)</f>
        <v>Rezerve</v>
      </c>
      <c r="C49" s="505"/>
      <c r="D49" s="505"/>
      <c r="E49" s="505"/>
      <c r="F49" s="505"/>
      <c r="G49" s="163">
        <f>'2021'!S49</f>
        <v>66157468.329999998</v>
      </c>
      <c r="H49" s="163">
        <f>SUM('2021'!G123:Q123)</f>
        <v>68171588.036666662</v>
      </c>
      <c r="I49" s="164">
        <f t="shared" ref="I49:I50" si="8">G49-H49</f>
        <v>-2014119.7066666633</v>
      </c>
      <c r="J49" s="283">
        <f t="shared" si="1"/>
        <v>-2.9544855337436893E-2</v>
      </c>
      <c r="K49" s="163">
        <f>SUM('2020'!G49:Q49)</f>
        <v>106877059.48999999</v>
      </c>
      <c r="L49" s="280">
        <f t="shared" si="7"/>
        <v>-40719591.159999996</v>
      </c>
      <c r="M49" s="283">
        <f t="shared" si="2"/>
        <v>-0.38099468075101695</v>
      </c>
      <c r="N49" s="163">
        <f>'2021'!Q49</f>
        <v>5966200</v>
      </c>
      <c r="O49" s="163">
        <f>'2021'!Q123</f>
        <v>3041462.9633333324</v>
      </c>
      <c r="P49" s="164">
        <f t="shared" si="6"/>
        <v>2924737.0366666676</v>
      </c>
      <c r="Q49" s="283">
        <f t="shared" si="3"/>
        <v>0.96162178265069609</v>
      </c>
      <c r="R49" s="163">
        <f>'2020'!Q49</f>
        <v>6000238.46</v>
      </c>
      <c r="S49" s="280">
        <f t="shared" si="4"/>
        <v>-34038.459999999963</v>
      </c>
      <c r="T49" s="283">
        <f t="shared" si="5"/>
        <v>-5.6728512086501315E-3</v>
      </c>
      <c r="W49" s="345"/>
    </row>
    <row r="50" spans="1:23" ht="15.7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63">
        <f>'2021'!S50</f>
        <v>7711252.0800000001</v>
      </c>
      <c r="H50" s="163">
        <f>SUM('2021'!G124:Q124)</f>
        <v>3860000</v>
      </c>
      <c r="I50" s="164">
        <f t="shared" si="8"/>
        <v>3851252.08</v>
      </c>
      <c r="J50" s="284">
        <f t="shared" si="1"/>
        <v>0.9977336994818653</v>
      </c>
      <c r="K50" s="163">
        <f>SUM('2020'!G50:Q50)</f>
        <v>0</v>
      </c>
      <c r="L50" s="280">
        <f t="shared" si="7"/>
        <v>7711252.0800000001</v>
      </c>
      <c r="M50" s="284" t="str">
        <f t="shared" si="2"/>
        <v>...</v>
      </c>
      <c r="N50" s="163">
        <f>'2021'!Q50</f>
        <v>0</v>
      </c>
      <c r="O50" s="163">
        <f>'2021'!Q124</f>
        <v>0</v>
      </c>
      <c r="P50" s="164">
        <f t="shared" si="6"/>
        <v>0</v>
      </c>
      <c r="Q50" s="284" t="str">
        <f t="shared" si="3"/>
        <v>...</v>
      </c>
      <c r="R50" s="163">
        <f>'2020'!Q50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22" t="str">
        <f>+VLOOKUP($A51,Master!$D$29:$G$225,4,FALSE)</f>
        <v>Otplata obaveza iz prethodnog perioda</v>
      </c>
      <c r="C51" s="523"/>
      <c r="D51" s="523"/>
      <c r="E51" s="523"/>
      <c r="F51" s="523"/>
      <c r="G51" s="314">
        <f>'2021'!S51</f>
        <v>23407393.449999999</v>
      </c>
      <c r="H51" s="314">
        <f>SUM('2021'!G125:Q125)</f>
        <v>9561650.8808333315</v>
      </c>
      <c r="I51" s="281">
        <f>G51-H51</f>
        <v>13845742.569166668</v>
      </c>
      <c r="J51" s="285">
        <f t="shared" si="1"/>
        <v>1.4480493736621307</v>
      </c>
      <c r="K51" s="314">
        <f>SUM('2020'!G51:Q51)</f>
        <v>15652702.090000002</v>
      </c>
      <c r="L51" s="287">
        <f t="shared" si="7"/>
        <v>7754691.3599999975</v>
      </c>
      <c r="M51" s="285">
        <f t="shared" si="2"/>
        <v>0.49542189683366011</v>
      </c>
      <c r="N51" s="314">
        <f>'2021'!Q51</f>
        <v>1443057.19</v>
      </c>
      <c r="O51" s="314">
        <f>'2021'!Q125</f>
        <v>869240.98916666664</v>
      </c>
      <c r="P51" s="281">
        <f>N51-O51</f>
        <v>573816.20083333331</v>
      </c>
      <c r="Q51" s="285">
        <f t="shared" si="3"/>
        <v>0.66013477043166779</v>
      </c>
      <c r="R51" s="314">
        <f>'2020'!Q51</f>
        <v>1847365.97</v>
      </c>
      <c r="S51" s="287">
        <f>+N51-R51</f>
        <v>-404308.78</v>
      </c>
      <c r="T51" s="285">
        <f t="shared" si="5"/>
        <v>-0.21885689493349281</v>
      </c>
    </row>
    <row r="52" spans="1:23" ht="15.75" thickBot="1">
      <c r="A52" s="144">
        <v>1005</v>
      </c>
      <c r="B52" s="522" t="str">
        <f>+VLOOKUP($A52,Master!$D$29:$G$227,4,FALSE)</f>
        <v>Neto povećanje obaveza</v>
      </c>
      <c r="C52" s="523"/>
      <c r="D52" s="523"/>
      <c r="E52" s="523"/>
      <c r="F52" s="523"/>
      <c r="G52" s="163">
        <f>'2021'!S52</f>
        <v>0</v>
      </c>
      <c r="H52" s="163">
        <f>SUM('2021'!G126:Q126)</f>
        <v>0</v>
      </c>
      <c r="I52" s="281">
        <f>G52-H52</f>
        <v>0</v>
      </c>
      <c r="J52" s="285" t="str">
        <f t="shared" si="1"/>
        <v>...</v>
      </c>
      <c r="K52" s="163">
        <f>SUM('2020'!G52:Q52)</f>
        <v>0</v>
      </c>
      <c r="L52" s="287">
        <f t="shared" si="7"/>
        <v>0</v>
      </c>
      <c r="M52" s="285" t="str">
        <f t="shared" si="2"/>
        <v>...</v>
      </c>
      <c r="N52" s="163">
        <f>'2021'!Q52</f>
        <v>0</v>
      </c>
      <c r="O52" s="163">
        <f>'2021'!Q126</f>
        <v>0</v>
      </c>
      <c r="P52" s="281">
        <f>N52-O52</f>
        <v>0</v>
      </c>
      <c r="Q52" s="285" t="str">
        <f t="shared" si="3"/>
        <v>...</v>
      </c>
      <c r="R52" s="163">
        <f>'2020'!Q52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>'2021'!S53</f>
        <v>-76181840.049999923</v>
      </c>
      <c r="H53" s="151">
        <f>SUM('2021'!G127:Q127)</f>
        <v>-188325534.35474369</v>
      </c>
      <c r="I53" s="321">
        <f>+G53-H53</f>
        <v>112143694.30474377</v>
      </c>
      <c r="J53" s="286">
        <f t="shared" si="1"/>
        <v>-0.59547790313713778</v>
      </c>
      <c r="K53" s="151">
        <f>SUM('2020'!G53:Q53)</f>
        <v>-397252820.21000004</v>
      </c>
      <c r="L53" s="288">
        <f t="shared" si="7"/>
        <v>321070980.16000009</v>
      </c>
      <c r="M53" s="286">
        <f t="shared" si="2"/>
        <v>-0.80822832167754566</v>
      </c>
      <c r="N53" s="151">
        <f>'2021'!Q53</f>
        <v>-13548715.409999967</v>
      </c>
      <c r="O53" s="151">
        <f>'2021'!Q127</f>
        <v>-7354786.6785252094</v>
      </c>
      <c r="P53" s="321">
        <f>N53-O53</f>
        <v>-6193928.7314747572</v>
      </c>
      <c r="Q53" s="286">
        <f t="shared" si="3"/>
        <v>0.84216293445464974</v>
      </c>
      <c r="R53" s="151">
        <f>'2020'!Q53</f>
        <v>-13262386.539999992</v>
      </c>
      <c r="S53" s="288">
        <f t="shared" si="4"/>
        <v>-286328.86999997497</v>
      </c>
      <c r="T53" s="286">
        <f t="shared" si="5"/>
        <v>2.1589543415613255E-2</v>
      </c>
    </row>
    <row r="54" spans="1:23" ht="15.7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151">
        <f>'2021'!S54</f>
        <v>11181465.710000105</v>
      </c>
      <c r="H54" s="151">
        <f>SUM('2021'!G128:Q128)</f>
        <v>-97712814.120460719</v>
      </c>
      <c r="I54" s="206">
        <f t="shared" si="0"/>
        <v>108894279.83046082</v>
      </c>
      <c r="J54" s="208">
        <f t="shared" si="1"/>
        <v>-1.1144319279988759</v>
      </c>
      <c r="K54" s="151">
        <f>SUM('2020'!G54:Q54)</f>
        <v>-295328503.99000001</v>
      </c>
      <c r="L54" s="206">
        <f t="shared" si="7"/>
        <v>306509969.70000011</v>
      </c>
      <c r="M54" s="208">
        <f t="shared" si="2"/>
        <v>-1.0378611124863812</v>
      </c>
      <c r="N54" s="151">
        <f>'2021'!Q54</f>
        <v>-6976142.9099999666</v>
      </c>
      <c r="O54" s="151">
        <f>'2021'!Q128</f>
        <v>-749337.24061140884</v>
      </c>
      <c r="P54" s="206">
        <f t="shared" si="6"/>
        <v>-6226805.6693885578</v>
      </c>
      <c r="Q54" s="208" t="str">
        <f t="shared" si="3"/>
        <v>...</v>
      </c>
      <c r="R54" s="151">
        <f>'2020'!Q54</f>
        <v>-3260483.6299999915</v>
      </c>
      <c r="S54" s="206">
        <f t="shared" si="4"/>
        <v>-3715659.2799999751</v>
      </c>
      <c r="T54" s="208">
        <f t="shared" si="5"/>
        <v>1.1396037219177773</v>
      </c>
    </row>
    <row r="55" spans="1:23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492">
        <f>'2021'!S55</f>
        <v>425536320.31</v>
      </c>
      <c r="H55" s="492">
        <f>SUM('2021'!G129:Q129)</f>
        <v>429154528.85066533</v>
      </c>
      <c r="I55" s="493">
        <f t="shared" si="0"/>
        <v>-3618208.5406653285</v>
      </c>
      <c r="J55" s="494">
        <f t="shared" si="1"/>
        <v>-8.4310156305594797E-3</v>
      </c>
      <c r="K55" s="492">
        <f>SUM('2020'!G55:Q55)</f>
        <v>635857835.48999989</v>
      </c>
      <c r="L55" s="493">
        <f t="shared" si="7"/>
        <v>-210321515.17999989</v>
      </c>
      <c r="M55" s="494">
        <f t="shared" si="2"/>
        <v>-0.33076814256432574</v>
      </c>
      <c r="N55" s="492">
        <f>'2021'!Q55</f>
        <v>17747948.740000002</v>
      </c>
      <c r="O55" s="492">
        <f>'2021'!Q129</f>
        <v>7862765.5356677668</v>
      </c>
      <c r="P55" s="493">
        <f t="shared" si="6"/>
        <v>9885183.2043322362</v>
      </c>
      <c r="Q55" s="494">
        <f t="shared" si="3"/>
        <v>1.2572145461403115</v>
      </c>
      <c r="R55" s="492">
        <f>'2020'!Q55</f>
        <v>89628953.269999996</v>
      </c>
      <c r="S55" s="493">
        <f t="shared" si="4"/>
        <v>-71881004.530000001</v>
      </c>
      <c r="T55" s="494">
        <f t="shared" si="5"/>
        <v>-0.80198420161690676</v>
      </c>
    </row>
    <row r="56" spans="1:23">
      <c r="A56" s="144">
        <v>4611</v>
      </c>
      <c r="B56" s="504" t="str">
        <f>+VLOOKUP($A56,Master!$D$29:$G$225,4,FALSE)</f>
        <v>Otplata hartija od vrijednosti i kredita rezidentima</v>
      </c>
      <c r="C56" s="505"/>
      <c r="D56" s="505"/>
      <c r="E56" s="505"/>
      <c r="F56" s="505"/>
      <c r="G56" s="163">
        <f>'2021'!S56</f>
        <v>82772480.180000007</v>
      </c>
      <c r="H56" s="163">
        <f>SUM('2021'!G130:Q130)</f>
        <v>83357213.350000024</v>
      </c>
      <c r="I56" s="212">
        <f t="shared" si="0"/>
        <v>-584733.17000001669</v>
      </c>
      <c r="J56" s="214">
        <f t="shared" si="1"/>
        <v>-7.0147878809820874E-3</v>
      </c>
      <c r="K56" s="163">
        <f>SUM('2020'!G56:Q56)</f>
        <v>225568149.72</v>
      </c>
      <c r="L56" s="212">
        <f t="shared" si="7"/>
        <v>-142795669.53999999</v>
      </c>
      <c r="M56" s="214">
        <f t="shared" si="2"/>
        <v>-0.6330489021488791</v>
      </c>
      <c r="N56" s="163">
        <f>'2021'!Q56</f>
        <v>8560164.7799999993</v>
      </c>
      <c r="O56" s="163">
        <f>'2021'!Q130</f>
        <v>3741551.76</v>
      </c>
      <c r="P56" s="212">
        <f t="shared" si="6"/>
        <v>4818613.0199999996</v>
      </c>
      <c r="Q56" s="214">
        <f t="shared" si="3"/>
        <v>1.2878648563717849</v>
      </c>
      <c r="R56" s="163">
        <f>'2020'!Q56</f>
        <v>81160000</v>
      </c>
      <c r="S56" s="212">
        <f t="shared" si="4"/>
        <v>-72599835.219999999</v>
      </c>
      <c r="T56" s="214">
        <f t="shared" si="5"/>
        <v>-0.89452729448003943</v>
      </c>
    </row>
    <row r="57" spans="1:23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163">
        <f>'2021'!S57</f>
        <v>342763840.13</v>
      </c>
      <c r="H57" s="163">
        <f>SUM('2021'!G131:Q131)</f>
        <v>345797315.50066537</v>
      </c>
      <c r="I57" s="212">
        <f t="shared" si="0"/>
        <v>-3033475.3706653714</v>
      </c>
      <c r="J57" s="214">
        <f t="shared" si="1"/>
        <v>-8.7724086760861963E-3</v>
      </c>
      <c r="K57" s="163">
        <f>SUM('2020'!G57:Q57)</f>
        <v>410289685.76999998</v>
      </c>
      <c r="L57" s="212">
        <f t="shared" si="7"/>
        <v>-67525845.639999986</v>
      </c>
      <c r="M57" s="214">
        <f t="shared" si="2"/>
        <v>-0.16458089974470769</v>
      </c>
      <c r="N57" s="163">
        <f>'2021'!Q57</f>
        <v>9187783.9600000009</v>
      </c>
      <c r="O57" s="163">
        <f>'2021'!Q131</f>
        <v>4121213.775667767</v>
      </c>
      <c r="P57" s="212">
        <f t="shared" si="6"/>
        <v>5066570.1843322339</v>
      </c>
      <c r="Q57" s="214">
        <f t="shared" si="3"/>
        <v>1.2293878600149273</v>
      </c>
      <c r="R57" s="163">
        <f>'2020'!Q57</f>
        <v>8468953.2699999996</v>
      </c>
      <c r="S57" s="212">
        <f t="shared" si="4"/>
        <v>718830.69000000134</v>
      </c>
      <c r="T57" s="214">
        <f t="shared" si="5"/>
        <v>8.487833939837075E-2</v>
      </c>
    </row>
    <row r="58" spans="1:23" ht="15.75" thickBot="1">
      <c r="A58" s="144">
        <v>4418</v>
      </c>
      <c r="B58" s="532" t="str">
        <f>+VLOOKUP($A58,Master!$D$29:$G$225,4,FALSE)</f>
        <v>Izdaci za kupovinu hartija od vrijednosti</v>
      </c>
      <c r="C58" s="533"/>
      <c r="D58" s="533"/>
      <c r="E58" s="533"/>
      <c r="F58" s="533"/>
      <c r="G58" s="336">
        <f>'2021'!S58</f>
        <v>506343.98</v>
      </c>
      <c r="H58" s="336">
        <f>SUM('2021'!G132:Q132)</f>
        <v>536784</v>
      </c>
      <c r="I58" s="337">
        <f t="shared" ref="I58:I64" si="9">+G58-H58</f>
        <v>-30440.020000000019</v>
      </c>
      <c r="J58" s="338">
        <f t="shared" si="1"/>
        <v>-5.6708135860979447E-2</v>
      </c>
      <c r="K58" s="336">
        <f>SUM('2020'!G58:Q58)</f>
        <v>940769.61</v>
      </c>
      <c r="L58" s="337">
        <f t="shared" ref="L58:L64" si="10">+G58-K58</f>
        <v>-434425.63</v>
      </c>
      <c r="M58" s="338">
        <f t="shared" si="2"/>
        <v>-0.46177685310221706</v>
      </c>
      <c r="N58" s="336">
        <f>'2021'!Q58</f>
        <v>0</v>
      </c>
      <c r="O58" s="336">
        <f>'2021'!Q132</f>
        <v>0</v>
      </c>
      <c r="P58" s="337">
        <f t="shared" ref="P58:P64" si="11">+N58-O58</f>
        <v>0</v>
      </c>
      <c r="Q58" s="338" t="str">
        <f t="shared" si="3"/>
        <v>...</v>
      </c>
      <c r="R58" s="336">
        <f>'2020'!Q58</f>
        <v>0</v>
      </c>
      <c r="S58" s="337">
        <f t="shared" ref="S58:S64" si="12">+N58-R58</f>
        <v>0</v>
      </c>
      <c r="T58" s="338" t="str">
        <f t="shared" si="5"/>
        <v>...</v>
      </c>
    </row>
    <row r="59" spans="1:23" ht="15.7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320">
        <f>'2021'!S59</f>
        <v>-502224504.33999997</v>
      </c>
      <c r="H59" s="320">
        <f>SUM('2021'!G133:Q133)</f>
        <v>-618016847.20540893</v>
      </c>
      <c r="I59" s="322">
        <f t="shared" si="9"/>
        <v>115792342.86540896</v>
      </c>
      <c r="J59" s="323">
        <f t="shared" si="1"/>
        <v>-0.18736114296722939</v>
      </c>
      <c r="K59" s="320">
        <f>SUM('2020'!G59:Q59)</f>
        <v>-1034051425.3099999</v>
      </c>
      <c r="L59" s="322">
        <f t="shared" si="10"/>
        <v>531826920.96999997</v>
      </c>
      <c r="M59" s="323">
        <f t="shared" si="2"/>
        <v>-0.51431380292383688</v>
      </c>
      <c r="N59" s="320">
        <f>'2021'!Q59</f>
        <v>-31296664.149999969</v>
      </c>
      <c r="O59" s="320">
        <f>'2021'!Q133</f>
        <v>-15217552.214192975</v>
      </c>
      <c r="P59" s="322">
        <f t="shared" si="11"/>
        <v>-16079111.935806993</v>
      </c>
      <c r="Q59" s="323">
        <f t="shared" si="3"/>
        <v>1.056616183042268</v>
      </c>
      <c r="R59" s="320">
        <f>'2020'!Q59</f>
        <v>-102891339.80999999</v>
      </c>
      <c r="S59" s="322">
        <f t="shared" si="12"/>
        <v>71594675.660000026</v>
      </c>
      <c r="T59" s="323">
        <f t="shared" si="5"/>
        <v>-0.69582800449685411</v>
      </c>
    </row>
    <row r="60" spans="1:23" ht="15.7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'2021'!S60</f>
        <v>502224504.33999997</v>
      </c>
      <c r="H60" s="151">
        <f>SUM('2021'!G134:Q134)</f>
        <v>618016847.20540893</v>
      </c>
      <c r="I60" s="321">
        <f t="shared" si="9"/>
        <v>-115792342.86540896</v>
      </c>
      <c r="J60" s="324">
        <f t="shared" si="1"/>
        <v>-0.18736114296722939</v>
      </c>
      <c r="K60" s="151">
        <f>SUM('2020'!G60:Q60)</f>
        <v>1034051425.3099999</v>
      </c>
      <c r="L60" s="321">
        <f t="shared" si="10"/>
        <v>-531826920.96999997</v>
      </c>
      <c r="M60" s="324">
        <f t="shared" si="2"/>
        <v>-0.51431380292383688</v>
      </c>
      <c r="N60" s="151">
        <f>'2021'!Q60</f>
        <v>31296664.149999969</v>
      </c>
      <c r="O60" s="151">
        <f>'2021'!Q134</f>
        <v>15217552.214192975</v>
      </c>
      <c r="P60" s="321">
        <f t="shared" si="11"/>
        <v>16079111.935806993</v>
      </c>
      <c r="Q60" s="324">
        <f t="shared" si="3"/>
        <v>1.056616183042268</v>
      </c>
      <c r="R60" s="151">
        <f>'2020'!Q60</f>
        <v>102891339.81</v>
      </c>
      <c r="S60" s="321">
        <f t="shared" si="12"/>
        <v>-71594675.660000026</v>
      </c>
      <c r="T60" s="324">
        <f t="shared" si="5"/>
        <v>-0.69582800449685411</v>
      </c>
    </row>
    <row r="61" spans="1:23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484">
        <f>'2021'!S61</f>
        <v>0</v>
      </c>
      <c r="H61" s="484">
        <f>SUM('2021'!G135:Q135)</f>
        <v>0</v>
      </c>
      <c r="I61" s="212">
        <f t="shared" si="9"/>
        <v>0</v>
      </c>
      <c r="J61" s="214" t="str">
        <f t="shared" si="1"/>
        <v>...</v>
      </c>
      <c r="K61" s="163">
        <f>SUM('2020'!G61:Q61)</f>
        <v>167532059.13</v>
      </c>
      <c r="L61" s="212">
        <f t="shared" si="10"/>
        <v>-167532059.13</v>
      </c>
      <c r="M61" s="214">
        <f t="shared" si="2"/>
        <v>-1</v>
      </c>
      <c r="N61" s="163">
        <f>'2021'!Q61</f>
        <v>0</v>
      </c>
      <c r="O61" s="163">
        <f>'2021'!Q135</f>
        <v>0</v>
      </c>
      <c r="P61" s="212">
        <f t="shared" si="11"/>
        <v>0</v>
      </c>
      <c r="Q61" s="214" t="str">
        <f t="shared" si="3"/>
        <v>...</v>
      </c>
      <c r="R61" s="163">
        <f>'2020'!Q61</f>
        <v>28000000</v>
      </c>
      <c r="S61" s="212">
        <f t="shared" si="12"/>
        <v>-28000000</v>
      </c>
      <c r="T61" s="214">
        <f t="shared" si="5"/>
        <v>-1</v>
      </c>
    </row>
    <row r="62" spans="1:23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163">
        <f>'2021'!S62</f>
        <v>104382047.05000001</v>
      </c>
      <c r="H62" s="163">
        <f>SUM('2021'!G136:Q136)</f>
        <v>146100000</v>
      </c>
      <c r="I62" s="212">
        <f t="shared" si="9"/>
        <v>-41717952.949999988</v>
      </c>
      <c r="J62" s="214">
        <f t="shared" si="1"/>
        <v>-0.28554382580424353</v>
      </c>
      <c r="K62" s="163">
        <f>SUM('2020'!G62:Q62)</f>
        <v>422153451.46999997</v>
      </c>
      <c r="L62" s="212">
        <f t="shared" si="10"/>
        <v>-317771404.41999996</v>
      </c>
      <c r="M62" s="214">
        <f t="shared" si="2"/>
        <v>-0.75273908886324037</v>
      </c>
      <c r="N62" s="163">
        <f>'2021'!Q62</f>
        <v>11624768.539999999</v>
      </c>
      <c r="O62" s="163">
        <f>'2021'!Q136</f>
        <v>18900000</v>
      </c>
      <c r="P62" s="212">
        <f t="shared" si="11"/>
        <v>-7275231.4600000009</v>
      </c>
      <c r="Q62" s="214">
        <f t="shared" si="3"/>
        <v>-0.38493288148148153</v>
      </c>
      <c r="R62" s="163">
        <f>'2020'!Q62</f>
        <v>5875847.9400000004</v>
      </c>
      <c r="S62" s="212">
        <f t="shared" si="12"/>
        <v>5748920.5999999987</v>
      </c>
      <c r="T62" s="214">
        <f t="shared" si="5"/>
        <v>0.97839846413724563</v>
      </c>
    </row>
    <row r="63" spans="1:23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163">
        <f>'2021'!S63</f>
        <v>1647352.5000000002</v>
      </c>
      <c r="H63" s="163">
        <f>SUM('2021'!G137:Q137)</f>
        <v>5133797.085</v>
      </c>
      <c r="I63" s="212">
        <f t="shared" si="9"/>
        <v>-3486444.585</v>
      </c>
      <c r="J63" s="214">
        <f t="shared" si="1"/>
        <v>-0.67911616436628208</v>
      </c>
      <c r="K63" s="163">
        <f>SUM('2020'!G63:Q63)</f>
        <v>7816670.6400000006</v>
      </c>
      <c r="L63" s="212">
        <f t="shared" si="10"/>
        <v>-6169318.1400000006</v>
      </c>
      <c r="M63" s="214">
        <f t="shared" si="2"/>
        <v>-0.78925138644449777</v>
      </c>
      <c r="N63" s="163">
        <f>'2021'!Q63</f>
        <v>104172.28</v>
      </c>
      <c r="O63" s="163">
        <f>'2021'!Q137</f>
        <v>866202.91500000004</v>
      </c>
      <c r="P63" s="212">
        <f t="shared" si="11"/>
        <v>-762030.63500000001</v>
      </c>
      <c r="Q63" s="214">
        <f t="shared" si="3"/>
        <v>-0.87973686281118091</v>
      </c>
      <c r="R63" s="163">
        <f>'2020'!Q63</f>
        <v>383181.15</v>
      </c>
      <c r="S63" s="212">
        <f t="shared" si="12"/>
        <v>-279008.87</v>
      </c>
      <c r="T63" s="214">
        <f t="shared" si="5"/>
        <v>-0.72813829699086186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8">
        <f>'2021'!S64</f>
        <v>396195104.79000002</v>
      </c>
      <c r="H64" s="318">
        <f>SUM('2021'!G138:Q138)</f>
        <v>466783050.12040895</v>
      </c>
      <c r="I64" s="226">
        <f t="shared" si="9"/>
        <v>-70587945.330408931</v>
      </c>
      <c r="J64" s="228">
        <f t="shared" si="1"/>
        <v>-0.15122216908304709</v>
      </c>
      <c r="K64" s="318">
        <f>SUM('2020'!G64:Q64)</f>
        <v>436549244.06999993</v>
      </c>
      <c r="L64" s="226">
        <f t="shared" si="10"/>
        <v>-40354139.279999912</v>
      </c>
      <c r="M64" s="228">
        <f t="shared" si="2"/>
        <v>-9.2438916864850174E-2</v>
      </c>
      <c r="N64" s="318">
        <f>'2021'!Q64</f>
        <v>19567723.329999968</v>
      </c>
      <c r="O64" s="318">
        <f>'2021'!Q138</f>
        <v>-4548650.7008070238</v>
      </c>
      <c r="P64" s="226">
        <f t="shared" si="11"/>
        <v>24116374.030806992</v>
      </c>
      <c r="Q64" s="228">
        <f t="shared" si="3"/>
        <v>-5.3018742517486022</v>
      </c>
      <c r="R64" s="318">
        <f>'2020'!Q64</f>
        <v>68632310.719999999</v>
      </c>
      <c r="S64" s="226">
        <f t="shared" si="12"/>
        <v>-49064587.39000003</v>
      </c>
      <c r="T64" s="228">
        <f t="shared" si="5"/>
        <v>-0.71489050674935561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cBR4mZk6hMGbQOmkE3NeNvsgOTWWYsa6OQU6i1X2gs1ME1c7lFCC0txW0BjS/AzvowZtKGrKeVi3bFRvMfuDsg==" saltValue="b/zGMCip94VFORHByUDuoQ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5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W146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4.85546875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501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501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607" t="str">
        <f>+Master!G251</f>
        <v>Ostvarenje budžeta</v>
      </c>
      <c r="C7" s="507"/>
      <c r="D7" s="507"/>
      <c r="E7" s="507"/>
      <c r="F7" s="507"/>
      <c r="G7" s="515">
        <v>2021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BDP</v>
      </c>
      <c r="T7" s="236">
        <v>4881300000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f>+G11+G19+SUM(G24:G28)</f>
        <v>88645433.320000008</v>
      </c>
      <c r="H10" s="151">
        <f t="shared" ref="H10:R10" si="1">+H11+H19+SUM(H24:H28)</f>
        <v>105602053.27</v>
      </c>
      <c r="I10" s="151">
        <f t="shared" si="1"/>
        <v>154192756.19</v>
      </c>
      <c r="J10" s="151">
        <f t="shared" si="1"/>
        <v>144095507.38000003</v>
      </c>
      <c r="K10" s="151">
        <f t="shared" si="1"/>
        <v>136581738.56</v>
      </c>
      <c r="L10" s="151">
        <f t="shared" si="1"/>
        <v>158964981.16000003</v>
      </c>
      <c r="M10" s="151">
        <f t="shared" si="1"/>
        <v>194103304.03</v>
      </c>
      <c r="N10" s="151">
        <f t="shared" si="1"/>
        <v>190105980.75999999</v>
      </c>
      <c r="O10" s="151">
        <f t="shared" si="1"/>
        <v>172282444.23000002</v>
      </c>
      <c r="P10" s="151">
        <f t="shared" si="1"/>
        <v>160001779.85000002</v>
      </c>
      <c r="Q10" s="151">
        <f t="shared" si="1"/>
        <v>158634203.05000001</v>
      </c>
      <c r="R10" s="151">
        <f t="shared" si="1"/>
        <v>0</v>
      </c>
      <c r="S10" s="239">
        <f>+SUM(G10:R10)</f>
        <v>1663210181.8</v>
      </c>
      <c r="T10" s="463">
        <f>+S10/$T$7*100</f>
        <v>34.073099006412228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111713566.28</v>
      </c>
      <c r="N11" s="157">
        <f t="shared" si="2"/>
        <v>132227415.31</v>
      </c>
      <c r="O11" s="157">
        <f t="shared" si="2"/>
        <v>113016911.38000001</v>
      </c>
      <c r="P11" s="157">
        <f t="shared" si="2"/>
        <v>104570246.49000001</v>
      </c>
      <c r="Q11" s="157">
        <f t="shared" si="2"/>
        <v>100241778.90000001</v>
      </c>
      <c r="R11" s="240">
        <f t="shared" si="2"/>
        <v>0</v>
      </c>
      <c r="S11" s="241">
        <f>+SUM(G11:R11)</f>
        <v>1066122095.95</v>
      </c>
      <c r="T11" s="464">
        <f t="shared" ref="T11:T64" si="3">+S11/$T$7*100</f>
        <v>21.840945976481677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9978268.9000000004</v>
      </c>
      <c r="N12" s="163">
        <v>11428081.060000001</v>
      </c>
      <c r="O12" s="163">
        <v>11496389.41</v>
      </c>
      <c r="P12" s="163">
        <v>10714688.65</v>
      </c>
      <c r="Q12" s="163">
        <v>11130007.369999999</v>
      </c>
      <c r="R12" s="163">
        <v>0</v>
      </c>
      <c r="S12" s="242">
        <f t="shared" ref="S12:S63" si="4">+SUM(G12:R12)</f>
        <v>107686595.3</v>
      </c>
      <c r="T12" s="465">
        <f t="shared" si="3"/>
        <v>2.2061048347776206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6304757.04</v>
      </c>
      <c r="N13" s="163">
        <v>3777349.92</v>
      </c>
      <c r="O13" s="163">
        <v>3090820.1</v>
      </c>
      <c r="P13" s="163">
        <v>812369.36</v>
      </c>
      <c r="Q13" s="163">
        <v>572934.72</v>
      </c>
      <c r="R13" s="163">
        <v>0</v>
      </c>
      <c r="S13" s="242">
        <f t="shared" si="4"/>
        <v>71318011.269999996</v>
      </c>
      <c r="T13" s="465">
        <f t="shared" si="3"/>
        <v>1.4610454442464096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131925.03</v>
      </c>
      <c r="N14" s="163">
        <v>253511.29</v>
      </c>
      <c r="O14" s="163">
        <v>186859.21</v>
      </c>
      <c r="P14" s="163">
        <v>188590.96</v>
      </c>
      <c r="Q14" s="163">
        <v>256744.67</v>
      </c>
      <c r="R14" s="163">
        <v>0</v>
      </c>
      <c r="S14" s="242">
        <f t="shared" si="4"/>
        <v>1751416.8699999999</v>
      </c>
      <c r="T14" s="465">
        <f t="shared" si="3"/>
        <v>3.5880131727203821E-2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66270748.509999998</v>
      </c>
      <c r="N15" s="163">
        <v>82197493.75</v>
      </c>
      <c r="O15" s="163">
        <v>66021485.600000001</v>
      </c>
      <c r="P15" s="163">
        <v>66173641.18</v>
      </c>
      <c r="Q15" s="163">
        <v>62811263.609999999</v>
      </c>
      <c r="R15" s="163">
        <v>0</v>
      </c>
      <c r="S15" s="242">
        <f t="shared" si="4"/>
        <v>622541014.23000002</v>
      </c>
      <c r="T15" s="465">
        <f t="shared" si="3"/>
        <v>12.753590523631001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25125271.359999999</v>
      </c>
      <c r="N16" s="163">
        <v>30364249.789999999</v>
      </c>
      <c r="O16" s="163">
        <v>28556581.329999998</v>
      </c>
      <c r="P16" s="163">
        <v>23175011.010000002</v>
      </c>
      <c r="Q16" s="163">
        <v>22114560.530000001</v>
      </c>
      <c r="R16" s="163">
        <v>0</v>
      </c>
      <c r="S16" s="242">
        <f t="shared" si="4"/>
        <v>226834723.19999996</v>
      </c>
      <c r="T16" s="465">
        <f t="shared" si="3"/>
        <v>4.6470145903755133</v>
      </c>
    </row>
    <row r="17" spans="1:23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2891108.46</v>
      </c>
      <c r="N17" s="163">
        <v>3107860.7</v>
      </c>
      <c r="O17" s="163">
        <v>2664634.4500000002</v>
      </c>
      <c r="P17" s="163">
        <v>2522288.0299999998</v>
      </c>
      <c r="Q17" s="163">
        <v>2368746</v>
      </c>
      <c r="R17" s="163">
        <v>0</v>
      </c>
      <c r="S17" s="242">
        <f t="shared" si="4"/>
        <v>25725391.169999998</v>
      </c>
      <c r="T17" s="465">
        <f t="shared" si="3"/>
        <v>0.52701926064777815</v>
      </c>
    </row>
    <row r="18" spans="1:23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1011486.98</v>
      </c>
      <c r="N18" s="163">
        <v>1098868.8</v>
      </c>
      <c r="O18" s="163">
        <v>1000141.28</v>
      </c>
      <c r="P18" s="163">
        <v>983657.3</v>
      </c>
      <c r="Q18" s="163">
        <v>987522</v>
      </c>
      <c r="R18" s="163">
        <v>0</v>
      </c>
      <c r="S18" s="242">
        <f t="shared" si="4"/>
        <v>10264943.910000002</v>
      </c>
      <c r="T18" s="465">
        <f t="shared" si="3"/>
        <v>0.21029119107614777</v>
      </c>
    </row>
    <row r="19" spans="1:23">
      <c r="A19" s="150">
        <v>712</v>
      </c>
      <c r="B19" s="546" t="str">
        <f>+VLOOKUP($A19,Master!$D$29:$G$225,4,FALSE)</f>
        <v>Doprinosi</v>
      </c>
      <c r="C19" s="547"/>
      <c r="D19" s="547"/>
      <c r="E19" s="547"/>
      <c r="F19" s="547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43206185.730000004</v>
      </c>
      <c r="N19" s="169">
        <f t="shared" si="5"/>
        <v>49096195.219999999</v>
      </c>
      <c r="O19" s="169">
        <f t="shared" si="5"/>
        <v>47503080.450000003</v>
      </c>
      <c r="P19" s="169">
        <f t="shared" si="5"/>
        <v>44583829.93</v>
      </c>
      <c r="Q19" s="169">
        <f t="shared" si="5"/>
        <v>46560226.979999997</v>
      </c>
      <c r="R19" s="169">
        <f t="shared" si="5"/>
        <v>0</v>
      </c>
      <c r="S19" s="243">
        <f t="shared" si="4"/>
        <v>467480447.74000001</v>
      </c>
      <c r="T19" s="466">
        <f t="shared" si="3"/>
        <v>9.5769661307438589</v>
      </c>
    </row>
    <row r="20" spans="1:23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26861277.859999999</v>
      </c>
      <c r="N20" s="163">
        <v>30394889.460000001</v>
      </c>
      <c r="O20" s="163">
        <v>29243345.5</v>
      </c>
      <c r="P20" s="163">
        <v>27909453.050000001</v>
      </c>
      <c r="Q20" s="163">
        <v>28933702.27</v>
      </c>
      <c r="R20" s="163">
        <v>0</v>
      </c>
      <c r="S20" s="242">
        <f>+SUM(G20:R20)</f>
        <v>289024312.70000005</v>
      </c>
      <c r="T20" s="465">
        <f t="shared" si="3"/>
        <v>5.9210520291725572</v>
      </c>
    </row>
    <row r="21" spans="1:23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13912010.1</v>
      </c>
      <c r="N21" s="163">
        <v>16090735.119999999</v>
      </c>
      <c r="O21" s="163">
        <v>15676970.460000001</v>
      </c>
      <c r="P21" s="163">
        <v>14237401.24</v>
      </c>
      <c r="Q21" s="163">
        <v>15188463.41</v>
      </c>
      <c r="R21" s="163">
        <v>0</v>
      </c>
      <c r="S21" s="242">
        <f t="shared" si="4"/>
        <v>152939371.64000002</v>
      </c>
      <c r="T21" s="465">
        <f t="shared" si="3"/>
        <v>3.1331688615737616</v>
      </c>
    </row>
    <row r="22" spans="1:23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1293249.31</v>
      </c>
      <c r="N22" s="163">
        <v>1413222.93</v>
      </c>
      <c r="O22" s="163">
        <v>1381018.38</v>
      </c>
      <c r="P22" s="163">
        <v>1312625.81</v>
      </c>
      <c r="Q22" s="163">
        <v>1349119.82</v>
      </c>
      <c r="R22" s="163">
        <v>0</v>
      </c>
      <c r="S22" s="242">
        <f t="shared" si="4"/>
        <v>13835662.770000001</v>
      </c>
      <c r="T22" s="465">
        <f t="shared" si="3"/>
        <v>0.28344217257697746</v>
      </c>
    </row>
    <row r="23" spans="1:23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1139648.46</v>
      </c>
      <c r="N23" s="163">
        <v>1197347.71</v>
      </c>
      <c r="O23" s="163">
        <v>1201746.1100000001</v>
      </c>
      <c r="P23" s="163">
        <v>1124349.83</v>
      </c>
      <c r="Q23" s="163">
        <v>1088941.48</v>
      </c>
      <c r="R23" s="163">
        <v>0</v>
      </c>
      <c r="S23" s="242">
        <f t="shared" si="4"/>
        <v>11681100.630000001</v>
      </c>
      <c r="T23" s="465">
        <f t="shared" si="3"/>
        <v>0.23930306742056423</v>
      </c>
      <c r="W23" s="305"/>
    </row>
    <row r="24" spans="1:23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1493538.9300000002</v>
      </c>
      <c r="N24" s="175">
        <v>1647875.46</v>
      </c>
      <c r="O24" s="175">
        <v>1279203.6200000001</v>
      </c>
      <c r="P24" s="175">
        <v>999355.85</v>
      </c>
      <c r="Q24" s="175">
        <v>1049502.56</v>
      </c>
      <c r="R24" s="175">
        <v>0</v>
      </c>
      <c r="S24" s="243">
        <f t="shared" si="4"/>
        <v>11393718.9</v>
      </c>
      <c r="T24" s="466">
        <f t="shared" si="3"/>
        <v>0.23341566590867188</v>
      </c>
      <c r="W24" s="305"/>
    </row>
    <row r="25" spans="1:23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4686227.58</v>
      </c>
      <c r="N25" s="175">
        <v>3469493.29</v>
      </c>
      <c r="O25" s="175">
        <v>3922721.92</v>
      </c>
      <c r="P25" s="175">
        <v>4441066.2300000004</v>
      </c>
      <c r="Q25" s="175">
        <v>5178797.51</v>
      </c>
      <c r="R25" s="175">
        <v>0</v>
      </c>
      <c r="S25" s="243">
        <f t="shared" si="4"/>
        <v>38800373.43</v>
      </c>
      <c r="T25" s="466">
        <f t="shared" si="3"/>
        <v>0.79487786921516812</v>
      </c>
    </row>
    <row r="26" spans="1:23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v>1525776.04</v>
      </c>
      <c r="H26" s="175">
        <v>1791757.35</v>
      </c>
      <c r="I26" s="175">
        <v>1693779.5</v>
      </c>
      <c r="J26" s="175">
        <v>1358988.92</v>
      </c>
      <c r="K26" s="175">
        <v>3754528.06</v>
      </c>
      <c r="L26" s="175">
        <v>2287001.92</v>
      </c>
      <c r="M26" s="175">
        <v>30215055.109999999</v>
      </c>
      <c r="N26" s="175">
        <v>2283335.13</v>
      </c>
      <c r="O26" s="175">
        <v>1871675.2</v>
      </c>
      <c r="P26" s="175">
        <v>1567023.5799999998</v>
      </c>
      <c r="Q26" s="175">
        <v>1690115.6199999999</v>
      </c>
      <c r="R26" s="175">
        <v>0</v>
      </c>
      <c r="S26" s="243">
        <f t="shared" si="4"/>
        <v>50039036.43</v>
      </c>
      <c r="T26" s="466">
        <f t="shared" si="3"/>
        <v>1.0251170063302808</v>
      </c>
    </row>
    <row r="27" spans="1:23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410107.7</v>
      </c>
      <c r="N27" s="175">
        <v>594112.48</v>
      </c>
      <c r="O27" s="175">
        <v>261920.15</v>
      </c>
      <c r="P27" s="175">
        <v>739287.02</v>
      </c>
      <c r="Q27" s="175">
        <v>1198500.7600000002</v>
      </c>
      <c r="R27" s="175">
        <v>0</v>
      </c>
      <c r="S27" s="243">
        <f t="shared" si="4"/>
        <v>7840752.6099999994</v>
      </c>
      <c r="T27" s="466">
        <f t="shared" si="3"/>
        <v>0.16062836969659722</v>
      </c>
    </row>
    <row r="28" spans="1:23" ht="13.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v>196070.01</v>
      </c>
      <c r="H28" s="175">
        <v>1359247.78</v>
      </c>
      <c r="I28" s="175">
        <v>1522925.29</v>
      </c>
      <c r="J28" s="175">
        <v>1551438.49</v>
      </c>
      <c r="K28" s="175">
        <v>1021922.13</v>
      </c>
      <c r="L28" s="175">
        <v>2472793.4900000002</v>
      </c>
      <c r="M28" s="175">
        <v>2378622.7000000002</v>
      </c>
      <c r="N28" s="175">
        <v>787553.87</v>
      </c>
      <c r="O28" s="175">
        <v>4426931.51</v>
      </c>
      <c r="P28" s="175">
        <v>3100970.75</v>
      </c>
      <c r="Q28" s="175">
        <v>2715280.72</v>
      </c>
      <c r="R28" s="175">
        <v>0</v>
      </c>
      <c r="S28" s="243">
        <f t="shared" si="4"/>
        <v>21533756.739999998</v>
      </c>
      <c r="T28" s="467">
        <f t="shared" si="3"/>
        <v>0.44114798803597405</v>
      </c>
    </row>
    <row r="29" spans="1:23" ht="13.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>+G30+G40+G46+SUM(G47:G51)</f>
        <v>127396828.25</v>
      </c>
      <c r="H29" s="151">
        <f t="shared" ref="H29:R29" si="6">+H30+H40+H46+SUM(H47:H51)</f>
        <v>159900252.54000002</v>
      </c>
      <c r="I29" s="151">
        <f t="shared" si="6"/>
        <v>164546611.34</v>
      </c>
      <c r="J29" s="151">
        <f t="shared" si="6"/>
        <v>184233665.84999999</v>
      </c>
      <c r="K29" s="151">
        <f t="shared" si="6"/>
        <v>156171147.31</v>
      </c>
      <c r="L29" s="151">
        <f t="shared" si="6"/>
        <v>155955510.75</v>
      </c>
      <c r="M29" s="151">
        <f t="shared" si="6"/>
        <v>153688808.73000002</v>
      </c>
      <c r="N29" s="151">
        <f t="shared" si="6"/>
        <v>129254584.69</v>
      </c>
      <c r="O29" s="151">
        <f t="shared" si="6"/>
        <v>178840376.53</v>
      </c>
      <c r="P29" s="151">
        <f t="shared" si="6"/>
        <v>157221317.40000001</v>
      </c>
      <c r="Q29" s="151">
        <f t="shared" si="6"/>
        <v>172182918.45999998</v>
      </c>
      <c r="R29" s="151">
        <f t="shared" si="6"/>
        <v>0</v>
      </c>
      <c r="S29" s="245">
        <f t="shared" si="4"/>
        <v>1739392021.8500001</v>
      </c>
      <c r="T29" s="468">
        <f t="shared" si="3"/>
        <v>35.633786529203284</v>
      </c>
    </row>
    <row r="30" spans="1:23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187">
        <f t="shared" ref="G30:R30" si="7">+SUM(G31:G39)</f>
        <v>51210284.650000006</v>
      </c>
      <c r="H30" s="187">
        <f t="shared" si="7"/>
        <v>62968222.63000001</v>
      </c>
      <c r="I30" s="187">
        <f t="shared" si="7"/>
        <v>74936031.789999992</v>
      </c>
      <c r="J30" s="187">
        <f t="shared" si="7"/>
        <v>90501253.180000007</v>
      </c>
      <c r="K30" s="187">
        <f t="shared" si="7"/>
        <v>68135261.49000001</v>
      </c>
      <c r="L30" s="187">
        <f t="shared" si="7"/>
        <v>67098040.299999997</v>
      </c>
      <c r="M30" s="187">
        <f t="shared" si="7"/>
        <v>63553958.960000001</v>
      </c>
      <c r="N30" s="187">
        <f t="shared" si="7"/>
        <v>55444242.760000005</v>
      </c>
      <c r="O30" s="187">
        <f t="shared" si="7"/>
        <v>78428347.819999993</v>
      </c>
      <c r="P30" s="187">
        <f t="shared" si="7"/>
        <v>65431162.609999999</v>
      </c>
      <c r="Q30" s="187">
        <f t="shared" si="7"/>
        <v>70640735.879999995</v>
      </c>
      <c r="R30" s="246">
        <f t="shared" si="7"/>
        <v>0</v>
      </c>
      <c r="S30" s="425">
        <f t="shared" si="4"/>
        <v>748347542.06999993</v>
      </c>
      <c r="T30" s="464">
        <f t="shared" si="3"/>
        <v>15.33090656321062</v>
      </c>
      <c r="U30" s="242"/>
    </row>
    <row r="31" spans="1:23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v>40605076.340000004</v>
      </c>
      <c r="H31" s="163">
        <v>49306948.350000001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43807195.049999997</v>
      </c>
      <c r="N31" s="163">
        <v>42438933.920000002</v>
      </c>
      <c r="O31" s="163">
        <v>43464882.57</v>
      </c>
      <c r="P31" s="163">
        <v>44324596.259999998</v>
      </c>
      <c r="Q31" s="163">
        <v>42899701.979999997</v>
      </c>
      <c r="R31" s="163">
        <v>0</v>
      </c>
      <c r="S31" s="242">
        <f t="shared" si="4"/>
        <v>488175774.20000005</v>
      </c>
      <c r="T31" s="465">
        <f t="shared" si="3"/>
        <v>10.00093774609223</v>
      </c>
      <c r="U31" s="242"/>
    </row>
    <row r="32" spans="1:23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847625.01</v>
      </c>
      <c r="L32" s="163">
        <v>813914.56</v>
      </c>
      <c r="M32" s="163">
        <v>749930.47</v>
      </c>
      <c r="N32" s="163">
        <v>668764.4</v>
      </c>
      <c r="O32" s="163">
        <v>915237.68</v>
      </c>
      <c r="P32" s="163">
        <v>879406.09</v>
      </c>
      <c r="Q32" s="163">
        <v>1196263.8500000001</v>
      </c>
      <c r="R32" s="163">
        <v>0</v>
      </c>
      <c r="S32" s="242">
        <f t="shared" si="4"/>
        <v>9027486.5899999999</v>
      </c>
      <c r="T32" s="465">
        <f t="shared" si="3"/>
        <v>0.18494021244340647</v>
      </c>
      <c r="U32" s="458"/>
    </row>
    <row r="33" spans="1:21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v>596838.26</v>
      </c>
      <c r="H33" s="163">
        <v>1661848.94</v>
      </c>
      <c r="I33" s="163">
        <v>2846541.08</v>
      </c>
      <c r="J33" s="163">
        <v>2297097.17</v>
      </c>
      <c r="K33" s="163">
        <v>3107844.52</v>
      </c>
      <c r="L33" s="163">
        <v>3282627.05</v>
      </c>
      <c r="M33" s="163">
        <v>1193812.19</v>
      </c>
      <c r="N33" s="163">
        <v>1974731.33</v>
      </c>
      <c r="O33" s="163">
        <v>2484333.92</v>
      </c>
      <c r="P33" s="163">
        <v>3818905.14</v>
      </c>
      <c r="Q33" s="163">
        <v>3314735.27</v>
      </c>
      <c r="R33" s="163">
        <v>0</v>
      </c>
      <c r="S33" s="242">
        <f t="shared" si="4"/>
        <v>26579314.870000001</v>
      </c>
      <c r="T33" s="465">
        <f t="shared" si="3"/>
        <v>0.54451303689590891</v>
      </c>
      <c r="U33" s="458"/>
    </row>
    <row r="34" spans="1:21" s="362" customFormat="1">
      <c r="A34" s="361">
        <v>414</v>
      </c>
      <c r="B34" s="605" t="str">
        <f>+VLOOKUP($A34,Master!$D$29:$G$225,4,FALSE)</f>
        <v>Rashodi za usluge</v>
      </c>
      <c r="C34" s="606"/>
      <c r="D34" s="606"/>
      <c r="E34" s="606"/>
      <c r="F34" s="606"/>
      <c r="G34" s="163">
        <v>1050676.99</v>
      </c>
      <c r="H34" s="163">
        <v>2624320.42</v>
      </c>
      <c r="I34" s="163">
        <v>3354555.29</v>
      </c>
      <c r="J34" s="163">
        <v>6158096.0800000001</v>
      </c>
      <c r="K34" s="163">
        <v>5020032.2</v>
      </c>
      <c r="L34" s="163">
        <v>3880469.19</v>
      </c>
      <c r="M34" s="163">
        <v>6407706.4199999999</v>
      </c>
      <c r="N34" s="163">
        <v>4228370.29</v>
      </c>
      <c r="O34" s="163">
        <v>4951521.0199999996</v>
      </c>
      <c r="P34" s="163">
        <v>4361177.68</v>
      </c>
      <c r="Q34" s="163">
        <v>4815770.76</v>
      </c>
      <c r="R34" s="163">
        <v>0</v>
      </c>
      <c r="S34" s="242">
        <f t="shared" si="4"/>
        <v>46852696.340000004</v>
      </c>
      <c r="T34" s="465">
        <f t="shared" si="3"/>
        <v>0.95984054124925744</v>
      </c>
      <c r="U34" s="458"/>
    </row>
    <row r="35" spans="1:21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1714591.59</v>
      </c>
      <c r="L35" s="163">
        <v>1668289.12</v>
      </c>
      <c r="M35" s="163">
        <v>1676187.06</v>
      </c>
      <c r="N35" s="163">
        <v>627370.31000000006</v>
      </c>
      <c r="O35" s="163">
        <v>2494776.16</v>
      </c>
      <c r="P35" s="163">
        <v>1624347.31</v>
      </c>
      <c r="Q35" s="163">
        <v>2052579.1</v>
      </c>
      <c r="R35" s="163">
        <v>0</v>
      </c>
      <c r="S35" s="242">
        <f t="shared" si="4"/>
        <v>17087655.800000001</v>
      </c>
      <c r="T35" s="465">
        <f t="shared" si="3"/>
        <v>0.35006362649294248</v>
      </c>
      <c r="U35" s="458"/>
    </row>
    <row r="36" spans="1:21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4536771.22</v>
      </c>
      <c r="N36" s="163">
        <v>1656473.82</v>
      </c>
      <c r="O36" s="163">
        <v>14251047.82</v>
      </c>
      <c r="P36" s="163">
        <v>1257915.1499999999</v>
      </c>
      <c r="Q36" s="163">
        <v>6572572.5</v>
      </c>
      <c r="R36" s="163">
        <v>0</v>
      </c>
      <c r="S36" s="242">
        <f>+SUM(G36:R36)</f>
        <v>87363305.76000002</v>
      </c>
      <c r="T36" s="465">
        <f t="shared" si="3"/>
        <v>1.789754896441522</v>
      </c>
      <c r="U36" s="458"/>
    </row>
    <row r="37" spans="1:21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642844.74</v>
      </c>
      <c r="L37" s="163">
        <v>989320.52</v>
      </c>
      <c r="M37" s="163">
        <v>776698.1</v>
      </c>
      <c r="N37" s="163">
        <v>599617.06999999995</v>
      </c>
      <c r="O37" s="163">
        <v>1289567.81</v>
      </c>
      <c r="P37" s="163">
        <v>956228.2</v>
      </c>
      <c r="Q37" s="163">
        <v>1013643.73</v>
      </c>
      <c r="R37" s="163">
        <v>0</v>
      </c>
      <c r="S37" s="242">
        <f t="shared" si="4"/>
        <v>8866259.790000001</v>
      </c>
      <c r="T37" s="465">
        <f t="shared" si="3"/>
        <v>0.18163726445823861</v>
      </c>
      <c r="U37" s="458"/>
    </row>
    <row r="38" spans="1:21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2490496.2400000002</v>
      </c>
      <c r="N38" s="163">
        <v>1282909.52</v>
      </c>
      <c r="O38" s="163">
        <v>5015730.92</v>
      </c>
      <c r="P38" s="163">
        <v>5211144.05</v>
      </c>
      <c r="Q38" s="163">
        <v>4749689.82</v>
      </c>
      <c r="R38" s="163">
        <v>0</v>
      </c>
      <c r="S38" s="242">
        <f t="shared" si="4"/>
        <v>35306527.689999998</v>
      </c>
      <c r="T38" s="465">
        <f t="shared" si="3"/>
        <v>0.72330173703726464</v>
      </c>
      <c r="U38" s="458"/>
    </row>
    <row r="39" spans="1:21" s="362" customFormat="1">
      <c r="A39" s="361">
        <v>419</v>
      </c>
      <c r="B39" s="605" t="str">
        <f>+VLOOKUP($A39,Master!$D$29:$G$225,4,FALSE)</f>
        <v>Ostali izdaci</v>
      </c>
      <c r="C39" s="606"/>
      <c r="D39" s="606"/>
      <c r="E39" s="606"/>
      <c r="F39" s="606"/>
      <c r="G39" s="163">
        <v>792964.83</v>
      </c>
      <c r="H39" s="163">
        <v>2319889.5099999998</v>
      </c>
      <c r="I39" s="163">
        <v>3429558.98</v>
      </c>
      <c r="J39" s="163">
        <v>2708059.43</v>
      </c>
      <c r="K39" s="163">
        <v>2598767.04</v>
      </c>
      <c r="L39" s="163">
        <v>2772575.41</v>
      </c>
      <c r="M39" s="163">
        <v>1915162.21</v>
      </c>
      <c r="N39" s="163">
        <v>1967072.1</v>
      </c>
      <c r="O39" s="163">
        <v>3561249.92</v>
      </c>
      <c r="P39" s="163">
        <v>2997442.73</v>
      </c>
      <c r="Q39" s="163">
        <v>4025778.87</v>
      </c>
      <c r="R39" s="163">
        <v>0</v>
      </c>
      <c r="S39" s="242">
        <f t="shared" si="4"/>
        <v>29088521.030000001</v>
      </c>
      <c r="T39" s="465">
        <f t="shared" si="3"/>
        <v>0.5959175020998505</v>
      </c>
      <c r="U39" s="458"/>
    </row>
    <row r="40" spans="1:21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93">
        <f t="shared" si="8"/>
        <v>47454391.899999991</v>
      </c>
      <c r="K40" s="193">
        <f t="shared" si="8"/>
        <v>47582478.649999999</v>
      </c>
      <c r="L40" s="193">
        <f t="shared" si="8"/>
        <v>47701801.869999997</v>
      </c>
      <c r="M40" s="193">
        <f t="shared" si="8"/>
        <v>46709328.349999994</v>
      </c>
      <c r="N40" s="193">
        <f t="shared" si="8"/>
        <v>48312853.209999993</v>
      </c>
      <c r="O40" s="193">
        <f t="shared" si="8"/>
        <v>47346058.890000001</v>
      </c>
      <c r="P40" s="193">
        <f t="shared" si="8"/>
        <v>47321393.019999996</v>
      </c>
      <c r="Q40" s="193">
        <f t="shared" si="8"/>
        <v>47602308.230000004</v>
      </c>
      <c r="R40" s="247">
        <f t="shared" si="8"/>
        <v>0</v>
      </c>
      <c r="S40" s="490">
        <f t="shared" si="4"/>
        <v>517254824.69999987</v>
      </c>
      <c r="T40" s="491">
        <f t="shared" si="3"/>
        <v>10.596661231639109</v>
      </c>
      <c r="U40" s="242"/>
    </row>
    <row r="41" spans="1:21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6924485.1699999999</v>
      </c>
      <c r="N41" s="163">
        <v>6922132.7699999996</v>
      </c>
      <c r="O41" s="163">
        <v>7012911.9400000004</v>
      </c>
      <c r="P41" s="163">
        <v>7587918.79</v>
      </c>
      <c r="Q41" s="163">
        <v>8108140.6100000003</v>
      </c>
      <c r="R41" s="163">
        <v>0</v>
      </c>
      <c r="S41" s="242">
        <f t="shared" si="4"/>
        <v>76569354.540000007</v>
      </c>
      <c r="T41" s="465">
        <f t="shared" si="3"/>
        <v>1.5686262786552763</v>
      </c>
      <c r="U41" s="458"/>
    </row>
    <row r="42" spans="1:21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1479581.31</v>
      </c>
      <c r="N42" s="163">
        <v>3011655.31</v>
      </c>
      <c r="O42" s="163">
        <v>1946279.26</v>
      </c>
      <c r="P42" s="163">
        <v>1580041.11</v>
      </c>
      <c r="Q42" s="163">
        <v>1693671.28</v>
      </c>
      <c r="R42" s="163">
        <v>0</v>
      </c>
      <c r="S42" s="242">
        <f t="shared" si="4"/>
        <v>19862322.57</v>
      </c>
      <c r="T42" s="465">
        <f t="shared" si="3"/>
        <v>0.40690640956302621</v>
      </c>
      <c r="U42" s="458"/>
    </row>
    <row r="43" spans="1:21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35679553.039999999</v>
      </c>
      <c r="M43" s="163">
        <v>35659550.979999997</v>
      </c>
      <c r="N43" s="163">
        <v>35676248.939999998</v>
      </c>
      <c r="O43" s="163">
        <v>35868624.289999999</v>
      </c>
      <c r="P43" s="163">
        <v>35842810.990000002</v>
      </c>
      <c r="Q43" s="163">
        <v>35886030.640000001</v>
      </c>
      <c r="R43" s="163">
        <v>0</v>
      </c>
      <c r="S43" s="242">
        <f t="shared" si="4"/>
        <v>395219351.19</v>
      </c>
      <c r="T43" s="465">
        <f t="shared" si="3"/>
        <v>8.0966003152848636</v>
      </c>
      <c r="U43" s="458"/>
    </row>
    <row r="44" spans="1:21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1892227.84</v>
      </c>
      <c r="N44" s="163">
        <v>1514594.61</v>
      </c>
      <c r="O44" s="163">
        <v>1755810.82</v>
      </c>
      <c r="P44" s="163">
        <v>978865.16</v>
      </c>
      <c r="Q44" s="163">
        <v>925856.6</v>
      </c>
      <c r="R44" s="163">
        <v>0</v>
      </c>
      <c r="S44" s="242">
        <f t="shared" si="4"/>
        <v>15492949.389999999</v>
      </c>
      <c r="T44" s="465">
        <f t="shared" si="3"/>
        <v>0.31739391944768808</v>
      </c>
      <c r="U44" s="458"/>
    </row>
    <row r="45" spans="1:21" s="362" customFormat="1">
      <c r="A45" s="361">
        <v>425</v>
      </c>
      <c r="B45" s="601" t="str">
        <f>+VLOOKUP($A45,Master!$D$29:$G$225,4,FALSE)</f>
        <v>Ostala prava iz zdravstvenog osiguranja</v>
      </c>
      <c r="C45" s="602"/>
      <c r="D45" s="602"/>
      <c r="E45" s="602"/>
      <c r="F45" s="602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753483.05</v>
      </c>
      <c r="N45" s="163">
        <v>1188221.58</v>
      </c>
      <c r="O45" s="163">
        <v>762432.58</v>
      </c>
      <c r="P45" s="163">
        <v>1331756.97</v>
      </c>
      <c r="Q45" s="163">
        <v>988609.1</v>
      </c>
      <c r="R45" s="163">
        <v>0</v>
      </c>
      <c r="S45" s="242">
        <f t="shared" si="4"/>
        <v>10110847.01</v>
      </c>
      <c r="T45" s="465">
        <f t="shared" si="3"/>
        <v>0.20713430868825924</v>
      </c>
      <c r="U45" s="458"/>
    </row>
    <row r="46" spans="1:21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v>12392775.73</v>
      </c>
      <c r="H46" s="175">
        <v>21090087.879999999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18907470.68</v>
      </c>
      <c r="N46" s="175">
        <v>16083684.529999999</v>
      </c>
      <c r="O46" s="175">
        <v>26541391.52</v>
      </c>
      <c r="P46" s="175">
        <v>20455248.059999999</v>
      </c>
      <c r="Q46" s="175">
        <v>27077034.149999999</v>
      </c>
      <c r="R46" s="175">
        <v>0</v>
      </c>
      <c r="S46" s="243">
        <f t="shared" si="4"/>
        <v>227701758.21000001</v>
      </c>
      <c r="T46" s="466">
        <f t="shared" si="3"/>
        <v>4.6647769694548584</v>
      </c>
      <c r="U46" s="482"/>
    </row>
    <row r="47" spans="1:21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v>11603510.130000001</v>
      </c>
      <c r="H47" s="175">
        <v>7242535.6200000001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13239855.810000001</v>
      </c>
      <c r="N47" s="175">
        <v>7339618.0199999996</v>
      </c>
      <c r="O47" s="175">
        <v>24684802.260000002</v>
      </c>
      <c r="P47" s="175">
        <v>20452763.75</v>
      </c>
      <c r="Q47" s="175">
        <v>19451903.010000002</v>
      </c>
      <c r="R47" s="175">
        <v>0</v>
      </c>
      <c r="S47" s="243">
        <f t="shared" si="4"/>
        <v>147660625.00999999</v>
      </c>
      <c r="T47" s="466">
        <f t="shared" si="3"/>
        <v>3.0250266324544688</v>
      </c>
      <c r="U47" s="482"/>
    </row>
    <row r="48" spans="1:21">
      <c r="A48" s="150">
        <v>451</v>
      </c>
      <c r="B48" s="603" t="str">
        <f>+VLOOKUP($A48,Master!$D$29:$G$225,4,FALSE)</f>
        <v>Pozajmice i krediti</v>
      </c>
      <c r="C48" s="604"/>
      <c r="D48" s="604"/>
      <c r="E48" s="604"/>
      <c r="F48" s="604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320698</v>
      </c>
      <c r="Q48" s="163">
        <v>1680</v>
      </c>
      <c r="R48" s="163">
        <v>0</v>
      </c>
      <c r="S48" s="242">
        <f t="shared" si="4"/>
        <v>1151158</v>
      </c>
      <c r="T48" s="465">
        <f t="shared" si="3"/>
        <v>2.3583020916559113E-2</v>
      </c>
      <c r="U48" s="482"/>
    </row>
    <row r="49" spans="1:21" s="362" customFormat="1">
      <c r="A49" s="361">
        <v>47</v>
      </c>
      <c r="B49" s="595" t="str">
        <f>+VLOOKUP($A49,Master!$D$29:$G$225,4,FALSE)</f>
        <v>Rezerve</v>
      </c>
      <c r="C49" s="596"/>
      <c r="D49" s="596"/>
      <c r="E49" s="596"/>
      <c r="F49" s="596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5897968.25</v>
      </c>
      <c r="N49" s="163">
        <v>1341810.29</v>
      </c>
      <c r="O49" s="163">
        <v>862178.99</v>
      </c>
      <c r="P49" s="163">
        <v>2434932.13</v>
      </c>
      <c r="Q49" s="163">
        <v>5966200</v>
      </c>
      <c r="R49" s="163">
        <v>0</v>
      </c>
      <c r="S49" s="242">
        <f t="shared" si="4"/>
        <v>66157468.329999998</v>
      </c>
      <c r="T49" s="465">
        <f t="shared" si="3"/>
        <v>1.355324776801262</v>
      </c>
      <c r="U49" s="482"/>
    </row>
    <row r="50" spans="1:21" ht="13.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3879755.68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7711252.0800000001</v>
      </c>
      <c r="T50" s="465">
        <f t="shared" si="3"/>
        <v>0.15797537705119538</v>
      </c>
      <c r="U50" s="482"/>
    </row>
    <row r="51" spans="1:21" ht="13.5" thickBot="1">
      <c r="A51" s="144">
        <v>4630</v>
      </c>
      <c r="B51" s="597" t="str">
        <f>+VLOOKUP($A51,Master!$D$29:$G$225,4,TRUE)</f>
        <v>Otplata obaveza iz prethodnog perioda</v>
      </c>
      <c r="C51" s="598"/>
      <c r="D51" s="598"/>
      <c r="E51" s="598"/>
      <c r="F51" s="598"/>
      <c r="G51" s="459">
        <v>1018944.7</v>
      </c>
      <c r="H51" s="459">
        <v>1642283.23</v>
      </c>
      <c r="I51" s="459">
        <v>1594695.57</v>
      </c>
      <c r="J51" s="459">
        <v>1366097.79</v>
      </c>
      <c r="K51" s="459">
        <v>11033574.689999999</v>
      </c>
      <c r="L51" s="459">
        <v>1293176.52</v>
      </c>
      <c r="M51" s="459">
        <v>1500471</v>
      </c>
      <c r="N51" s="459">
        <v>732375.88</v>
      </c>
      <c r="O51" s="459">
        <v>977597.05</v>
      </c>
      <c r="P51" s="459">
        <v>805119.83</v>
      </c>
      <c r="Q51" s="459">
        <v>1443057.19</v>
      </c>
      <c r="R51" s="460">
        <v>0</v>
      </c>
      <c r="S51" s="426">
        <f>+SUM(G51:R51)</f>
        <v>23407393.449999999</v>
      </c>
      <c r="T51" s="469">
        <f t="shared" si="3"/>
        <v>0.4795319576752094</v>
      </c>
      <c r="U51" s="482"/>
    </row>
    <row r="52" spans="1:21" ht="13.5" thickBot="1">
      <c r="A52" s="70">
        <v>1005</v>
      </c>
      <c r="B52" s="599" t="str">
        <f>+VLOOKUP($A52,Master!$D$29:$G$227,4,FALSE)</f>
        <v>Neto povećanje obaveza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3.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9">+G10-G29</f>
        <v>-38751394.929999992</v>
      </c>
      <c r="H53" s="151">
        <f t="shared" si="9"/>
        <v>-54298199.270000026</v>
      </c>
      <c r="I53" s="151">
        <f t="shared" si="9"/>
        <v>-10353855.150000006</v>
      </c>
      <c r="J53" s="151">
        <f t="shared" si="9"/>
        <v>-40138158.469999969</v>
      </c>
      <c r="K53" s="151">
        <f t="shared" si="9"/>
        <v>-19589408.75</v>
      </c>
      <c r="L53" s="151">
        <f t="shared" si="9"/>
        <v>3009470.4100000262</v>
      </c>
      <c r="M53" s="151">
        <f t="shared" si="9"/>
        <v>40414495.299999982</v>
      </c>
      <c r="N53" s="151">
        <f t="shared" si="9"/>
        <v>60851396.069999993</v>
      </c>
      <c r="O53" s="151">
        <f t="shared" si="9"/>
        <v>-6557932.2999999821</v>
      </c>
      <c r="P53" s="151">
        <f t="shared" si="9"/>
        <v>2780462.4500000179</v>
      </c>
      <c r="Q53" s="151">
        <f t="shared" si="9"/>
        <v>-13548715.409999967</v>
      </c>
      <c r="R53" s="151">
        <f t="shared" si="9"/>
        <v>0</v>
      </c>
      <c r="S53" s="248">
        <f t="shared" si="4"/>
        <v>-76181840.049999923</v>
      </c>
      <c r="T53" s="471">
        <f t="shared" si="3"/>
        <v>-1.5606875227910582</v>
      </c>
    </row>
    <row r="54" spans="1:21" ht="13.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10">+G53+G36</f>
        <v>-31173909.859999992</v>
      </c>
      <c r="H54" s="205">
        <f t="shared" si="10"/>
        <v>-52334008.890000023</v>
      </c>
      <c r="I54" s="205">
        <f t="shared" si="10"/>
        <v>4434127.4199999943</v>
      </c>
      <c r="J54" s="205">
        <f t="shared" si="10"/>
        <v>-17369646.509999968</v>
      </c>
      <c r="K54" s="205">
        <f t="shared" si="10"/>
        <v>-12889107.91</v>
      </c>
      <c r="L54" s="205">
        <f t="shared" si="10"/>
        <v>8299524.8400000259</v>
      </c>
      <c r="M54" s="205">
        <f t="shared" si="10"/>
        <v>44951266.519999981</v>
      </c>
      <c r="N54" s="205">
        <f t="shared" si="10"/>
        <v>62507869.889999993</v>
      </c>
      <c r="O54" s="205">
        <f t="shared" si="10"/>
        <v>7693115.5200000182</v>
      </c>
      <c r="P54" s="205">
        <f t="shared" si="10"/>
        <v>4038377.6000000178</v>
      </c>
      <c r="Q54" s="205">
        <f t="shared" si="10"/>
        <v>-6976142.9099999666</v>
      </c>
      <c r="R54" s="205">
        <f t="shared" si="10"/>
        <v>0</v>
      </c>
      <c r="S54" s="248">
        <f t="shared" si="4"/>
        <v>11181465.710000105</v>
      </c>
      <c r="T54" s="471">
        <f t="shared" si="3"/>
        <v>0.22906737365046412</v>
      </c>
    </row>
    <row r="55" spans="1:21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25358675.150000002</v>
      </c>
      <c r="N55" s="193">
        <f t="shared" si="11"/>
        <v>12976050.960000001</v>
      </c>
      <c r="O55" s="193">
        <f t="shared" si="11"/>
        <v>11336186.489999998</v>
      </c>
      <c r="P55" s="193">
        <f t="shared" si="11"/>
        <v>7558722.7800000003</v>
      </c>
      <c r="Q55" s="193">
        <f t="shared" si="11"/>
        <v>17747948.740000002</v>
      </c>
      <c r="R55" s="193">
        <f t="shared" si="11"/>
        <v>0</v>
      </c>
      <c r="S55" s="249">
        <f t="shared" si="4"/>
        <v>425536320.31</v>
      </c>
      <c r="T55" s="472">
        <f t="shared" si="3"/>
        <v>8.7176842298158288</v>
      </c>
    </row>
    <row r="56" spans="1:21">
      <c r="A56" s="144">
        <v>4611</v>
      </c>
      <c r="B56" s="520" t="str">
        <f>+VLOOKUP($A56,Master!$D$29:$G$225,4,FALSE)</f>
        <v>Otplata hartija od vrijednosti i kredita rezidentima</v>
      </c>
      <c r="C56" s="521"/>
      <c r="D56" s="521"/>
      <c r="E56" s="521"/>
      <c r="F56" s="521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294018.01</v>
      </c>
      <c r="N56" s="211">
        <v>1750047.75</v>
      </c>
      <c r="O56" s="211">
        <v>2421267.87</v>
      </c>
      <c r="P56" s="211">
        <v>3875503.62</v>
      </c>
      <c r="Q56" s="211">
        <v>8560164.7799999993</v>
      </c>
      <c r="R56" s="211">
        <v>0</v>
      </c>
      <c r="S56" s="250">
        <f t="shared" si="4"/>
        <v>82772480.180000007</v>
      </c>
      <c r="T56" s="473">
        <f t="shared" si="3"/>
        <v>1.6957056558703627</v>
      </c>
    </row>
    <row r="57" spans="1:21" ht="13.5" thickBot="1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25064657.140000001</v>
      </c>
      <c r="N57" s="211">
        <v>11226003.210000001</v>
      </c>
      <c r="O57" s="211">
        <v>8914918.6199999992</v>
      </c>
      <c r="P57" s="211">
        <v>3683219.16</v>
      </c>
      <c r="Q57" s="211">
        <v>9187783.9600000009</v>
      </c>
      <c r="R57" s="211">
        <v>0</v>
      </c>
      <c r="S57" s="250">
        <f t="shared" si="4"/>
        <v>342763840.13</v>
      </c>
      <c r="T57" s="473">
        <f t="shared" si="3"/>
        <v>7.0219785739454661</v>
      </c>
    </row>
    <row r="58" spans="1:21" ht="13.5" thickBot="1">
      <c r="A58" s="144">
        <v>4418</v>
      </c>
      <c r="B58" s="542" t="str">
        <f>+VLOOKUP($A58,Master!$D$29:$G$225,4,FALSE)</f>
        <v>Izdaci za kupovinu hartija od vrijednosti</v>
      </c>
      <c r="C58" s="543"/>
      <c r="D58" s="543"/>
      <c r="E58" s="543"/>
      <c r="F58" s="543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506343.98</v>
      </c>
      <c r="Q58" s="461">
        <v>0</v>
      </c>
      <c r="R58" s="462">
        <v>0</v>
      </c>
      <c r="S58" s="249">
        <f>SUM(G58:R58)</f>
        <v>506343.98</v>
      </c>
      <c r="T58" s="474">
        <f t="shared" si="3"/>
        <v>1.0373137893593919E-2</v>
      </c>
    </row>
    <row r="59" spans="1:21" ht="13.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217">
        <f>+G53-G55-G58</f>
        <v>-62082163.749999993</v>
      </c>
      <c r="H59" s="217">
        <f t="shared" ref="H59:R59" si="12">+H53-H55-H58</f>
        <v>-78553220.620000035</v>
      </c>
      <c r="I59" s="217">
        <f t="shared" si="12"/>
        <v>-249137626.39000002</v>
      </c>
      <c r="J59" s="217">
        <f t="shared" si="12"/>
        <v>-72991621.729999959</v>
      </c>
      <c r="K59" s="217">
        <f t="shared" si="12"/>
        <v>-35872236.670000002</v>
      </c>
      <c r="L59" s="217">
        <f t="shared" si="12"/>
        <v>-12043413.189999975</v>
      </c>
      <c r="M59" s="217">
        <f t="shared" si="12"/>
        <v>15055820.14999998</v>
      </c>
      <c r="N59" s="217">
        <f t="shared" si="12"/>
        <v>47875345.109999992</v>
      </c>
      <c r="O59" s="217">
        <f t="shared" si="12"/>
        <v>-17894118.78999998</v>
      </c>
      <c r="P59" s="217">
        <f t="shared" si="12"/>
        <v>-5284604.3099999819</v>
      </c>
      <c r="Q59" s="217">
        <f t="shared" si="12"/>
        <v>-31296664.149999969</v>
      </c>
      <c r="R59" s="217">
        <f t="shared" si="12"/>
        <v>0</v>
      </c>
      <c r="S59" s="251">
        <f t="shared" si="4"/>
        <v>-502224504.33999997</v>
      </c>
      <c r="T59" s="475">
        <f t="shared" si="3"/>
        <v>-10.288744890500482</v>
      </c>
    </row>
    <row r="60" spans="1:21" ht="13.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+SUM(G61:G64)</f>
        <v>62082163.749999993</v>
      </c>
      <c r="H60" s="151">
        <f t="shared" ref="H60:R60" si="13">+SUM(H61:H64)</f>
        <v>78553220.620000035</v>
      </c>
      <c r="I60" s="151">
        <f t="shared" si="13"/>
        <v>249137626.39000002</v>
      </c>
      <c r="J60" s="151">
        <f t="shared" si="13"/>
        <v>72991621.729999959</v>
      </c>
      <c r="K60" s="151">
        <f t="shared" si="13"/>
        <v>35872236.670000002</v>
      </c>
      <c r="L60" s="151">
        <f t="shared" si="13"/>
        <v>12043413.189999975</v>
      </c>
      <c r="M60" s="151">
        <f t="shared" si="13"/>
        <v>-15055820.14999998</v>
      </c>
      <c r="N60" s="151">
        <f t="shared" si="13"/>
        <v>-47875345.109999992</v>
      </c>
      <c r="O60" s="151">
        <f t="shared" si="13"/>
        <v>17894118.78999998</v>
      </c>
      <c r="P60" s="151">
        <f t="shared" si="13"/>
        <v>5284604.3099999819</v>
      </c>
      <c r="Q60" s="151">
        <f t="shared" si="13"/>
        <v>31296664.149999969</v>
      </c>
      <c r="R60" s="151">
        <f t="shared" si="13"/>
        <v>0</v>
      </c>
      <c r="S60" s="252">
        <f t="shared" si="4"/>
        <v>502224504.33999997</v>
      </c>
      <c r="T60" s="476">
        <f t="shared" si="3"/>
        <v>10.288744890500482</v>
      </c>
    </row>
    <row r="61" spans="1:21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489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211">
        <v>8076079.9500000002</v>
      </c>
      <c r="H62" s="211">
        <v>4169340.21</v>
      </c>
      <c r="I62" s="211">
        <v>1856107.06</v>
      </c>
      <c r="J62" s="211">
        <v>15210844.41</v>
      </c>
      <c r="K62" s="211">
        <v>3053139.49</v>
      </c>
      <c r="L62" s="211">
        <v>34345894.609999999</v>
      </c>
      <c r="M62" s="489">
        <v>5377316.7300000004</v>
      </c>
      <c r="N62" s="211">
        <v>5769169.6600000001</v>
      </c>
      <c r="O62" s="211">
        <v>7472230.3099999996</v>
      </c>
      <c r="P62" s="211">
        <v>7427156.0800000001</v>
      </c>
      <c r="Q62" s="211">
        <v>11624768.539999999</v>
      </c>
      <c r="R62" s="211">
        <v>0</v>
      </c>
      <c r="S62" s="250">
        <f t="shared" si="4"/>
        <v>104382047.05000001</v>
      </c>
      <c r="T62" s="473">
        <f t="shared" si="3"/>
        <v>2.1384067164484875</v>
      </c>
    </row>
    <row r="63" spans="1:21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489">
        <v>183425.54</v>
      </c>
      <c r="N63" s="211">
        <v>207661.26</v>
      </c>
      <c r="O63" s="211">
        <v>176272.14</v>
      </c>
      <c r="P63" s="211">
        <v>306257.21000000002</v>
      </c>
      <c r="Q63" s="211">
        <v>104172.28</v>
      </c>
      <c r="R63" s="211">
        <v>0</v>
      </c>
      <c r="S63" s="250">
        <f t="shared" si="4"/>
        <v>1647352.5000000002</v>
      </c>
      <c r="T63" s="473">
        <f t="shared" si="3"/>
        <v>3.3748233052670398E-2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53971335.18999999</v>
      </c>
      <c r="H64" s="225">
        <f t="shared" ref="H64:R64" si="14">-H59-SUM(H61:H63)</f>
        <v>74354312.080000028</v>
      </c>
      <c r="I64" s="225">
        <f t="shared" si="14"/>
        <v>247229354.94000003</v>
      </c>
      <c r="J64" s="225">
        <f t="shared" si="14"/>
        <v>57741525.349999957</v>
      </c>
      <c r="K64" s="225">
        <f t="shared" si="14"/>
        <v>32521945.610000003</v>
      </c>
      <c r="L64" s="225">
        <f t="shared" si="14"/>
        <v>-22519160.620000027</v>
      </c>
      <c r="M64" s="225">
        <f t="shared" si="14"/>
        <v>-20616562.419999979</v>
      </c>
      <c r="N64" s="225">
        <f t="shared" si="14"/>
        <v>-53852176.029999994</v>
      </c>
      <c r="O64" s="225">
        <f t="shared" si="14"/>
        <v>10245616.339999981</v>
      </c>
      <c r="P64" s="225">
        <f t="shared" si="14"/>
        <v>-2448808.9800000181</v>
      </c>
      <c r="Q64" s="225">
        <f t="shared" si="14"/>
        <v>19567723.329999968</v>
      </c>
      <c r="R64" s="225">
        <f t="shared" si="14"/>
        <v>0</v>
      </c>
      <c r="S64" s="253">
        <f>+SUM(G64:R64)</f>
        <v>396195104.79000002</v>
      </c>
      <c r="T64" s="477">
        <f t="shared" si="3"/>
        <v>8.1165899409993241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84" t="str">
        <f>+Master!G252</f>
        <v>Plan ostvarenja budžeta</v>
      </c>
      <c r="C81" s="585"/>
      <c r="D81" s="585"/>
      <c r="E81" s="585"/>
      <c r="F81" s="585"/>
      <c r="G81" s="592">
        <v>2021</v>
      </c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4"/>
      <c r="S81" s="107" t="str">
        <f>+S7</f>
        <v>BDP</v>
      </c>
      <c r="T81" s="108">
        <v>4636600000</v>
      </c>
    </row>
    <row r="82" spans="1:21" ht="15.75" customHeight="1">
      <c r="B82" s="586"/>
      <c r="C82" s="587"/>
      <c r="D82" s="587"/>
      <c r="E82" s="587"/>
      <c r="F82" s="588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92" t="str">
        <f>+Master!G246</f>
        <v>Jan - Dec</v>
      </c>
      <c r="T82" s="594">
        <f>+T8</f>
        <v>0</v>
      </c>
    </row>
    <row r="83" spans="1:21" ht="13.5" thickBot="1">
      <c r="B83" s="589"/>
      <c r="C83" s="590"/>
      <c r="D83" s="590"/>
      <c r="E83" s="590"/>
      <c r="F83" s="591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80" t="str">
        <f>+VLOOKUP(LEFT($A84,LEN(A84)-1)*1,Master!$D$29:$G$225,4,FALSE)</f>
        <v>Prihodi budžeta</v>
      </c>
      <c r="C84" s="581"/>
      <c r="D84" s="581"/>
      <c r="E84" s="581"/>
      <c r="F84" s="581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212180630.96794868</v>
      </c>
      <c r="N84" s="93">
        <f t="shared" si="18"/>
        <v>181464389.36757722</v>
      </c>
      <c r="O84" s="93">
        <f t="shared" si="18"/>
        <v>170362474.13164854</v>
      </c>
      <c r="P84" s="93">
        <f t="shared" si="18"/>
        <v>164838737.91263062</v>
      </c>
      <c r="Q84" s="93">
        <f t="shared" si="18"/>
        <v>160886587.28362191</v>
      </c>
      <c r="R84" s="93">
        <f t="shared" si="18"/>
        <v>217094780.25459373</v>
      </c>
      <c r="S84" s="454">
        <f>+SUM(G84:R84)</f>
        <v>1880205845.3399</v>
      </c>
      <c r="T84" s="478">
        <f>+S84/$T$81*100</f>
        <v>40.551392083421042</v>
      </c>
      <c r="U84" s="257"/>
    </row>
    <row r="85" spans="1:21">
      <c r="A85" s="116" t="str">
        <f t="shared" si="17"/>
        <v>711p</v>
      </c>
      <c r="B85" s="582" t="str">
        <f>+VLOOKUP(LEFT($A85,LEN(A85)-1)*1,Master!$D$29:$G$225,4,FALSE)</f>
        <v>Porezi</v>
      </c>
      <c r="C85" s="583"/>
      <c r="D85" s="583"/>
      <c r="E85" s="583"/>
      <c r="F85" s="583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114368146.87564762</v>
      </c>
      <c r="N85" s="79">
        <f t="shared" si="19"/>
        <v>115306875.10903084</v>
      </c>
      <c r="O85" s="79">
        <f t="shared" si="19"/>
        <v>110067248.32933852</v>
      </c>
      <c r="P85" s="79">
        <f t="shared" si="19"/>
        <v>100712657.78451934</v>
      </c>
      <c r="Q85" s="79">
        <f t="shared" si="19"/>
        <v>87618055.236293003</v>
      </c>
      <c r="R85" s="80">
        <f t="shared" si="19"/>
        <v>101482973.94958548</v>
      </c>
      <c r="S85" s="111">
        <f t="shared" ref="S85:S138" si="20">+SUM(G85:R85)</f>
        <v>1105088585.2469258</v>
      </c>
      <c r="T85" s="464">
        <f t="shared" ref="T85:T138" si="21">+S85/$T$81*100</f>
        <v>23.834028927380537</v>
      </c>
      <c r="U85" s="257"/>
    </row>
    <row r="86" spans="1:21">
      <c r="A86" s="116" t="str">
        <f t="shared" si="17"/>
        <v>7111p</v>
      </c>
      <c r="B86" s="570" t="str">
        <f>+VLOOKUP(LEFT($A86,LEN(A86)-1)*1,Master!$D$29:$G$228,4,FALSE)</f>
        <v>Porez na dohodak fizičkih lica</v>
      </c>
      <c r="C86" s="571"/>
      <c r="D86" s="571"/>
      <c r="E86" s="571"/>
      <c r="F86" s="571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15482458.702687161</v>
      </c>
      <c r="N86" s="87">
        <v>14919008.243870974</v>
      </c>
      <c r="O86" s="87">
        <v>14758460.999158014</v>
      </c>
      <c r="P86" s="87">
        <v>15303489.942616684</v>
      </c>
      <c r="Q86" s="87">
        <v>14377895.871985486</v>
      </c>
      <c r="R86" s="87">
        <v>23946572.847330451</v>
      </c>
      <c r="S86" s="112">
        <f t="shared" si="20"/>
        <v>154959583.58430818</v>
      </c>
      <c r="T86" s="465">
        <f t="shared" si="21"/>
        <v>3.342095146967782</v>
      </c>
    </row>
    <row r="87" spans="1:21">
      <c r="A87" s="116" t="str">
        <f t="shared" si="17"/>
        <v>7112p</v>
      </c>
      <c r="B87" s="570" t="str">
        <f>+VLOOKUP(LEFT($A87,LEN(A87)-1)*1,Master!$D$29:$G$228,4,FALSE)</f>
        <v>Porez na dobit pravnih lica</v>
      </c>
      <c r="C87" s="571"/>
      <c r="D87" s="571"/>
      <c r="E87" s="571"/>
      <c r="F87" s="571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7363949.9343176102</v>
      </c>
      <c r="N87" s="87">
        <v>2753732.7839750899</v>
      </c>
      <c r="O87" s="87">
        <v>1996774.5784048268</v>
      </c>
      <c r="P87" s="87">
        <v>614331.28399014915</v>
      </c>
      <c r="Q87" s="87">
        <v>783170.64768952818</v>
      </c>
      <c r="R87" s="87">
        <v>3815671.6744992118</v>
      </c>
      <c r="S87" s="112">
        <f t="shared" si="20"/>
        <v>60015792.830110021</v>
      </c>
      <c r="T87" s="465">
        <f t="shared" si="21"/>
        <v>1.2943922881014109</v>
      </c>
    </row>
    <row r="88" spans="1:21">
      <c r="A88" s="116" t="str">
        <f t="shared" si="17"/>
        <v>7113p</v>
      </c>
      <c r="B88" s="570" t="str">
        <f>+VLOOKUP(LEFT($A88,LEN(A88)-1)*1,Master!$D$29:$G$228,4,FALSE)</f>
        <v>Porez na promet nepokretnosti</v>
      </c>
      <c r="C88" s="571"/>
      <c r="D88" s="571"/>
      <c r="E88" s="571"/>
      <c r="F88" s="571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115448.0880394792</v>
      </c>
      <c r="N88" s="87">
        <v>130358.76665111375</v>
      </c>
      <c r="O88" s="87">
        <v>99547.758167691019</v>
      </c>
      <c r="P88" s="87">
        <v>131599.3995438811</v>
      </c>
      <c r="Q88" s="87">
        <v>130654.63070136901</v>
      </c>
      <c r="R88" s="87">
        <v>218789.00026011077</v>
      </c>
      <c r="S88" s="112">
        <f t="shared" si="20"/>
        <v>1609075.0279599999</v>
      </c>
      <c r="T88" s="465">
        <f t="shared" si="21"/>
        <v>3.4703770606910232E-2</v>
      </c>
    </row>
    <row r="89" spans="1:21">
      <c r="A89" s="116" t="str">
        <f t="shared" si="17"/>
        <v>7114p</v>
      </c>
      <c r="B89" s="570" t="str">
        <f>+VLOOKUP(LEFT($A89,LEN(A89)-1)*1,Master!$D$29:$G$228,4,FALSE)</f>
        <v>Porez na dodatu vrijednost</v>
      </c>
      <c r="C89" s="571"/>
      <c r="D89" s="571"/>
      <c r="E89" s="571"/>
      <c r="F89" s="571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62692931.700060099</v>
      </c>
      <c r="N89" s="87">
        <v>62749252.522949897</v>
      </c>
      <c r="O89" s="87">
        <v>61478153.0051938</v>
      </c>
      <c r="P89" s="87">
        <v>58148605.034415752</v>
      </c>
      <c r="Q89" s="87">
        <v>48316463.859108962</v>
      </c>
      <c r="R89" s="87">
        <v>50497872.769622691</v>
      </c>
      <c r="S89" s="112">
        <f t="shared" si="20"/>
        <v>611810518.84138763</v>
      </c>
      <c r="T89" s="465">
        <f t="shared" si="21"/>
        <v>13.195240452948015</v>
      </c>
    </row>
    <row r="90" spans="1:21">
      <c r="A90" s="116" t="str">
        <f t="shared" si="17"/>
        <v>7115p</v>
      </c>
      <c r="B90" s="570" t="str">
        <f>+VLOOKUP(LEFT($A90,LEN(A90)-1)*1,Master!$D$29:$G$228,4,FALSE)</f>
        <v>Akcize</v>
      </c>
      <c r="C90" s="571"/>
      <c r="D90" s="571"/>
      <c r="E90" s="571"/>
      <c r="F90" s="571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25052818.331463095</v>
      </c>
      <c r="N90" s="87">
        <v>31323444.82822936</v>
      </c>
      <c r="O90" s="87">
        <v>28530633.155062504</v>
      </c>
      <c r="P90" s="87">
        <v>23446216.413521621</v>
      </c>
      <c r="Q90" s="87">
        <v>21291284.31250241</v>
      </c>
      <c r="R90" s="87">
        <v>20023707.412636567</v>
      </c>
      <c r="S90" s="112">
        <f t="shared" si="20"/>
        <v>240968307.65850002</v>
      </c>
      <c r="T90" s="465">
        <f t="shared" si="21"/>
        <v>5.1970907056571622</v>
      </c>
    </row>
    <row r="91" spans="1:21">
      <c r="A91" s="116" t="str">
        <f t="shared" si="17"/>
        <v>7116p</v>
      </c>
      <c r="B91" s="570" t="str">
        <f>+VLOOKUP(LEFT($A91,LEN(A91)-1)*1,Master!$D$29:$G$228,4,FALSE)</f>
        <v>Porez na međunarodnu trgovinu i transakcije</v>
      </c>
      <c r="C91" s="571"/>
      <c r="D91" s="571"/>
      <c r="E91" s="571"/>
      <c r="F91" s="571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2645431.846110316</v>
      </c>
      <c r="N91" s="87">
        <v>2388958.5884264777</v>
      </c>
      <c r="O91" s="87">
        <v>2187151.8456419916</v>
      </c>
      <c r="P91" s="87">
        <v>2135387.3745562532</v>
      </c>
      <c r="Q91" s="87">
        <v>1733668.830290545</v>
      </c>
      <c r="R91" s="87">
        <v>2089550.5123979643</v>
      </c>
      <c r="S91" s="112">
        <f t="shared" si="20"/>
        <v>24784772.073620006</v>
      </c>
      <c r="T91" s="465">
        <f t="shared" si="21"/>
        <v>0.53454626393521121</v>
      </c>
    </row>
    <row r="92" spans="1:21">
      <c r="A92" s="116" t="str">
        <f t="shared" si="17"/>
        <v>7118p</v>
      </c>
      <c r="B92" s="570" t="str">
        <f>+VLOOKUP(LEFT($A92,LEN(A92)-1)*1,Master!$D$29:$G$228,4,FALSE)</f>
        <v>Ostali državni porezi</v>
      </c>
      <c r="C92" s="571"/>
      <c r="D92" s="571"/>
      <c r="E92" s="571"/>
      <c r="F92" s="571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1015108.272969852</v>
      </c>
      <c r="N92" s="87">
        <v>1042119.3749279307</v>
      </c>
      <c r="O92" s="87">
        <v>1016526.9877097136</v>
      </c>
      <c r="P92" s="87">
        <v>933028.33587500721</v>
      </c>
      <c r="Q92" s="87">
        <v>984917.08401470014</v>
      </c>
      <c r="R92" s="87">
        <v>890809.73283849703</v>
      </c>
      <c r="S92" s="112">
        <f t="shared" si="20"/>
        <v>10940535.231040001</v>
      </c>
      <c r="T92" s="465">
        <f t="shared" si="21"/>
        <v>0.23596029916404263</v>
      </c>
    </row>
    <row r="93" spans="1:21">
      <c r="A93" s="116" t="str">
        <f t="shared" si="17"/>
        <v>712p</v>
      </c>
      <c r="B93" s="578" t="str">
        <f>+VLOOKUP(LEFT($A93,LEN(A93)-1)*1,Master!$D$29:$G$228,4,FALSE)</f>
        <v>Doprinosi</v>
      </c>
      <c r="C93" s="579"/>
      <c r="D93" s="579"/>
      <c r="E93" s="579"/>
      <c r="F93" s="579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51732542.783543408</v>
      </c>
      <c r="N93" s="81">
        <f t="shared" si="22"/>
        <v>49631014.368561737</v>
      </c>
      <c r="O93" s="81">
        <f t="shared" si="22"/>
        <v>47350397.796793722</v>
      </c>
      <c r="P93" s="81">
        <f t="shared" si="22"/>
        <v>49480561.795459472</v>
      </c>
      <c r="Q93" s="81">
        <f t="shared" si="22"/>
        <v>47825022.848444022</v>
      </c>
      <c r="R93" s="82">
        <f t="shared" si="22"/>
        <v>92578051.389994115</v>
      </c>
      <c r="S93" s="113">
        <f t="shared" si="20"/>
        <v>581841303.53317392</v>
      </c>
      <c r="T93" s="466">
        <f t="shared" si="21"/>
        <v>12.548878564749469</v>
      </c>
    </row>
    <row r="94" spans="1:21">
      <c r="A94" s="116" t="str">
        <f t="shared" si="17"/>
        <v>7121p</v>
      </c>
      <c r="B94" s="570" t="str">
        <f>+VLOOKUP(LEFT($A94,LEN(A94)-1)*1,Master!$D$29:$G$228,4,FALSE)</f>
        <v>Doprinosi za penzijsko i invalidsko osiguranje</v>
      </c>
      <c r="C94" s="571"/>
      <c r="D94" s="571"/>
      <c r="E94" s="571"/>
      <c r="F94" s="571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31808515.037481658</v>
      </c>
      <c r="N94" s="87">
        <v>30791698.093733195</v>
      </c>
      <c r="O94" s="87">
        <v>29909657.816668883</v>
      </c>
      <c r="P94" s="87">
        <v>31360173.411481265</v>
      </c>
      <c r="Q94" s="87">
        <v>30479637.603546329</v>
      </c>
      <c r="R94" s="87">
        <v>59509372.781334966</v>
      </c>
      <c r="S94" s="112">
        <f t="shared" si="20"/>
        <v>362034940.39566004</v>
      </c>
      <c r="T94" s="465">
        <f t="shared" si="21"/>
        <v>7.8081986886007</v>
      </c>
    </row>
    <row r="95" spans="1:21">
      <c r="A95" s="116" t="str">
        <f t="shared" si="17"/>
        <v>7122p</v>
      </c>
      <c r="B95" s="570" t="str">
        <f>+VLOOKUP(LEFT($A95,LEN(A95)-1)*1,Master!$D$29:$G$228,4,FALSE)</f>
        <v>Doprinosi za zdravstveno osiguranje</v>
      </c>
      <c r="C95" s="571"/>
      <c r="D95" s="571"/>
      <c r="E95" s="571"/>
      <c r="F95" s="571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17270896.633232459</v>
      </c>
      <c r="N95" s="87">
        <v>16153497.833335709</v>
      </c>
      <c r="O95" s="87">
        <v>14769394.052825982</v>
      </c>
      <c r="P95" s="87">
        <v>15377602.736057095</v>
      </c>
      <c r="Q95" s="87">
        <v>14647415.233922748</v>
      </c>
      <c r="R95" s="87">
        <v>27787689.034349438</v>
      </c>
      <c r="S95" s="112">
        <f t="shared" si="20"/>
        <v>187402274.12378716</v>
      </c>
      <c r="T95" s="465">
        <f t="shared" si="21"/>
        <v>4.0418037813006764</v>
      </c>
    </row>
    <row r="96" spans="1:21">
      <c r="A96" s="116" t="str">
        <f t="shared" si="17"/>
        <v>7123p</v>
      </c>
      <c r="B96" s="570" t="str">
        <f>+VLOOKUP(LEFT($A96,LEN(A96)-1)*1,Master!$D$29:$G$228,4,FALSE)</f>
        <v>Doprinosi za osiguranje od nezaposlenosti</v>
      </c>
      <c r="C96" s="571"/>
      <c r="D96" s="571"/>
      <c r="E96" s="571"/>
      <c r="F96" s="571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1504150.0520120906</v>
      </c>
      <c r="N96" s="87">
        <v>1482770.5978639575</v>
      </c>
      <c r="O96" s="87">
        <v>1466444.6919858432</v>
      </c>
      <c r="P96" s="87">
        <v>1497447.2037642428</v>
      </c>
      <c r="Q96" s="87">
        <v>1454939.4368525913</v>
      </c>
      <c r="R96" s="87">
        <v>2809944.7231285297</v>
      </c>
      <c r="S96" s="112">
        <f t="shared" si="20"/>
        <v>17498483.923017729</v>
      </c>
      <c r="T96" s="465">
        <f t="shared" si="21"/>
        <v>0.37739904074144265</v>
      </c>
    </row>
    <row r="97" spans="1:23">
      <c r="A97" s="116" t="str">
        <f t="shared" si="17"/>
        <v>7124p</v>
      </c>
      <c r="B97" s="570" t="str">
        <f>+VLOOKUP(LEFT($A97,LEN(A97)-1)*1,Master!$D$29:$G$228,4,FALSE)</f>
        <v>Ostali doprinosi</v>
      </c>
      <c r="C97" s="571"/>
      <c r="D97" s="571"/>
      <c r="E97" s="571"/>
      <c r="F97" s="571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1148981.0608172</v>
      </c>
      <c r="N97" s="87">
        <v>1203047.8436288757</v>
      </c>
      <c r="O97" s="87">
        <v>1204901.235313016</v>
      </c>
      <c r="P97" s="87">
        <v>1245338.4441568626</v>
      </c>
      <c r="Q97" s="87">
        <v>1243030.5741223574</v>
      </c>
      <c r="R97" s="87">
        <v>2471044.8511811825</v>
      </c>
      <c r="S97" s="112">
        <f t="shared" si="20"/>
        <v>14905605.09070906</v>
      </c>
      <c r="T97" s="465">
        <f t="shared" si="21"/>
        <v>0.32147705410665273</v>
      </c>
    </row>
    <row r="98" spans="1:23">
      <c r="A98" s="116" t="str">
        <f t="shared" si="17"/>
        <v>713p</v>
      </c>
      <c r="B98" s="576" t="str">
        <f>+VLOOKUP(LEFT($A98,LEN(A98)-1)*1,Master!$D$29:$G$228,4,FALSE)</f>
        <v>Takse</v>
      </c>
      <c r="C98" s="577"/>
      <c r="D98" s="577"/>
      <c r="E98" s="577"/>
      <c r="F98" s="577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1547084.7775105708</v>
      </c>
      <c r="N98" s="83">
        <v>1358136.6756660538</v>
      </c>
      <c r="O98" s="83">
        <v>1287945.220314126</v>
      </c>
      <c r="P98" s="83">
        <v>1104261.3910324392</v>
      </c>
      <c r="Q98" s="83">
        <v>809312.75905618665</v>
      </c>
      <c r="R98" s="83">
        <v>1084146.0745976409</v>
      </c>
      <c r="S98" s="113">
        <f t="shared" si="20"/>
        <v>12777235.973279998</v>
      </c>
      <c r="T98" s="466">
        <f t="shared" si="21"/>
        <v>0.27557339372126122</v>
      </c>
    </row>
    <row r="99" spans="1:23">
      <c r="A99" s="116" t="str">
        <f t="shared" si="17"/>
        <v>714p</v>
      </c>
      <c r="B99" s="576" t="str">
        <f>+VLOOKUP(LEFT($A99,LEN(A99)-1)*1,Master!$D$29:$G$228,4,FALSE)</f>
        <v>Naknade</v>
      </c>
      <c r="C99" s="577"/>
      <c r="D99" s="577"/>
      <c r="E99" s="577"/>
      <c r="F99" s="577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3228024.1788945282</v>
      </c>
      <c r="N99" s="83">
        <v>2260702.1717122593</v>
      </c>
      <c r="O99" s="83">
        <v>4917603.3211925691</v>
      </c>
      <c r="P99" s="83">
        <v>5162825.284848745</v>
      </c>
      <c r="Q99" s="83">
        <v>4036123.9648556504</v>
      </c>
      <c r="R99" s="83">
        <v>6435761.8810478672</v>
      </c>
      <c r="S99" s="113">
        <f t="shared" si="20"/>
        <v>40543371.613199979</v>
      </c>
      <c r="T99" s="466">
        <f t="shared" si="21"/>
        <v>0.87442029964197865</v>
      </c>
    </row>
    <row r="100" spans="1:23">
      <c r="A100" s="116" t="str">
        <f t="shared" si="17"/>
        <v>715p</v>
      </c>
      <c r="B100" s="576" t="str">
        <f>+VLOOKUP(LEFT($A100,LEN(A100)-1)*1,Master!$D$29:$G$228,4,FALSE)</f>
        <v>Ostali prihodi</v>
      </c>
      <c r="C100" s="577"/>
      <c r="D100" s="577"/>
      <c r="E100" s="577"/>
      <c r="F100" s="577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36016804.153743692</v>
      </c>
      <c r="N100" s="83">
        <v>6453367.3074506968</v>
      </c>
      <c r="O100" s="83">
        <v>1839149.1255743168</v>
      </c>
      <c r="P100" s="83">
        <v>2075658.7152176728</v>
      </c>
      <c r="Q100" s="83">
        <v>1925376.3465948214</v>
      </c>
      <c r="R100" s="83">
        <v>2916461.9446370765</v>
      </c>
      <c r="S100" s="113">
        <f t="shared" si="20"/>
        <v>65824742.103319898</v>
      </c>
      <c r="T100" s="466">
        <f t="shared" si="21"/>
        <v>1.4196769637950202</v>
      </c>
    </row>
    <row r="101" spans="1:23">
      <c r="A101" s="116" t="str">
        <f t="shared" si="17"/>
        <v>73p</v>
      </c>
      <c r="B101" s="576" t="str">
        <f>+VLOOKUP(LEFT($A101,LEN(A101)-1)*1,Master!$D$29:$G$228,4,FALSE)</f>
        <v>Primici od otplate kredita i sredstva prenesena iz prethodne godine</v>
      </c>
      <c r="C101" s="577"/>
      <c r="D101" s="577"/>
      <c r="E101" s="577"/>
      <c r="F101" s="577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155121.60848222813</v>
      </c>
      <c r="N101" s="83">
        <v>1492824.8706624259</v>
      </c>
      <c r="O101" s="83">
        <v>211530.08298020152</v>
      </c>
      <c r="P101" s="83">
        <v>257220.12073081633</v>
      </c>
      <c r="Q101" s="83">
        <v>1664971.2137021665</v>
      </c>
      <c r="R101" s="83">
        <v>1922748.4637024365</v>
      </c>
      <c r="S101" s="113">
        <f t="shared" si="20"/>
        <v>9230506.6700000018</v>
      </c>
      <c r="T101" s="466">
        <f t="shared" si="21"/>
        <v>0.19907921041280252</v>
      </c>
    </row>
    <row r="102" spans="1:23" ht="13.5" thickBot="1">
      <c r="A102" s="116" t="str">
        <f t="shared" si="17"/>
        <v>74p</v>
      </c>
      <c r="B102" s="572" t="str">
        <f>+VLOOKUP(LEFT($A102,LEN(A102)-1)*1,Master!$D$29:$G$228,4,FALSE)</f>
        <v>Donacije i transferi</v>
      </c>
      <c r="C102" s="573"/>
      <c r="D102" s="573"/>
      <c r="E102" s="573"/>
      <c r="F102" s="573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5132906.5901266653</v>
      </c>
      <c r="N102" s="83">
        <v>4961468.8644931968</v>
      </c>
      <c r="O102" s="83">
        <v>4688600.2554550832</v>
      </c>
      <c r="P102" s="83">
        <v>6045552.820822116</v>
      </c>
      <c r="Q102" s="83">
        <v>17007724.914676052</v>
      </c>
      <c r="R102" s="83">
        <v>10674636.551029129</v>
      </c>
      <c r="S102" s="114">
        <f t="shared" si="20"/>
        <v>64900100.200000003</v>
      </c>
      <c r="T102" s="467">
        <f t="shared" si="21"/>
        <v>1.3997347237199673</v>
      </c>
    </row>
    <row r="103" spans="1:23" ht="13.5" thickBot="1">
      <c r="A103" s="116" t="str">
        <f t="shared" si="17"/>
        <v>4p</v>
      </c>
      <c r="B103" s="554" t="str">
        <f>+VLOOKUP(LEFT($A103,LEN(A103)-1)*1,Master!$D$29:$G$228,4,FALSE)</f>
        <v>Izdaci budžeta</v>
      </c>
      <c r="C103" s="555"/>
      <c r="D103" s="555"/>
      <c r="E103" s="555"/>
      <c r="F103" s="555"/>
      <c r="G103" s="93">
        <f t="shared" ref="G103:R103" si="23">+G104+G114+G120+SUM(G121:G125)</f>
        <v>186608591.86186668</v>
      </c>
      <c r="H103" s="93">
        <f t="shared" si="23"/>
        <v>169881214.12836665</v>
      </c>
      <c r="I103" s="93">
        <f t="shared" si="23"/>
        <v>168565134.34196666</v>
      </c>
      <c r="J103" s="93">
        <f t="shared" si="23"/>
        <v>163002269.96706671</v>
      </c>
      <c r="K103" s="93">
        <f t="shared" si="23"/>
        <v>177933088.67026666</v>
      </c>
      <c r="L103" s="93">
        <f t="shared" si="23"/>
        <v>158612244.48616669</v>
      </c>
      <c r="M103" s="93">
        <f t="shared" si="23"/>
        <v>166286941.34583092</v>
      </c>
      <c r="N103" s="93">
        <f t="shared" si="23"/>
        <v>159631902.00295356</v>
      </c>
      <c r="O103" s="93">
        <f t="shared" si="23"/>
        <v>160175734.16545662</v>
      </c>
      <c r="P103" s="93">
        <f t="shared" si="23"/>
        <v>172498104.50796145</v>
      </c>
      <c r="Q103" s="93">
        <f t="shared" si="23"/>
        <v>168241373.96214712</v>
      </c>
      <c r="R103" s="93">
        <f t="shared" si="23"/>
        <v>204098593.62423331</v>
      </c>
      <c r="S103" s="452">
        <f>+SUM(G103:R103)</f>
        <v>2055535193.0642829</v>
      </c>
      <c r="T103" s="479">
        <f t="shared" si="21"/>
        <v>44.332812687406353</v>
      </c>
      <c r="U103" s="257"/>
      <c r="V103" s="291"/>
    </row>
    <row r="104" spans="1:23">
      <c r="A104" s="116" t="str">
        <f t="shared" si="17"/>
        <v>41p</v>
      </c>
      <c r="B104" s="574" t="str">
        <f>+VLOOKUP(LEFT($A104,LEN(A104)-1)*1,Master!$D$29:$G$228,4,FALSE)</f>
        <v>Tekući izdaci</v>
      </c>
      <c r="C104" s="575"/>
      <c r="D104" s="575"/>
      <c r="E104" s="575"/>
      <c r="F104" s="575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68725717.528064221</v>
      </c>
      <c r="N104" s="85">
        <f t="shared" si="24"/>
        <v>62070678.185186878</v>
      </c>
      <c r="O104" s="85">
        <f t="shared" si="24"/>
        <v>62614510.347689942</v>
      </c>
      <c r="P104" s="85">
        <f t="shared" si="24"/>
        <v>74936880.690194771</v>
      </c>
      <c r="Q104" s="85">
        <f t="shared" si="24"/>
        <v>67553620.464380473</v>
      </c>
      <c r="R104" s="86">
        <f t="shared" si="24"/>
        <v>83410840.126466662</v>
      </c>
      <c r="S104" s="111">
        <f t="shared" si="20"/>
        <v>873624942.44428301</v>
      </c>
      <c r="T104" s="464">
        <f t="shared" si="21"/>
        <v>18.841930346466874</v>
      </c>
      <c r="V104" s="291"/>
      <c r="W104" s="291"/>
    </row>
    <row r="105" spans="1:23">
      <c r="A105" s="116" t="str">
        <f t="shared" si="17"/>
        <v>411p</v>
      </c>
      <c r="B105" s="570" t="str">
        <f>+VLOOKUP(LEFT($A105,LEN(A105)-1)*1,Master!$D$29:$G$228,4,FALSE)</f>
        <v>Bruto zarade i doprinosi na teret poslodavca</v>
      </c>
      <c r="C105" s="571"/>
      <c r="D105" s="571"/>
      <c r="E105" s="571"/>
      <c r="F105" s="571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41853667.688466668</v>
      </c>
      <c r="N105" s="87">
        <v>41853667.688466668</v>
      </c>
      <c r="O105" s="87">
        <v>41853667.688466668</v>
      </c>
      <c r="P105" s="87">
        <v>41853667.688466668</v>
      </c>
      <c r="Q105" s="87">
        <v>41853667.688466668</v>
      </c>
      <c r="R105" s="87">
        <v>41853667.688466668</v>
      </c>
      <c r="S105" s="112">
        <f t="shared" si="20"/>
        <v>522945469.48000002</v>
      </c>
      <c r="T105" s="465">
        <f t="shared" si="21"/>
        <v>11.278641018850019</v>
      </c>
    </row>
    <row r="106" spans="1:23">
      <c r="A106" s="116" t="str">
        <f t="shared" si="17"/>
        <v>412p</v>
      </c>
      <c r="B106" s="570" t="str">
        <f>+VLOOKUP(LEFT($A106,LEN(A106)-1)*1,Master!$D$29:$G$228,4,FALSE)</f>
        <v>Ostala lična primanja</v>
      </c>
      <c r="C106" s="571"/>
      <c r="D106" s="571"/>
      <c r="E106" s="571"/>
      <c r="F106" s="571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992187.80600000045</v>
      </c>
      <c r="N106" s="87">
        <v>992187.80600000045</v>
      </c>
      <c r="O106" s="87">
        <v>992187.80600000045</v>
      </c>
      <c r="P106" s="87">
        <v>992187.80600000045</v>
      </c>
      <c r="Q106" s="87">
        <v>992187.80600000045</v>
      </c>
      <c r="R106" s="87">
        <v>992187.80600000045</v>
      </c>
      <c r="S106" s="112">
        <f t="shared" si="20"/>
        <v>12500013.919999998</v>
      </c>
      <c r="T106" s="465">
        <f t="shared" si="21"/>
        <v>0.26959439934434715</v>
      </c>
    </row>
    <row r="107" spans="1:23">
      <c r="A107" s="116" t="str">
        <f t="shared" si="17"/>
        <v>413p</v>
      </c>
      <c r="B107" s="570" t="str">
        <f>+VLOOKUP(LEFT($A107,LEN(A107)-1)*1,Master!$D$29:$G$228,4,FALSE)</f>
        <v>Rashodi za materijal</v>
      </c>
      <c r="C107" s="571"/>
      <c r="D107" s="571"/>
      <c r="E107" s="571"/>
      <c r="F107" s="571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2038155.2507833347</v>
      </c>
      <c r="N107" s="87">
        <v>2038155.2507833347</v>
      </c>
      <c r="O107" s="87">
        <v>2038155.2507833347</v>
      </c>
      <c r="P107" s="87">
        <v>2038155.2507833347</v>
      </c>
      <c r="Q107" s="87">
        <v>2038155.2507833347</v>
      </c>
      <c r="R107" s="87">
        <v>2038155.2507833347</v>
      </c>
      <c r="S107" s="112">
        <f t="shared" si="20"/>
        <v>31960175.780000005</v>
      </c>
      <c r="T107" s="465">
        <f t="shared" si="21"/>
        <v>0.6893019837812191</v>
      </c>
    </row>
    <row r="108" spans="1:23">
      <c r="A108" s="116" t="str">
        <f t="shared" si="17"/>
        <v>414p</v>
      </c>
      <c r="B108" s="570" t="str">
        <f>+VLOOKUP(LEFT($A108,LEN(A108)-1)*1,Master!$D$29:$G$228,4,FALSE)</f>
        <v>Rashodi za usluge</v>
      </c>
      <c r="C108" s="571"/>
      <c r="D108" s="571"/>
      <c r="E108" s="571"/>
      <c r="F108" s="571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4439703.7447166666</v>
      </c>
      <c r="N108" s="87">
        <v>4439703.7447166666</v>
      </c>
      <c r="O108" s="87">
        <v>4439703.7447166666</v>
      </c>
      <c r="P108" s="87">
        <v>4439703.7447166666</v>
      </c>
      <c r="Q108" s="87">
        <v>4439703.7447166666</v>
      </c>
      <c r="R108" s="87">
        <v>4439703.7447166666</v>
      </c>
      <c r="S108" s="112">
        <f t="shared" si="20"/>
        <v>62745861.530000001</v>
      </c>
      <c r="T108" s="465">
        <f t="shared" si="21"/>
        <v>1.3532731210369666</v>
      </c>
    </row>
    <row r="109" spans="1:23">
      <c r="A109" s="116" t="str">
        <f t="shared" si="17"/>
        <v>415p</v>
      </c>
      <c r="B109" s="570" t="str">
        <f>+VLOOKUP(LEFT($A109,LEN(A109)-1)*1,Master!$D$29:$G$228,4,FALSE)</f>
        <v>Rashodi za tekuće održavanje</v>
      </c>
      <c r="C109" s="571"/>
      <c r="D109" s="571"/>
      <c r="E109" s="571"/>
      <c r="F109" s="571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2078633.2887833335</v>
      </c>
      <c r="N109" s="87">
        <v>2078633.2887833335</v>
      </c>
      <c r="O109" s="87">
        <v>2078633.2887833335</v>
      </c>
      <c r="P109" s="87">
        <v>2078633.2887833335</v>
      </c>
      <c r="Q109" s="87">
        <v>2078633.2887833335</v>
      </c>
      <c r="R109" s="87">
        <v>2078633.2887833335</v>
      </c>
      <c r="S109" s="112">
        <f t="shared" si="20"/>
        <v>23341474.300000004</v>
      </c>
      <c r="T109" s="465">
        <f t="shared" si="21"/>
        <v>0.50341789889142918</v>
      </c>
    </row>
    <row r="110" spans="1:23">
      <c r="A110" s="116" t="str">
        <f t="shared" si="17"/>
        <v>416p</v>
      </c>
      <c r="B110" s="570" t="str">
        <f>+VLOOKUP(LEFT($A110,LEN(A110)-1)*1,Master!$D$29:$G$228,4,FALSE)</f>
        <v>Kamate</v>
      </c>
      <c r="C110" s="571"/>
      <c r="D110" s="571"/>
      <c r="E110" s="571"/>
      <c r="F110" s="571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7777546.5015975432</v>
      </c>
      <c r="N110" s="87">
        <v>1122507.1587202</v>
      </c>
      <c r="O110" s="87">
        <v>1666339.3212232694</v>
      </c>
      <c r="P110" s="87">
        <v>13988709.663728101</v>
      </c>
      <c r="Q110" s="87">
        <v>6605449.4379138006</v>
      </c>
      <c r="R110" s="87">
        <v>22462669.100000001</v>
      </c>
      <c r="S110" s="112">
        <f t="shared" si="20"/>
        <v>113075389.33428293</v>
      </c>
      <c r="T110" s="465">
        <f t="shared" si="21"/>
        <v>2.4387566176569671</v>
      </c>
    </row>
    <row r="111" spans="1:23">
      <c r="A111" s="116" t="str">
        <f t="shared" si="17"/>
        <v>417p</v>
      </c>
      <c r="B111" s="570" t="str">
        <f>+VLOOKUP(LEFT($A111,LEN(A111)-1)*1,Master!$D$29:$G$228,4,FALSE)</f>
        <v>Renta</v>
      </c>
      <c r="C111" s="571"/>
      <c r="D111" s="571"/>
      <c r="E111" s="571"/>
      <c r="F111" s="571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997721.26954999997</v>
      </c>
      <c r="N111" s="87">
        <v>997721.26954999997</v>
      </c>
      <c r="O111" s="87">
        <v>997721.26954999997</v>
      </c>
      <c r="P111" s="87">
        <v>997721.26954999997</v>
      </c>
      <c r="Q111" s="87">
        <v>997721.26954999997</v>
      </c>
      <c r="R111" s="87">
        <v>997721.26954999997</v>
      </c>
      <c r="S111" s="112">
        <f t="shared" si="20"/>
        <v>10875348.66</v>
      </c>
      <c r="T111" s="465">
        <f t="shared" si="21"/>
        <v>0.23455438597247985</v>
      </c>
    </row>
    <row r="112" spans="1:23">
      <c r="A112" s="116" t="str">
        <f t="shared" si="17"/>
        <v>418p</v>
      </c>
      <c r="B112" s="570" t="str">
        <f>+VLOOKUP(LEFT($A112,LEN(A112)-1)*1,Master!$D$29:$G$228,4,FALSE)</f>
        <v>Subvencije</v>
      </c>
      <c r="C112" s="571"/>
      <c r="D112" s="571"/>
      <c r="E112" s="571"/>
      <c r="F112" s="571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4639246.2625333332</v>
      </c>
      <c r="N112" s="87">
        <v>4639246.2625333332</v>
      </c>
      <c r="O112" s="87">
        <v>4639246.2625333332</v>
      </c>
      <c r="P112" s="87">
        <v>4639246.2625333332</v>
      </c>
      <c r="Q112" s="87">
        <v>4639246.2625333332</v>
      </c>
      <c r="R112" s="87">
        <v>4639246.2625333332</v>
      </c>
      <c r="S112" s="112">
        <f t="shared" si="20"/>
        <v>50771447.940000013</v>
      </c>
      <c r="T112" s="465">
        <f t="shared" si="21"/>
        <v>1.095014621489885</v>
      </c>
    </row>
    <row r="113" spans="1:22">
      <c r="A113" s="116" t="str">
        <f t="shared" si="17"/>
        <v>419p</v>
      </c>
      <c r="B113" s="570" t="str">
        <f>+VLOOKUP(LEFT($A113,LEN(A113)-1)*1,Master!$D$29:$G$228,4,FALSE)</f>
        <v>Ostali izdaci</v>
      </c>
      <c r="C113" s="571"/>
      <c r="D113" s="571"/>
      <c r="E113" s="571"/>
      <c r="F113" s="571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3908855.7156333341</v>
      </c>
      <c r="N113" s="87">
        <v>3908855.7156333341</v>
      </c>
      <c r="O113" s="87">
        <v>3908855.7156333341</v>
      </c>
      <c r="P113" s="87">
        <v>3908855.7156333341</v>
      </c>
      <c r="Q113" s="87">
        <v>3908855.7156333341</v>
      </c>
      <c r="R113" s="87">
        <v>3908855.7156333341</v>
      </c>
      <c r="S113" s="112">
        <f t="shared" si="20"/>
        <v>45409761.499999993</v>
      </c>
      <c r="T113" s="465">
        <f t="shared" si="21"/>
        <v>0.97937629944355764</v>
      </c>
    </row>
    <row r="114" spans="1:22">
      <c r="A114" s="116" t="str">
        <f t="shared" si="17"/>
        <v>42p</v>
      </c>
      <c r="B114" s="566" t="str">
        <f>+VLOOKUP(LEFT($A114,LEN(A114)-1)*1,Master!$D$29:$G$228,4,FALSE)</f>
        <v>Transferi za socijalnu zaštitu</v>
      </c>
      <c r="C114" s="567"/>
      <c r="D114" s="567"/>
      <c r="E114" s="567"/>
      <c r="F114" s="567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48529569.028216675</v>
      </c>
      <c r="N114" s="84">
        <f t="shared" si="25"/>
        <v>48529569.028216675</v>
      </c>
      <c r="O114" s="84">
        <f t="shared" si="25"/>
        <v>48529569.028216675</v>
      </c>
      <c r="P114" s="84">
        <f t="shared" si="25"/>
        <v>48529569.028216675</v>
      </c>
      <c r="Q114" s="84">
        <f t="shared" si="25"/>
        <v>51656098.708216675</v>
      </c>
      <c r="R114" s="84">
        <f t="shared" si="25"/>
        <v>71656098.708216667</v>
      </c>
      <c r="S114" s="113">
        <f t="shared" si="20"/>
        <v>599251821.86999989</v>
      </c>
      <c r="T114" s="466">
        <f t="shared" si="21"/>
        <v>12.924380405253846</v>
      </c>
    </row>
    <row r="115" spans="1:22">
      <c r="A115" s="116" t="str">
        <f t="shared" si="17"/>
        <v>421p</v>
      </c>
      <c r="B115" s="570" t="str">
        <f>+VLOOKUP(LEFT($A115,LEN(A115)-1)*1,Master!$D$29:$G$228,4,FALSE)</f>
        <v>Prava iz oblasti socijalne zaštite</v>
      </c>
      <c r="C115" s="571"/>
      <c r="D115" s="571"/>
      <c r="E115" s="571"/>
      <c r="F115" s="571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7000000</v>
      </c>
      <c r="N115" s="87">
        <v>7000000</v>
      </c>
      <c r="O115" s="87">
        <v>7000000</v>
      </c>
      <c r="P115" s="87">
        <v>7000000</v>
      </c>
      <c r="Q115" s="87">
        <v>10126529.68</v>
      </c>
      <c r="R115" s="87">
        <v>30126529.680000003</v>
      </c>
      <c r="S115" s="112">
        <f t="shared" si="20"/>
        <v>108438500</v>
      </c>
      <c r="T115" s="465">
        <f t="shared" si="21"/>
        <v>2.3387503774317389</v>
      </c>
    </row>
    <row r="116" spans="1:22">
      <c r="A116" s="116" t="str">
        <f t="shared" ref="A116:A138" si="26">+CONCATENATE(A42,"p")</f>
        <v>422p</v>
      </c>
      <c r="B116" s="570" t="str">
        <f>+VLOOKUP(LEFT($A116,LEN(A116)-1)*1,Master!$D$29:$G$228,4,FALSE)</f>
        <v>Sredstva za tehnološke viškove</v>
      </c>
      <c r="C116" s="571"/>
      <c r="D116" s="571"/>
      <c r="E116" s="571"/>
      <c r="F116" s="571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1331215.5080000004</v>
      </c>
      <c r="N116" s="87">
        <v>1331215.5080000004</v>
      </c>
      <c r="O116" s="87">
        <v>1331215.5080000004</v>
      </c>
      <c r="P116" s="87">
        <v>1331215.5080000004</v>
      </c>
      <c r="Q116" s="87">
        <v>1331215.5080000004</v>
      </c>
      <c r="R116" s="87">
        <v>1331215.5080000004</v>
      </c>
      <c r="S116" s="112">
        <f t="shared" si="20"/>
        <v>18559577.940000005</v>
      </c>
      <c r="T116" s="465">
        <f t="shared" si="21"/>
        <v>0.40028421558900928</v>
      </c>
    </row>
    <row r="117" spans="1:22">
      <c r="A117" s="116" t="str">
        <f t="shared" si="26"/>
        <v>423p</v>
      </c>
      <c r="B117" s="570" t="str">
        <f>+VLOOKUP(LEFT($A117,LEN(A117)-1)*1,Master!$D$29:$G$228,4,FALSE)</f>
        <v>Prava iz oblasti penzijskog i invalidskog osiguranja</v>
      </c>
      <c r="C117" s="571"/>
      <c r="D117" s="571"/>
      <c r="E117" s="571"/>
      <c r="F117" s="571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38123196.594350003</v>
      </c>
      <c r="N117" s="87">
        <v>38123196.594350003</v>
      </c>
      <c r="O117" s="87">
        <v>38123196.594350003</v>
      </c>
      <c r="P117" s="87">
        <v>38123196.594350003</v>
      </c>
      <c r="Q117" s="87">
        <v>38123196.594350003</v>
      </c>
      <c r="R117" s="87">
        <v>38123196.594350003</v>
      </c>
      <c r="S117" s="112">
        <f t="shared" si="20"/>
        <v>445453743.92999989</v>
      </c>
      <c r="T117" s="465">
        <f t="shared" si="21"/>
        <v>9.6073360637104752</v>
      </c>
    </row>
    <row r="118" spans="1:22">
      <c r="A118" s="116" t="str">
        <f t="shared" si="26"/>
        <v>424p</v>
      </c>
      <c r="B118" s="570" t="str">
        <f>+VLOOKUP(LEFT($A118,LEN(A118)-1)*1,Master!$D$29:$G$228,4,FALSE)</f>
        <v>Ostala prava iz oblasti zdravstvene zaštite</v>
      </c>
      <c r="C118" s="571"/>
      <c r="D118" s="571"/>
      <c r="E118" s="571"/>
      <c r="F118" s="571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1035628.3971000001</v>
      </c>
      <c r="N118" s="87">
        <v>1035628.3971000001</v>
      </c>
      <c r="O118" s="87">
        <v>1035628.3971000001</v>
      </c>
      <c r="P118" s="87">
        <v>1035628.3971000001</v>
      </c>
      <c r="Q118" s="87">
        <v>1035628.3971000001</v>
      </c>
      <c r="R118" s="87">
        <v>1035628.3971000001</v>
      </c>
      <c r="S118" s="112">
        <f t="shared" si="20"/>
        <v>15299999.999999998</v>
      </c>
      <c r="T118" s="465">
        <f t="shared" si="21"/>
        <v>0.32998317732821458</v>
      </c>
    </row>
    <row r="119" spans="1:22">
      <c r="A119" s="116" t="str">
        <f t="shared" si="26"/>
        <v>425p</v>
      </c>
      <c r="B119" s="570" t="str">
        <f>+VLOOKUP(LEFT($A119,LEN(A119)-1)*1,Master!$D$29:$G$228,4,FALSE)</f>
        <v>Ostala prava iz zdravstvenog osiguranja</v>
      </c>
      <c r="C119" s="571"/>
      <c r="D119" s="571"/>
      <c r="E119" s="571"/>
      <c r="F119" s="571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1039528.5287666667</v>
      </c>
      <c r="N119" s="87">
        <v>1039528.5287666667</v>
      </c>
      <c r="O119" s="87">
        <v>1039528.5287666667</v>
      </c>
      <c r="P119" s="87">
        <v>1039528.5287666667</v>
      </c>
      <c r="Q119" s="87">
        <v>1039528.5287666667</v>
      </c>
      <c r="R119" s="87">
        <v>1039528.5287666667</v>
      </c>
      <c r="S119" s="112">
        <f t="shared" si="20"/>
        <v>11500000.000000002</v>
      </c>
      <c r="T119" s="465">
        <f t="shared" si="21"/>
        <v>0.24802657119440971</v>
      </c>
    </row>
    <row r="120" spans="1:22">
      <c r="A120" s="116" t="str">
        <f t="shared" si="26"/>
        <v>43p</v>
      </c>
      <c r="B120" s="568" t="str">
        <f>+VLOOKUP(LEFT($A120,LEN(A120)-1)*1,Master!$D$29:$G$228,4,FALSE)</f>
        <v xml:space="preserve">Transferi institucijama, pojedincima, nevladinom i javnom sektoru </v>
      </c>
      <c r="C120" s="569"/>
      <c r="D120" s="569"/>
      <c r="E120" s="569"/>
      <c r="F120" s="569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20959047.32438333</v>
      </c>
      <c r="N120" s="83">
        <v>20959047.32438333</v>
      </c>
      <c r="O120" s="83">
        <v>20959047.32438333</v>
      </c>
      <c r="P120" s="83">
        <v>20959047.32438333</v>
      </c>
      <c r="Q120" s="83">
        <v>20959047.32438333</v>
      </c>
      <c r="R120" s="83">
        <v>20959047.32438333</v>
      </c>
      <c r="S120" s="113">
        <f>+SUM(G120:R120)</f>
        <v>260045759.37999994</v>
      </c>
      <c r="T120" s="466">
        <f t="shared" si="21"/>
        <v>5.6085441784928598</v>
      </c>
    </row>
    <row r="121" spans="1:22">
      <c r="A121" s="116" t="str">
        <f t="shared" si="26"/>
        <v>44p</v>
      </c>
      <c r="B121" s="568" t="str">
        <f>+VLOOKUP(LEFT($A121,LEN(A121)-1)*1,Master!$D$29:$G$228,4,FALSE)</f>
        <v>Kapitalni izdaci</v>
      </c>
      <c r="C121" s="569"/>
      <c r="D121" s="569"/>
      <c r="E121" s="569"/>
      <c r="F121" s="569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24073116.957600009</v>
      </c>
      <c r="N121" s="83">
        <v>24073116.957600009</v>
      </c>
      <c r="O121" s="83">
        <v>24073116.957600009</v>
      </c>
      <c r="P121" s="83">
        <v>24073116.957600009</v>
      </c>
      <c r="Q121" s="83">
        <v>24073116.957600009</v>
      </c>
      <c r="R121" s="83">
        <v>24073116.957600009</v>
      </c>
      <c r="S121" s="113">
        <f>+SUM(G121:R121)</f>
        <v>235554725.5</v>
      </c>
      <c r="T121" s="466">
        <f t="shared" si="21"/>
        <v>5.0803331212526421</v>
      </c>
    </row>
    <row r="122" spans="1:22">
      <c r="A122" s="116" t="str">
        <f t="shared" si="26"/>
        <v>451p</v>
      </c>
      <c r="B122" s="560" t="str">
        <f>+VLOOKUP(LEFT($A122,LEN(A122)-1)*1,Master!$D$29:$G$228,4,FALSE)</f>
        <v>Pozajmice i krediti</v>
      </c>
      <c r="C122" s="561"/>
      <c r="D122" s="561"/>
      <c r="E122" s="561"/>
      <c r="F122" s="561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88786.555066666639</v>
      </c>
      <c r="N122" s="87">
        <v>88786.555066666639</v>
      </c>
      <c r="O122" s="87">
        <v>88786.555066666639</v>
      </c>
      <c r="P122" s="87">
        <v>88786.555066666639</v>
      </c>
      <c r="Q122" s="87">
        <v>88786.555066666639</v>
      </c>
      <c r="R122" s="87">
        <v>88786.555066666639</v>
      </c>
      <c r="S122" s="112">
        <f t="shared" si="20"/>
        <v>1554000.9999999995</v>
      </c>
      <c r="T122" s="465">
        <f t="shared" si="21"/>
        <v>3.3515959970668155E-2</v>
      </c>
    </row>
    <row r="123" spans="1:22">
      <c r="A123" s="116" t="str">
        <f t="shared" si="26"/>
        <v>47p</v>
      </c>
      <c r="B123" s="560" t="str">
        <f>+VLOOKUP(LEFT($A123,LEN(A123)-1)*1,Master!$D$29:$G$228,4,FALSE)</f>
        <v>Rezerve</v>
      </c>
      <c r="C123" s="561"/>
      <c r="D123" s="561"/>
      <c r="E123" s="561"/>
      <c r="F123" s="561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3041462.9633333324</v>
      </c>
      <c r="N123" s="87">
        <v>3041462.9633333324</v>
      </c>
      <c r="O123" s="87">
        <v>3041462.9633333324</v>
      </c>
      <c r="P123" s="87">
        <v>3041462.9633333324</v>
      </c>
      <c r="Q123" s="87">
        <v>3041462.9633333324</v>
      </c>
      <c r="R123" s="87">
        <v>3041462.9633333324</v>
      </c>
      <c r="S123" s="112">
        <f t="shared" si="20"/>
        <v>71213051</v>
      </c>
      <c r="T123" s="465">
        <f t="shared" si="21"/>
        <v>1.535889466419359</v>
      </c>
    </row>
    <row r="124" spans="1:22">
      <c r="A124" s="116" t="str">
        <f t="shared" si="26"/>
        <v>462p</v>
      </c>
      <c r="B124" s="560" t="str">
        <f>+VLOOKUP(LEFT($A124,LEN(A124)-1)*1,Master!$D$29:$G$228,4,FALSE)</f>
        <v>Otplata garancija</v>
      </c>
      <c r="C124" s="561"/>
      <c r="D124" s="561"/>
      <c r="E124" s="561"/>
      <c r="F124" s="561"/>
      <c r="G124" s="87">
        <v>3860000</v>
      </c>
      <c r="H124" s="87">
        <v>0</v>
      </c>
      <c r="I124" s="87">
        <v>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3860000</v>
      </c>
      <c r="T124" s="465">
        <f t="shared" si="21"/>
        <v>8.3250657809601863E-2</v>
      </c>
    </row>
    <row r="125" spans="1:22">
      <c r="A125" s="117" t="str">
        <f t="shared" si="26"/>
        <v>4630p</v>
      </c>
      <c r="B125" s="560" t="str">
        <f>+VLOOKUP(LEFT($A125,LEN(A125)-1)*1,Master!$D$29:$G$228,4,FALSE)</f>
        <v>Otplata obaveza iz prethodnog perioda</v>
      </c>
      <c r="C125" s="561"/>
      <c r="D125" s="561"/>
      <c r="E125" s="561"/>
      <c r="F125" s="561"/>
      <c r="G125" s="96">
        <v>869240.98916666664</v>
      </c>
      <c r="H125" s="87">
        <v>869240.98916666664</v>
      </c>
      <c r="I125" s="87">
        <v>869240.98916666664</v>
      </c>
      <c r="J125" s="87">
        <v>869240.98916666664</v>
      </c>
      <c r="K125" s="87">
        <v>869240.98916666664</v>
      </c>
      <c r="L125" s="87">
        <v>869240.98916666664</v>
      </c>
      <c r="M125" s="87">
        <v>869240.98916666664</v>
      </c>
      <c r="N125" s="87">
        <v>869240.98916666664</v>
      </c>
      <c r="O125" s="87">
        <v>869240.98916666664</v>
      </c>
      <c r="P125" s="87">
        <v>869240.98916666664</v>
      </c>
      <c r="Q125" s="87">
        <v>869240.98916666664</v>
      </c>
      <c r="R125" s="87">
        <v>869240.98916666664</v>
      </c>
      <c r="S125" s="103">
        <f>+SUM(G125:R125)</f>
        <v>10430891.869999997</v>
      </c>
      <c r="T125" s="473">
        <f t="shared" si="21"/>
        <v>0.22496855174049943</v>
      </c>
      <c r="V125" s="257"/>
    </row>
    <row r="126" spans="1:22" ht="13.5" thickBot="1">
      <c r="A126" s="116" t="str">
        <f t="shared" si="26"/>
        <v>1005p</v>
      </c>
      <c r="B126" s="560" t="str">
        <f>+VLOOKUP(LEFT($A126,LEN(A126)-1)*1,Master!$D$29:$G$228,4,FALSE)</f>
        <v>Neto povećanje obaveza</v>
      </c>
      <c r="C126" s="561"/>
      <c r="D126" s="561"/>
      <c r="E126" s="561"/>
      <c r="F126" s="561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2" ht="13.5" thickBot="1">
      <c r="A127" s="117" t="str">
        <f t="shared" si="26"/>
        <v>1000p</v>
      </c>
      <c r="B127" s="562" t="str">
        <f>+VLOOKUP(LEFT($A127,LEN(A127)-1)*1,Master!$D$29:$G$225,4,FALSE)</f>
        <v>Suficit / deficit</v>
      </c>
      <c r="C127" s="563"/>
      <c r="D127" s="563"/>
      <c r="E127" s="563"/>
      <c r="F127" s="563"/>
      <c r="G127" s="93">
        <f t="shared" ref="G127:R127" si="27">+G84-G103</f>
        <v>-98030373.580448791</v>
      </c>
      <c r="H127" s="93">
        <f t="shared" si="27"/>
        <v>-60970772.413054764</v>
      </c>
      <c r="I127" s="93">
        <f t="shared" si="27"/>
        <v>-33584754.357887954</v>
      </c>
      <c r="J127" s="93">
        <f t="shared" si="27"/>
        <v>-7164430.1455034912</v>
      </c>
      <c r="K127" s="93">
        <f t="shared" si="27"/>
        <v>-36997024.198286325</v>
      </c>
      <c r="L127" s="93">
        <f t="shared" si="27"/>
        <v>-14476943.338639647</v>
      </c>
      <c r="M127" s="93">
        <f t="shared" si="27"/>
        <v>45893689.622117758</v>
      </c>
      <c r="N127" s="93">
        <f t="shared" si="27"/>
        <v>21832487.364623666</v>
      </c>
      <c r="O127" s="93">
        <f t="shared" si="27"/>
        <v>10186739.966191918</v>
      </c>
      <c r="P127" s="93">
        <f t="shared" si="27"/>
        <v>-7659366.5953308344</v>
      </c>
      <c r="Q127" s="93">
        <f t="shared" si="27"/>
        <v>-7354786.6785252094</v>
      </c>
      <c r="R127" s="93">
        <f t="shared" si="27"/>
        <v>12996186.630360425</v>
      </c>
      <c r="S127" s="106">
        <f t="shared" si="20"/>
        <v>-175329347.72438326</v>
      </c>
      <c r="T127" s="471">
        <f t="shared" si="21"/>
        <v>-3.781420603985318</v>
      </c>
      <c r="U127" s="257"/>
    </row>
    <row r="128" spans="1:22" ht="13.5" thickBot="1">
      <c r="A128" s="117" t="str">
        <f t="shared" si="26"/>
        <v>1001p</v>
      </c>
      <c r="B128" s="564" t="str">
        <f>+VLOOKUP(LEFT($A128,LEN(A128)-1)*1,Master!$D$29:$G$225,4,FALSE)</f>
        <v>Primarni suficit/deficit</v>
      </c>
      <c r="C128" s="565"/>
      <c r="D128" s="565"/>
      <c r="E128" s="565"/>
      <c r="F128" s="565"/>
      <c r="G128" s="94">
        <f>+G127+G110</f>
        <v>-90141969.775848791</v>
      </c>
      <c r="H128" s="94">
        <f t="shared" ref="H128:R128" si="28">+H127+H110</f>
        <v>-59792015.259554766</v>
      </c>
      <c r="I128" s="94">
        <f t="shared" si="28"/>
        <v>-17986136.370887954</v>
      </c>
      <c r="J128" s="94">
        <f t="shared" si="28"/>
        <v>15323467.692896519</v>
      </c>
      <c r="K128" s="94">
        <f t="shared" si="28"/>
        <v>-30070525.863586321</v>
      </c>
      <c r="L128" s="94">
        <f t="shared" si="28"/>
        <v>-9104950.3057396468</v>
      </c>
      <c r="M128" s="94">
        <f t="shared" si="28"/>
        <v>53671236.123715304</v>
      </c>
      <c r="N128" s="94">
        <f t="shared" si="28"/>
        <v>22954994.523343865</v>
      </c>
      <c r="O128" s="94">
        <f t="shared" si="28"/>
        <v>11853079.287415188</v>
      </c>
      <c r="P128" s="94">
        <f t="shared" si="28"/>
        <v>6329343.0683972668</v>
      </c>
      <c r="Q128" s="94">
        <f t="shared" si="28"/>
        <v>-749337.24061140884</v>
      </c>
      <c r="R128" s="94">
        <f t="shared" si="28"/>
        <v>35458855.730360426</v>
      </c>
      <c r="S128" s="106">
        <f t="shared" si="20"/>
        <v>-62253958.390100293</v>
      </c>
      <c r="T128" s="471">
        <f t="shared" si="21"/>
        <v>-1.3426639863283505</v>
      </c>
    </row>
    <row r="129" spans="1:22">
      <c r="A129" s="117" t="str">
        <f t="shared" si="26"/>
        <v>46p</v>
      </c>
      <c r="B129" s="566" t="str">
        <f>+VLOOKUP(LEFT($A129,LEN(A129)-1)*1,Master!$D$29:$G$225,4,FALSE)</f>
        <v>Otplata dugova</v>
      </c>
      <c r="C129" s="567"/>
      <c r="D129" s="567"/>
      <c r="E129" s="567"/>
      <c r="F129" s="567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487">
        <f t="shared" ref="M129" si="30">+SUM(M130:M131)</f>
        <v>25758637.934741426</v>
      </c>
      <c r="N129" s="84">
        <f t="shared" si="29"/>
        <v>4876912.1279565003</v>
      </c>
      <c r="O129" s="84">
        <f t="shared" si="29"/>
        <v>13919038.292649165</v>
      </c>
      <c r="P129" s="84">
        <f t="shared" si="29"/>
        <v>7500624.1296504997</v>
      </c>
      <c r="Q129" s="84">
        <f t="shared" si="29"/>
        <v>7862765.5356677668</v>
      </c>
      <c r="R129" s="84">
        <f t="shared" si="29"/>
        <v>6755365.3266666662</v>
      </c>
      <c r="S129" s="104">
        <f t="shared" si="20"/>
        <v>435909894.17733198</v>
      </c>
      <c r="T129" s="472">
        <f t="shared" si="21"/>
        <v>9.4014988176105767</v>
      </c>
    </row>
    <row r="130" spans="1:22">
      <c r="A130" s="117" t="str">
        <f t="shared" si="26"/>
        <v>4611p</v>
      </c>
      <c r="B130" s="558" t="str">
        <f>+VLOOKUP(LEFT($A130,LEN(A130)-1)*1,Master!$D$29:$G$225,4,FALSE)</f>
        <v>Otplata hartija od vrijednosti i kredita rezidentima</v>
      </c>
      <c r="C130" s="559"/>
      <c r="D130" s="559"/>
      <c r="E130" s="559"/>
      <c r="F130" s="559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486">
        <v>294018.01</v>
      </c>
      <c r="N130" s="486">
        <v>1750047.75</v>
      </c>
      <c r="O130" s="486">
        <v>2421267.87</v>
      </c>
      <c r="P130" s="486">
        <v>3875503.62</v>
      </c>
      <c r="Q130" s="486">
        <v>3741551.76</v>
      </c>
      <c r="R130" s="486">
        <v>2536618.6</v>
      </c>
      <c r="S130" s="103">
        <f t="shared" si="20"/>
        <v>85893831.950000018</v>
      </c>
      <c r="T130" s="473">
        <f t="shared" si="21"/>
        <v>1.8525176195919428</v>
      </c>
    </row>
    <row r="131" spans="1:22" ht="13.5" thickBot="1">
      <c r="A131" s="117" t="str">
        <f t="shared" si="26"/>
        <v>4612p</v>
      </c>
      <c r="B131" s="560" t="str">
        <f>+VLOOKUP(LEFT($A131,LEN(A131)-1)*1,Master!$D$29:$G$225,4,FALSE)</f>
        <v>Otplata hartija od vrijednosti i kredita nerezidentima</v>
      </c>
      <c r="C131" s="561"/>
      <c r="D131" s="561"/>
      <c r="E131" s="561"/>
      <c r="F131" s="561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486">
        <v>25464619.924741425</v>
      </c>
      <c r="N131" s="486">
        <v>3126864.3779565003</v>
      </c>
      <c r="O131" s="486">
        <v>11497770.422649164</v>
      </c>
      <c r="P131" s="486">
        <v>3625120.5096505</v>
      </c>
      <c r="Q131" s="486">
        <v>4121213.775667767</v>
      </c>
      <c r="R131" s="486">
        <v>4218746.7266666656</v>
      </c>
      <c r="S131" s="103">
        <f t="shared" si="20"/>
        <v>350016062.22733206</v>
      </c>
      <c r="T131" s="473">
        <f t="shared" si="21"/>
        <v>7.5489811980186357</v>
      </c>
      <c r="V131" s="257"/>
    </row>
    <row r="132" spans="1:22" ht="13.5" thickBot="1">
      <c r="A132" s="117" t="str">
        <f t="shared" si="26"/>
        <v>4418p</v>
      </c>
      <c r="B132" s="554" t="str">
        <f>+VLOOKUP(LEFT($A132,LEN(A132)-1)*1,Master!$D$29:$G$225,4,FALSE)</f>
        <v>Izdaci za kupovinu hartija od vrijednosti</v>
      </c>
      <c r="C132" s="555"/>
      <c r="D132" s="555"/>
      <c r="E132" s="555"/>
      <c r="F132" s="555"/>
      <c r="G132" s="93">
        <v>523392</v>
      </c>
      <c r="H132" s="93">
        <v>13392</v>
      </c>
      <c r="I132" s="93">
        <v>0</v>
      </c>
      <c r="J132" s="93">
        <v>0</v>
      </c>
      <c r="K132" s="93">
        <v>0</v>
      </c>
      <c r="L132" s="93">
        <v>0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53216</v>
      </c>
      <c r="S132" s="450">
        <f t="shared" si="20"/>
        <v>590000</v>
      </c>
      <c r="T132" s="480">
        <f t="shared" si="21"/>
        <v>1.2724841478669716E-2</v>
      </c>
    </row>
    <row r="133" spans="1:22" ht="13.5" thickBot="1">
      <c r="A133" s="117" t="str">
        <f t="shared" si="26"/>
        <v>1002p</v>
      </c>
      <c r="B133" s="556" t="str">
        <f>+VLOOKUP(LEFT($A133,LEN(A133)-1)*1,Master!$D$29:$G$225,4,FALSE)</f>
        <v>Nedostajuća sredstva</v>
      </c>
      <c r="C133" s="557"/>
      <c r="D133" s="557"/>
      <c r="E133" s="557"/>
      <c r="F133" s="557"/>
      <c r="G133" s="77">
        <f t="shared" ref="G133:R133" si="31">+G127-G129-G132</f>
        <v>-115669268.58044879</v>
      </c>
      <c r="H133" s="77">
        <f t="shared" si="31"/>
        <v>-77091597.413054764</v>
      </c>
      <c r="I133" s="77">
        <f t="shared" si="31"/>
        <v>-300773198.35788798</v>
      </c>
      <c r="J133" s="77">
        <f t="shared" si="31"/>
        <v>-40075149.005503491</v>
      </c>
      <c r="K133" s="77">
        <f t="shared" si="31"/>
        <v>-53451455.028286323</v>
      </c>
      <c r="L133" s="77">
        <f t="shared" si="31"/>
        <v>-33936964.478639647</v>
      </c>
      <c r="M133" s="77">
        <f t="shared" si="31"/>
        <v>20135051.687376332</v>
      </c>
      <c r="N133" s="77">
        <f t="shared" si="31"/>
        <v>16955575.236667164</v>
      </c>
      <c r="O133" s="77">
        <f t="shared" si="31"/>
        <v>-3732298.3264572471</v>
      </c>
      <c r="P133" s="77">
        <f t="shared" si="31"/>
        <v>-15159990.724981334</v>
      </c>
      <c r="Q133" s="77">
        <f t="shared" si="31"/>
        <v>-15217552.214192975</v>
      </c>
      <c r="R133" s="77">
        <f t="shared" si="31"/>
        <v>6187605.3036937583</v>
      </c>
      <c r="S133" s="109">
        <f t="shared" si="20"/>
        <v>-611829241.90171516</v>
      </c>
      <c r="T133" s="475">
        <f t="shared" si="21"/>
        <v>-13.195644263074563</v>
      </c>
    </row>
    <row r="134" spans="1:22" ht="13.5" thickBot="1">
      <c r="A134" s="117" t="str">
        <f t="shared" si="26"/>
        <v>1003p</v>
      </c>
      <c r="B134" s="554" t="str">
        <f>+VLOOKUP(LEFT($A134,LEN(A134)-1)*1,Master!$D$29:$G$225,4,FALSE)</f>
        <v>Finansiranje</v>
      </c>
      <c r="C134" s="555"/>
      <c r="D134" s="555"/>
      <c r="E134" s="555"/>
      <c r="F134" s="555"/>
      <c r="G134" s="93">
        <f t="shared" ref="G134:R134" si="32">+SUM(G135:G138)</f>
        <v>115669268.58044879</v>
      </c>
      <c r="H134" s="93">
        <f t="shared" si="32"/>
        <v>77091597.413054764</v>
      </c>
      <c r="I134" s="93">
        <f t="shared" si="32"/>
        <v>300773198.35788798</v>
      </c>
      <c r="J134" s="93">
        <f t="shared" si="32"/>
        <v>40075149.005503491</v>
      </c>
      <c r="K134" s="93">
        <f t="shared" si="32"/>
        <v>53451455.028286323</v>
      </c>
      <c r="L134" s="93">
        <f t="shared" si="32"/>
        <v>33936964.478639647</v>
      </c>
      <c r="M134" s="93">
        <f t="shared" si="32"/>
        <v>-20135051.687376328</v>
      </c>
      <c r="N134" s="93">
        <f t="shared" si="32"/>
        <v>-16955575.236667164</v>
      </c>
      <c r="O134" s="93">
        <f t="shared" si="32"/>
        <v>3732298.3264572471</v>
      </c>
      <c r="P134" s="93">
        <f t="shared" si="32"/>
        <v>15159990.724981334</v>
      </c>
      <c r="Q134" s="93">
        <f t="shared" si="32"/>
        <v>15217552.214192975</v>
      </c>
      <c r="R134" s="93">
        <f t="shared" si="32"/>
        <v>-6187605.3036937565</v>
      </c>
      <c r="S134" s="110">
        <f t="shared" si="20"/>
        <v>611829241.90171516</v>
      </c>
      <c r="T134" s="476">
        <f t="shared" si="21"/>
        <v>13.195644263074563</v>
      </c>
    </row>
    <row r="135" spans="1:22">
      <c r="A135" s="117" t="str">
        <f t="shared" si="26"/>
        <v>7511p</v>
      </c>
      <c r="B135" s="558" t="str">
        <f>+VLOOKUP(LEFT($A135,LEN(A135)-1)*1,Master!$D$29:$G$225,4,FALSE)</f>
        <v>Pozajmice i krediti od domaćih izvora</v>
      </c>
      <c r="C135" s="559"/>
      <c r="D135" s="559"/>
      <c r="E135" s="559"/>
      <c r="F135" s="559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2">
      <c r="A136" s="117" t="str">
        <f t="shared" si="26"/>
        <v>7512p</v>
      </c>
      <c r="B136" s="560" t="str">
        <f>+VLOOKUP(LEFT($A136,LEN(A136)-1)*1,Master!$D$29:$G$225,4,FALSE)</f>
        <v>Pozajmice i krediti od inostranih izvora</v>
      </c>
      <c r="C136" s="561"/>
      <c r="D136" s="561"/>
      <c r="E136" s="561"/>
      <c r="F136" s="561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18900000</v>
      </c>
      <c r="N136" s="96">
        <v>18900000</v>
      </c>
      <c r="O136" s="96">
        <v>18900000</v>
      </c>
      <c r="P136" s="96">
        <v>18900000</v>
      </c>
      <c r="Q136" s="96">
        <v>18900000</v>
      </c>
      <c r="R136" s="96">
        <v>18900000</v>
      </c>
      <c r="S136" s="103">
        <f t="shared" si="20"/>
        <v>165000000</v>
      </c>
      <c r="T136" s="473">
        <f t="shared" si="21"/>
        <v>3.5586421084415303</v>
      </c>
    </row>
    <row r="137" spans="1:22">
      <c r="A137" s="117" t="str">
        <f t="shared" si="26"/>
        <v>72p</v>
      </c>
      <c r="B137" s="560" t="str">
        <f>+VLOOKUP(LEFT($A137,LEN(A137)-1)*1,Master!$D$29:$G$225,4,FALSE)</f>
        <v>Primici od prodaje imovine</v>
      </c>
      <c r="C137" s="561"/>
      <c r="D137" s="561"/>
      <c r="E137" s="561"/>
      <c r="F137" s="561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866202.91500000004</v>
      </c>
      <c r="N137" s="96">
        <v>866202.91500000004</v>
      </c>
      <c r="O137" s="96">
        <v>866202.91500000004</v>
      </c>
      <c r="P137" s="96">
        <v>866202.91500000004</v>
      </c>
      <c r="Q137" s="96">
        <v>866202.91500000004</v>
      </c>
      <c r="R137" s="96">
        <v>866202.91500000004</v>
      </c>
      <c r="S137" s="103">
        <f t="shared" si="20"/>
        <v>6000000</v>
      </c>
      <c r="T137" s="473">
        <f t="shared" si="21"/>
        <v>0.12940516757969203</v>
      </c>
    </row>
    <row r="138" spans="1:22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3">-G133-SUM(G135:G137)</f>
        <v>108606486.07044879</v>
      </c>
      <c r="H138" s="97">
        <f t="shared" si="33"/>
        <v>76861597.413054764</v>
      </c>
      <c r="I138" s="97">
        <f t="shared" si="33"/>
        <v>300303198.35788798</v>
      </c>
      <c r="J138" s="97">
        <f t="shared" si="33"/>
        <v>30035149.005503491</v>
      </c>
      <c r="K138" s="97">
        <f t="shared" si="33"/>
        <v>52151455.028286323</v>
      </c>
      <c r="L138" s="97">
        <f t="shared" si="33"/>
        <v>636964.47863964736</v>
      </c>
      <c r="M138" s="97">
        <f t="shared" si="33"/>
        <v>-39901254.602376327</v>
      </c>
      <c r="N138" s="97">
        <f t="shared" si="33"/>
        <v>-36721778.151667163</v>
      </c>
      <c r="O138" s="97">
        <f t="shared" si="33"/>
        <v>-16033904.588542752</v>
      </c>
      <c r="P138" s="97">
        <f t="shared" si="33"/>
        <v>-4606212.190018665</v>
      </c>
      <c r="Q138" s="97">
        <f t="shared" si="33"/>
        <v>-4548650.7008070238</v>
      </c>
      <c r="R138" s="97">
        <f t="shared" si="33"/>
        <v>-25953808.218693756</v>
      </c>
      <c r="S138" s="105">
        <f t="shared" si="20"/>
        <v>440829241.90171522</v>
      </c>
      <c r="T138" s="477">
        <f t="shared" si="21"/>
        <v>9.5075969870533399</v>
      </c>
    </row>
    <row r="141" spans="1:22">
      <c r="P141" s="311"/>
    </row>
    <row r="142" spans="1:22">
      <c r="N142" s="311"/>
    </row>
    <row r="144" spans="1:22">
      <c r="S144" s="488"/>
    </row>
    <row r="145" spans="19:19">
      <c r="S145" s="311"/>
    </row>
    <row r="146" spans="19:19">
      <c r="S146" s="311"/>
    </row>
  </sheetData>
  <sheetProtection algorithmName="SHA-512" hashValue="bqs+S87qalcZN+70jS0NV29+/f7UbaMZd4Kac86ERMvUilEMGmfsl6FKdIJI/K2MRxBZRXG11S42vTZN90V+zg==" saltValue="QaSNpPxzqviMrH4Qp+ta8w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5984" footer="0.31496062992125984"/>
  <pageSetup paperSize="9" scale="3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7"/>
  <sheetViews>
    <sheetView topLeftCell="J1" zoomScaleNormal="100" workbookViewId="0">
      <pane ySplit="1" topLeftCell="A44" activePane="bottomLeft" state="frozen"/>
      <selection pane="bottomLeft" activeCell="Q53" sqref="Q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607" t="str">
        <f>+Master!G251</f>
        <v>Ostvarenje budžeta</v>
      </c>
      <c r="C7" s="507"/>
      <c r="D7" s="507"/>
      <c r="E7" s="507"/>
      <c r="F7" s="507"/>
      <c r="G7" s="515">
        <v>2020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tr">
        <f>+Master!G248</f>
        <v>BDP</v>
      </c>
      <c r="T7" s="236">
        <v>4185600000</v>
      </c>
    </row>
    <row r="8" spans="1:20" ht="16.5" customHeight="1">
      <c r="A8" s="144"/>
      <c r="B8" s="508"/>
      <c r="C8" s="509"/>
      <c r="D8" s="509"/>
      <c r="E8" s="509"/>
      <c r="F8" s="510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515" t="str">
        <f>+Master!G246</f>
        <v>Jan - Dec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48" t="str">
        <f>+VLOOKUP($A10,Master!$D$29:$G$225,4,FALSE)</f>
        <v>Prihodi budžeta</v>
      </c>
      <c r="C10" s="549"/>
      <c r="D10" s="549"/>
      <c r="E10" s="549"/>
      <c r="F10" s="549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5">
        <f>+S10/$T$7*100</f>
        <v>39.146813852016443</v>
      </c>
    </row>
    <row r="11" spans="1:20">
      <c r="A11" s="150">
        <v>711</v>
      </c>
      <c r="B11" s="550" t="str">
        <f>+VLOOKUP($A11,Master!$D$29:$G$225,4,FALSE)</f>
        <v>Porezi</v>
      </c>
      <c r="C11" s="551"/>
      <c r="D11" s="551"/>
      <c r="E11" s="551"/>
      <c r="F11" s="551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23.081609190558101</v>
      </c>
    </row>
    <row r="12" spans="1:20">
      <c r="A12" s="150">
        <v>7111</v>
      </c>
      <c r="B12" s="536" t="str">
        <f>+VLOOKUP($A12,Master!$D$29:$G$225,4,FALSE)</f>
        <v>Porez na dohodak fizičkih lica</v>
      </c>
      <c r="C12" s="537"/>
      <c r="D12" s="537"/>
      <c r="E12" s="537"/>
      <c r="F12" s="537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2.827361163990826</v>
      </c>
    </row>
    <row r="13" spans="1:20">
      <c r="A13" s="150">
        <v>7112</v>
      </c>
      <c r="B13" s="536" t="str">
        <f>+VLOOKUP($A13,Master!$D$29:$G$225,4,FALSE)</f>
        <v>Porez na dobit pravnih lica</v>
      </c>
      <c r="C13" s="537"/>
      <c r="D13" s="537"/>
      <c r="E13" s="537"/>
      <c r="F13" s="537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1.8736944908734712</v>
      </c>
    </row>
    <row r="14" spans="1:20">
      <c r="A14" s="150">
        <v>7113</v>
      </c>
      <c r="B14" s="536" t="str">
        <f>+VLOOKUP($A14,Master!$D$29:$G$225,4,FALSE)</f>
        <v>Porez na promet nepokretnosti</v>
      </c>
      <c r="C14" s="537"/>
      <c r="D14" s="537"/>
      <c r="E14" s="537"/>
      <c r="F14" s="537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3.6875256116207955E-2</v>
      </c>
    </row>
    <row r="15" spans="1:20">
      <c r="A15" s="150">
        <v>7114</v>
      </c>
      <c r="B15" s="536" t="str">
        <f>+VLOOKUP($A15,Master!$D$29:$G$225,4,FALSE)</f>
        <v>Porez na dodatu vrijednost</v>
      </c>
      <c r="C15" s="537"/>
      <c r="D15" s="537"/>
      <c r="E15" s="537"/>
      <c r="F15" s="537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12.657215500525613</v>
      </c>
    </row>
    <row r="16" spans="1:20">
      <c r="A16" s="150">
        <v>7115</v>
      </c>
      <c r="B16" s="536" t="str">
        <f>+VLOOKUP($A16,Master!$D$29:$G$225,4,FALSE)</f>
        <v>Akcize</v>
      </c>
      <c r="C16" s="537"/>
      <c r="D16" s="537"/>
      <c r="E16" s="537"/>
      <c r="F16" s="537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4.9071243733276004</v>
      </c>
    </row>
    <row r="17" spans="1:25">
      <c r="A17" s="150">
        <v>7116</v>
      </c>
      <c r="B17" s="536" t="str">
        <f>+VLOOKUP($A17,Master!$D$29:$G$225,4,FALSE)</f>
        <v>Porez na međunarodnu trgovinu i transakcije</v>
      </c>
      <c r="C17" s="537"/>
      <c r="D17" s="537"/>
      <c r="E17" s="537"/>
      <c r="F17" s="537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0.5408522474675076</v>
      </c>
    </row>
    <row r="18" spans="1:25">
      <c r="A18" s="150">
        <v>7118</v>
      </c>
      <c r="B18" s="536" t="str">
        <f>+VLOOKUP($A18,Master!$D$29:$G$225,4,FALSE)</f>
        <v>Ostali državni porezi</v>
      </c>
      <c r="C18" s="537"/>
      <c r="D18" s="537"/>
      <c r="E18" s="537"/>
      <c r="F18" s="537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0.23848615825688071</v>
      </c>
    </row>
    <row r="19" spans="1:25">
      <c r="A19" s="150">
        <v>712</v>
      </c>
      <c r="B19" s="546" t="str">
        <f>+VLOOKUP($A19,Master!$D$29:$G$225,4,FALSE)</f>
        <v>Doprinosi</v>
      </c>
      <c r="C19" s="547"/>
      <c r="D19" s="547"/>
      <c r="E19" s="547"/>
      <c r="F19" s="547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12.686844691083715</v>
      </c>
    </row>
    <row r="20" spans="1:25">
      <c r="A20" s="150">
        <v>7121</v>
      </c>
      <c r="B20" s="536" t="str">
        <f>+VLOOKUP($A20,Master!$D$29:$G$225,4,FALSE)</f>
        <v>Doprinosi za penzijsko i invalidsko osiguranje</v>
      </c>
      <c r="C20" s="537"/>
      <c r="D20" s="537"/>
      <c r="E20" s="537"/>
      <c r="F20" s="537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7.9034619619648323</v>
      </c>
    </row>
    <row r="21" spans="1:25">
      <c r="A21" s="150">
        <v>7122</v>
      </c>
      <c r="B21" s="536" t="str">
        <f>+VLOOKUP($A21,Master!$D$29:$G$225,4,FALSE)</f>
        <v>Doprinosi za zdravstveno osiguranje</v>
      </c>
      <c r="C21" s="537"/>
      <c r="D21" s="537"/>
      <c r="E21" s="537"/>
      <c r="F21" s="537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4.0988543831230881</v>
      </c>
    </row>
    <row r="22" spans="1:25">
      <c r="A22" s="150">
        <v>7123</v>
      </c>
      <c r="B22" s="536" t="str">
        <f>+VLOOKUP($A22,Master!$D$29:$G$225,4,FALSE)</f>
        <v>Doprinosi za osiguranje od nezaposlenosti</v>
      </c>
      <c r="C22" s="537"/>
      <c r="D22" s="537"/>
      <c r="E22" s="537"/>
      <c r="F22" s="537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0.3683970890672783</v>
      </c>
    </row>
    <row r="23" spans="1:25">
      <c r="A23" s="150">
        <v>7124</v>
      </c>
      <c r="B23" s="536" t="str">
        <f>+VLOOKUP($A23,Master!$D$29:$G$225,4,FALSE)</f>
        <v>Ostali doprinosi</v>
      </c>
      <c r="C23" s="537"/>
      <c r="D23" s="537"/>
      <c r="E23" s="537"/>
      <c r="F23" s="537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0.31613125692851679</v>
      </c>
      <c r="Y23" s="305"/>
    </row>
    <row r="24" spans="1:25">
      <c r="A24" s="150">
        <v>713</v>
      </c>
      <c r="B24" s="538" t="str">
        <f>+VLOOKUP($A24,Master!$D$29:$G$225,4,FALSE)</f>
        <v>Takse</v>
      </c>
      <c r="C24" s="539"/>
      <c r="D24" s="539"/>
      <c r="E24" s="539"/>
      <c r="F24" s="539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0.25411990754013764</v>
      </c>
      <c r="Y24" s="305"/>
    </row>
    <row r="25" spans="1:25">
      <c r="A25" s="150">
        <v>714</v>
      </c>
      <c r="B25" s="538" t="str">
        <f>+VLOOKUP($A25,Master!$D$29:$G$225,4,FALSE)</f>
        <v>Naknade</v>
      </c>
      <c r="C25" s="539"/>
      <c r="D25" s="539"/>
      <c r="E25" s="539"/>
      <c r="F25" s="539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0.66463075926987769</v>
      </c>
      <c r="W25" s="292"/>
    </row>
    <row r="26" spans="1:25">
      <c r="A26" s="150">
        <v>715</v>
      </c>
      <c r="B26" s="538" t="str">
        <f>+VLOOKUP($A26,Master!$D$29:$G$225,4,FALSE)</f>
        <v>Ostali prihodi</v>
      </c>
      <c r="C26" s="539"/>
      <c r="D26" s="539"/>
      <c r="E26" s="539"/>
      <c r="F26" s="539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8">
        <f t="shared" si="4"/>
        <v>0.89869098313264495</v>
      </c>
      <c r="W26" s="311"/>
    </row>
    <row r="27" spans="1:25">
      <c r="A27" s="150">
        <v>73</v>
      </c>
      <c r="B27" s="538" t="str">
        <f>+VLOOKUP($A27,Master!$D$29:$G$225,4,FALSE)</f>
        <v>Primici od otplate kredita i sredstva prenesena iz prethodne godine</v>
      </c>
      <c r="C27" s="539"/>
      <c r="D27" s="539"/>
      <c r="E27" s="539"/>
      <c r="F27" s="539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8">
        <f t="shared" si="4"/>
        <v>0.17715297090022936</v>
      </c>
    </row>
    <row r="28" spans="1:25" ht="13.5" thickBot="1">
      <c r="A28" s="150">
        <v>74</v>
      </c>
      <c r="B28" s="540" t="str">
        <f>+VLOOKUP($A28,Master!$D$29:$G$225,4,FALSE)</f>
        <v>Donacije i transferi</v>
      </c>
      <c r="C28" s="541"/>
      <c r="D28" s="541"/>
      <c r="E28" s="541"/>
      <c r="F28" s="541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9">
        <f t="shared" si="4"/>
        <v>1.3837653495317279</v>
      </c>
    </row>
    <row r="29" spans="1:25" ht="13.5" thickBot="1">
      <c r="A29" s="150">
        <v>4</v>
      </c>
      <c r="B29" s="526" t="str">
        <f>+VLOOKUP($A29,Master!$D$29:$G$225,4,FALSE)</f>
        <v>Izdaci budžeta</v>
      </c>
      <c r="C29" s="527"/>
      <c r="D29" s="527"/>
      <c r="E29" s="527"/>
      <c r="F29" s="527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40">
        <f t="shared" si="4"/>
        <v>49.328204113627663</v>
      </c>
    </row>
    <row r="30" spans="1:25">
      <c r="A30" s="150">
        <v>41</v>
      </c>
      <c r="B30" s="544" t="str">
        <f>+VLOOKUP($A30,Master!$D$29:$G$225,4,FALSE)</f>
        <v>Tekući izdaci</v>
      </c>
      <c r="C30" s="545"/>
      <c r="D30" s="545"/>
      <c r="E30" s="545"/>
      <c r="F30" s="545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5">
        <f t="shared" si="3"/>
        <v>858015865.80999994</v>
      </c>
      <c r="T30" s="436">
        <f t="shared" si="4"/>
        <v>20.499232268014143</v>
      </c>
    </row>
    <row r="31" spans="1:25">
      <c r="A31" s="150">
        <v>411</v>
      </c>
      <c r="B31" s="536" t="str">
        <f>+VLOOKUP($A31,Master!$D$29:$G$225,4,FALSE)</f>
        <v>Bruto zarade i doprinosi na teret poslodavca</v>
      </c>
      <c r="C31" s="537"/>
      <c r="D31" s="537"/>
      <c r="E31" s="537"/>
      <c r="F31" s="537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7">
        <f t="shared" si="4"/>
        <v>11.92533854405581</v>
      </c>
    </row>
    <row r="32" spans="1:25">
      <c r="A32" s="150">
        <v>412</v>
      </c>
      <c r="B32" s="536" t="str">
        <f>+VLOOKUP($A32,Master!$D$29:$G$225,4,FALSE)</f>
        <v>Ostala lična primanja</v>
      </c>
      <c r="C32" s="537"/>
      <c r="D32" s="537"/>
      <c r="E32" s="537"/>
      <c r="F32" s="537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0.30866892512423549</v>
      </c>
    </row>
    <row r="33" spans="1:23">
      <c r="A33" s="150">
        <v>413</v>
      </c>
      <c r="B33" s="536" t="str">
        <f>+VLOOKUP($A33,Master!$D$29:$G$225,4,FALSE)</f>
        <v>Rashodi za materijal</v>
      </c>
      <c r="C33" s="537"/>
      <c r="D33" s="537"/>
      <c r="E33" s="537"/>
      <c r="F33" s="537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7">
        <f t="shared" si="4"/>
        <v>0.95395377293577988</v>
      </c>
      <c r="V33" s="291"/>
    </row>
    <row r="34" spans="1:23" s="362" customFormat="1">
      <c r="A34" s="361">
        <v>414</v>
      </c>
      <c r="B34" s="605" t="str">
        <f>+VLOOKUP($A34,Master!$D$29:$G$225,4,FALSE)</f>
        <v>Rashodi za usluge</v>
      </c>
      <c r="C34" s="606"/>
      <c r="D34" s="606"/>
      <c r="E34" s="606"/>
      <c r="F34" s="606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7">
        <f t="shared" si="4"/>
        <v>1.7738425862480884</v>
      </c>
      <c r="U34" s="258"/>
    </row>
    <row r="35" spans="1:23">
      <c r="A35" s="150">
        <v>415</v>
      </c>
      <c r="B35" s="536" t="str">
        <f>+VLOOKUP($A35,Master!$D$29:$G$225,4,FALSE)</f>
        <v>Rashodi za tekuće održavanje</v>
      </c>
      <c r="C35" s="537"/>
      <c r="D35" s="537"/>
      <c r="E35" s="537"/>
      <c r="F35" s="537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0.58208342388188083</v>
      </c>
    </row>
    <row r="36" spans="1:23">
      <c r="A36" s="150">
        <v>416</v>
      </c>
      <c r="B36" s="536" t="str">
        <f>+VLOOKUP($A36,Master!$D$29:$G$225,4,FALSE)</f>
        <v>Kamate</v>
      </c>
      <c r="C36" s="537"/>
      <c r="D36" s="537"/>
      <c r="E36" s="537"/>
      <c r="F36" s="537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7">
        <f t="shared" si="4"/>
        <v>2.6545515183008415</v>
      </c>
    </row>
    <row r="37" spans="1:23">
      <c r="A37" s="150">
        <v>417</v>
      </c>
      <c r="B37" s="536" t="str">
        <f>+VLOOKUP($A37,Master!$D$29:$G$225,4,FALSE)</f>
        <v>Renta</v>
      </c>
      <c r="C37" s="537"/>
      <c r="D37" s="537"/>
      <c r="E37" s="537"/>
      <c r="F37" s="537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0.27163620030581043</v>
      </c>
    </row>
    <row r="38" spans="1:23">
      <c r="A38" s="150">
        <v>418</v>
      </c>
      <c r="B38" s="536" t="str">
        <f>+VLOOKUP($A38,Master!$D$29:$G$225,4,FALSE)</f>
        <v>Subvencije</v>
      </c>
      <c r="C38" s="537"/>
      <c r="D38" s="537"/>
      <c r="E38" s="537"/>
      <c r="F38" s="537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0.86783859709480116</v>
      </c>
    </row>
    <row r="39" spans="1:23" s="362" customFormat="1">
      <c r="A39" s="361">
        <v>419</v>
      </c>
      <c r="B39" s="605" t="str">
        <f>+VLOOKUP($A39,Master!$D$29:$G$225,4,FALSE)</f>
        <v>Ostali izdaci</v>
      </c>
      <c r="C39" s="606"/>
      <c r="D39" s="606"/>
      <c r="E39" s="606"/>
      <c r="F39" s="606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7">
        <f t="shared" si="4"/>
        <v>1.1613187000668961</v>
      </c>
      <c r="U39" s="258"/>
    </row>
    <row r="40" spans="1:23">
      <c r="A40" s="150">
        <v>42</v>
      </c>
      <c r="B40" s="532" t="str">
        <f>+VLOOKUP($A40,Master!$D$29:$G$225,4,FALSE)</f>
        <v>Transferi za socijalnu zaštitu</v>
      </c>
      <c r="C40" s="533"/>
      <c r="D40" s="533"/>
      <c r="E40" s="533"/>
      <c r="F40" s="533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13.347643551701072</v>
      </c>
      <c r="U40" s="242"/>
      <c r="W40" s="309"/>
    </row>
    <row r="41" spans="1:23">
      <c r="A41" s="150">
        <v>421</v>
      </c>
      <c r="B41" s="536" t="str">
        <f>+VLOOKUP($A41,Master!$D$29:$G$225,4,FALSE)</f>
        <v>Prava iz oblasti socijalne zaštite</v>
      </c>
      <c r="C41" s="537"/>
      <c r="D41" s="537"/>
      <c r="E41" s="537"/>
      <c r="F41" s="537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1.9227658534021408</v>
      </c>
      <c r="U41" s="242"/>
    </row>
    <row r="42" spans="1:23">
      <c r="A42" s="150">
        <v>422</v>
      </c>
      <c r="B42" s="536" t="str">
        <f>+VLOOKUP($A42,Master!$D$29:$G$225,4,FALSE)</f>
        <v>Sredstva za tehnološke viškove</v>
      </c>
      <c r="C42" s="537"/>
      <c r="D42" s="537"/>
      <c r="E42" s="537"/>
      <c r="F42" s="537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0.48018163704128441</v>
      </c>
      <c r="U42" s="242"/>
    </row>
    <row r="43" spans="1:23">
      <c r="A43" s="150">
        <v>423</v>
      </c>
      <c r="B43" s="536" t="str">
        <f>+VLOOKUP($A43,Master!$D$29:$G$225,4,FALSE)</f>
        <v>Prava iz oblasti penzijskog i invalidskog osiguranja</v>
      </c>
      <c r="C43" s="537"/>
      <c r="D43" s="537"/>
      <c r="E43" s="537"/>
      <c r="F43" s="537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10.22724545775994</v>
      </c>
      <c r="U43" s="242"/>
    </row>
    <row r="44" spans="1:23">
      <c r="A44" s="150">
        <v>424</v>
      </c>
      <c r="B44" s="536" t="str">
        <f>+VLOOKUP($A44,Master!$D$29:$G$225,4,FALSE)</f>
        <v>Ostala prava iz oblasti zdravstvene zaštite</v>
      </c>
      <c r="C44" s="537"/>
      <c r="D44" s="537"/>
      <c r="E44" s="537"/>
      <c r="F44" s="537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0.48311802370030571</v>
      </c>
      <c r="U44" s="242"/>
    </row>
    <row r="45" spans="1:23" s="362" customFormat="1">
      <c r="A45" s="361">
        <v>425</v>
      </c>
      <c r="B45" s="601" t="str">
        <f>+VLOOKUP($A45,Master!$D$29:$G$225,4,FALSE)</f>
        <v>Ostala prava iz zdravstvenog osiguranja</v>
      </c>
      <c r="C45" s="602"/>
      <c r="D45" s="602"/>
      <c r="E45" s="602"/>
      <c r="F45" s="602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0.23433257979740058</v>
      </c>
      <c r="U45" s="242"/>
    </row>
    <row r="46" spans="1:23">
      <c r="A46" s="150">
        <v>43</v>
      </c>
      <c r="B46" s="534" t="str">
        <f>+VLOOKUP($A46,Master!$D$29:$G$225,4,FALSE)</f>
        <v xml:space="preserve">Transferi institucijama, pojedincima, nevladinom i javnom sektoru </v>
      </c>
      <c r="C46" s="535"/>
      <c r="D46" s="535"/>
      <c r="E46" s="535"/>
      <c r="F46" s="535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8">
        <f t="shared" si="4"/>
        <v>6.7194405222668205</v>
      </c>
      <c r="U46" s="242"/>
    </row>
    <row r="47" spans="1:23">
      <c r="A47" s="150">
        <v>44</v>
      </c>
      <c r="B47" s="534" t="str">
        <f>+VLOOKUP($A47,Master!$D$29:$G$225,4,FALSE)</f>
        <v>Kapitalni izdaci</v>
      </c>
      <c r="C47" s="535"/>
      <c r="D47" s="535"/>
      <c r="E47" s="535"/>
      <c r="F47" s="535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8">
        <f t="shared" si="4"/>
        <v>5.4935233579415135</v>
      </c>
      <c r="U47" s="242"/>
    </row>
    <row r="48" spans="1:23">
      <c r="A48" s="150">
        <v>451</v>
      </c>
      <c r="B48" s="603" t="str">
        <f>+VLOOKUP($A48,Master!$D$29:$G$225,4,FALSE)</f>
        <v>Pozajmice i krediti</v>
      </c>
      <c r="C48" s="604"/>
      <c r="D48" s="604"/>
      <c r="E48" s="604"/>
      <c r="F48" s="604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3.8500262805810398E-2</v>
      </c>
      <c r="U48" s="242"/>
    </row>
    <row r="49" spans="1:22" s="362" customFormat="1">
      <c r="A49" s="361">
        <v>47</v>
      </c>
      <c r="B49" s="595" t="str">
        <f>+VLOOKUP($A49,Master!$D$29:$G$225,4,FALSE)</f>
        <v>Rezerve</v>
      </c>
      <c r="C49" s="596"/>
      <c r="D49" s="596"/>
      <c r="E49" s="596"/>
      <c r="F49" s="596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2.7812908352446479</v>
      </c>
      <c r="U49" s="242"/>
    </row>
    <row r="50" spans="1:22" ht="13.5" thickBot="1">
      <c r="A50" s="150">
        <v>462</v>
      </c>
      <c r="B50" s="522" t="str">
        <f>+VLOOKUP($A50,Master!$D$29:$G$225,4,FALSE)</f>
        <v>Otplata garancija</v>
      </c>
      <c r="C50" s="523"/>
      <c r="D50" s="523"/>
      <c r="E50" s="523"/>
      <c r="F50" s="523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3.5" thickBot="1">
      <c r="A51" s="144">
        <v>4630</v>
      </c>
      <c r="B51" s="597" t="str">
        <f>+VLOOKUP($A51,Master!$D$29:$G$225,4,TRUE)</f>
        <v>Otplata obaveza iz prethodnog perioda</v>
      </c>
      <c r="C51" s="598"/>
      <c r="D51" s="598"/>
      <c r="E51" s="598"/>
      <c r="F51" s="598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0.44857331565366981</v>
      </c>
      <c r="U51" s="242"/>
    </row>
    <row r="52" spans="1:22" ht="13.5" thickBot="1">
      <c r="A52" s="70">
        <v>1005</v>
      </c>
      <c r="B52" s="599" t="str">
        <f>+VLOOKUP($A52,Master!$D$29:$G$227,4,FALSE)</f>
        <v>Neto povećanje obaveza</v>
      </c>
      <c r="C52" s="600"/>
      <c r="D52" s="600"/>
      <c r="E52" s="600"/>
      <c r="F52" s="600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3.5" thickBot="1">
      <c r="A53" s="144">
        <v>1000</v>
      </c>
      <c r="B53" s="528" t="str">
        <f>+VLOOKUP($A53,Master!$D$29:$G$225,4,FALSE)</f>
        <v>Suficit / deficit</v>
      </c>
      <c r="C53" s="529"/>
      <c r="D53" s="529"/>
      <c r="E53" s="529"/>
      <c r="F53" s="529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3">
        <f t="shared" si="4"/>
        <v>-10.181390261611241</v>
      </c>
    </row>
    <row r="54" spans="1:22" ht="13.5" thickBot="1">
      <c r="A54" s="144">
        <v>1001</v>
      </c>
      <c r="B54" s="530" t="str">
        <f>+VLOOKUP($A54,Master!$D$29:$G$225,4,FALSE)</f>
        <v>Primarni suficit/deficit</v>
      </c>
      <c r="C54" s="531"/>
      <c r="D54" s="531"/>
      <c r="E54" s="531"/>
      <c r="F54" s="531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3">
        <f t="shared" si="4"/>
        <v>-7.5268387433103978</v>
      </c>
    </row>
    <row r="55" spans="1:22">
      <c r="A55" s="144">
        <v>46</v>
      </c>
      <c r="B55" s="552" t="str">
        <f>+VLOOKUP($A55,Master!$D$29:$G$225,4,FALSE)</f>
        <v>Otplata dugova</v>
      </c>
      <c r="C55" s="553"/>
      <c r="D55" s="553"/>
      <c r="E55" s="553"/>
      <c r="F55" s="553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15.90801867426414</v>
      </c>
      <c r="V55" s="309"/>
    </row>
    <row r="56" spans="1:22">
      <c r="A56" s="144">
        <v>4611</v>
      </c>
      <c r="B56" s="520" t="str">
        <f>+VLOOKUP($A56,Master!$D$29:$G$225,4,FALSE)</f>
        <v>Otplata hartija od vrijednosti i kredita rezidentima</v>
      </c>
      <c r="C56" s="521"/>
      <c r="D56" s="521"/>
      <c r="E56" s="521"/>
      <c r="F56" s="521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5.8341507953459475</v>
      </c>
      <c r="V56" s="354"/>
    </row>
    <row r="57" spans="1:22" ht="13.5" thickBot="1">
      <c r="A57" s="144">
        <v>4612</v>
      </c>
      <c r="B57" s="504" t="str">
        <f>+VLOOKUP($A57,Master!$D$29:$G$225,4,FALSE)</f>
        <v>Otplata hartija od vrijednosti i kredita nerezidentima</v>
      </c>
      <c r="C57" s="505"/>
      <c r="D57" s="505"/>
      <c r="E57" s="505"/>
      <c r="F57" s="505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10.073867878918195</v>
      </c>
      <c r="V57" s="319"/>
    </row>
    <row r="58" spans="1:22" ht="13.5" thickBot="1">
      <c r="A58" s="144">
        <v>4418</v>
      </c>
      <c r="B58" s="542" t="str">
        <f>+VLOOKUP($A58,Master!$D$29:$G$225,4,FALSE)</f>
        <v>Izdaci za kupovinu hartija od vrijednosti</v>
      </c>
      <c r="C58" s="543"/>
      <c r="D58" s="543"/>
      <c r="E58" s="543"/>
      <c r="F58" s="543"/>
      <c r="G58" s="461">
        <f>+INDEX(DataEx!$1:$1048576,MATCH('2020'!$A58,DataEx!$D:$D,0),MATCH('2020'!G$6,DataEx!$7:$7,0))</f>
        <v>0</v>
      </c>
      <c r="H58" s="461">
        <f>+INDEX(DataEx!$1:$1048576,MATCH('2020'!$A58,DataEx!$D:$D,0),MATCH('2020'!H$6,DataEx!$7:$7,0))</f>
        <v>0</v>
      </c>
      <c r="I58" s="461">
        <f>+INDEX(DataEx!$1:$1048576,MATCH('2020'!$A58,DataEx!$D:$D,0),MATCH('2020'!I$6,DataEx!$7:$7,0))</f>
        <v>0</v>
      </c>
      <c r="J58" s="461">
        <f>+INDEX(DataEx!$1:$1048576,MATCH('2020'!$A58,DataEx!$D:$D,0),MATCH('2020'!J$6,DataEx!$7:$7,0))</f>
        <v>0</v>
      </c>
      <c r="K58" s="461">
        <f>+INDEX(DataEx!$1:$1048576,MATCH('2020'!$A58,DataEx!$D:$D,0),MATCH('2020'!K$6,DataEx!$7:$7,0))</f>
        <v>0</v>
      </c>
      <c r="L58" s="461">
        <f>+INDEX(DataEx!$1:$1048576,MATCH('2020'!$A58,DataEx!$D:$D,0),MATCH('2020'!L$6,DataEx!$7:$7,0))</f>
        <v>0</v>
      </c>
      <c r="M58" s="461">
        <f>+INDEX(DataEx!$1:$1048576,MATCH('2020'!$A58,DataEx!$D:$D,0),MATCH('2020'!M$6,DataEx!$7:$7,0))</f>
        <v>0</v>
      </c>
      <c r="N58" s="461">
        <f>+INDEX(DataEx!$1:$1048576,MATCH('2020'!$A58,DataEx!$D:$D,0),MATCH('2020'!N$6,DataEx!$7:$7,0))</f>
        <v>0</v>
      </c>
      <c r="O58" s="461">
        <f>+INDEX(DataEx!$1:$1048576,MATCH('2020'!$A58,DataEx!$D:$D,0),MATCH('2020'!O$6,DataEx!$7:$7,0))</f>
        <v>940769.61</v>
      </c>
      <c r="P58" s="461">
        <f>+INDEX(DataEx!$1:$1048576,MATCH('2020'!$A58,DataEx!$D:$D,0),MATCH('2020'!P$6,DataEx!$7:$7,0))</f>
        <v>0</v>
      </c>
      <c r="Q58" s="461">
        <f>+INDEX(DataEx!$1:$1048576,MATCH('2020'!$A58,DataEx!$D:$D,0),MATCH('2020'!Q$6,DataEx!$7:$7,0))</f>
        <v>0</v>
      </c>
      <c r="R58" s="462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2.2476338159403669E-2</v>
      </c>
      <c r="V58" s="319"/>
    </row>
    <row r="59" spans="1:22" ht="13.5" thickBot="1">
      <c r="A59" s="144">
        <v>1002</v>
      </c>
      <c r="B59" s="524" t="str">
        <f>+VLOOKUP($A59,Master!$D$29:$G$225,4,FALSE)</f>
        <v>Nedostajuća sredstva</v>
      </c>
      <c r="C59" s="525"/>
      <c r="D59" s="525"/>
      <c r="E59" s="525"/>
      <c r="F59" s="525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7">
        <f t="shared" si="4"/>
        <v>-26.111885274034783</v>
      </c>
    </row>
    <row r="60" spans="1:22" ht="13.5" thickBot="1">
      <c r="A60" s="144">
        <v>1003</v>
      </c>
      <c r="B60" s="526" t="str">
        <f>+VLOOKUP($A60,Master!$D$29:$G$225,4,FALSE)</f>
        <v>Finansiranje</v>
      </c>
      <c r="C60" s="527"/>
      <c r="D60" s="527"/>
      <c r="E60" s="527"/>
      <c r="F60" s="527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8">
        <f t="shared" si="4"/>
        <v>26.111885274034783</v>
      </c>
    </row>
    <row r="61" spans="1:22">
      <c r="A61" s="144">
        <v>7511</v>
      </c>
      <c r="B61" s="520" t="str">
        <f>+VLOOKUP($A61,Master!$D$29:$G$225,4,FALSE)</f>
        <v>Pozajmice i krediti od domaćih izvora</v>
      </c>
      <c r="C61" s="521"/>
      <c r="D61" s="521"/>
      <c r="E61" s="521"/>
      <c r="F61" s="521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4.0025816879300455</v>
      </c>
    </row>
    <row r="62" spans="1:22">
      <c r="A62" s="144">
        <v>7512</v>
      </c>
      <c r="B62" s="504" t="str">
        <f>+VLOOKUP($A62,Master!$D$29:$G$225,4,FALSE)</f>
        <v>Pozajmice i krediti od inostranih izvora</v>
      </c>
      <c r="C62" s="505"/>
      <c r="D62" s="505"/>
      <c r="E62" s="505"/>
      <c r="F62" s="505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28.329148839353973</v>
      </c>
    </row>
    <row r="63" spans="1:22">
      <c r="A63" s="144">
        <v>72</v>
      </c>
      <c r="B63" s="504" t="str">
        <f>+VLOOKUP($A63,Master!$D$29:$G$225,4,FALSE)</f>
        <v>Primici od prodaje imovine</v>
      </c>
      <c r="C63" s="505"/>
      <c r="D63" s="505"/>
      <c r="E63" s="505"/>
      <c r="F63" s="505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0.20420611047400611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9">
        <f t="shared" si="4"/>
        <v>-6.4240513637232448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84" t="str">
        <f>+Master!G252</f>
        <v>Plan ostvarenja budžeta</v>
      </c>
      <c r="C100" s="585"/>
      <c r="D100" s="585"/>
      <c r="E100" s="585"/>
      <c r="F100" s="585"/>
      <c r="G100" s="592">
        <v>2020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v>4607300000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tr">
        <f>+Master!G246</f>
        <v>Jan - Dec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80" t="str">
        <f>+VLOOKUP(LEFT($A103,LEN(A103)-1)*1,Master!$D$29:$G$225,4,FALSE)</f>
        <v>Prihodi budžeta</v>
      </c>
      <c r="C103" s="581"/>
      <c r="D103" s="581"/>
      <c r="E103" s="581"/>
      <c r="F103" s="581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82" t="str">
        <f>+VLOOKUP(LEFT($A104,LEN(A104)-1)*1,Master!$D$29:$G$225,4,FALSE)</f>
        <v>Porezi</v>
      </c>
      <c r="C104" s="583"/>
      <c r="D104" s="583"/>
      <c r="E104" s="583"/>
      <c r="F104" s="583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70" t="str">
        <f>+VLOOKUP(LEFT($A105,LEN(A105)-1)*1,Master!$D$29:$G$228,4,FALSE)</f>
        <v>Porez na dohodak fizičkih lica</v>
      </c>
      <c r="C105" s="571"/>
      <c r="D105" s="571"/>
      <c r="E105" s="571"/>
      <c r="F105" s="571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70" t="str">
        <f>+VLOOKUP(LEFT($A106,LEN(A106)-1)*1,Master!$D$29:$G$228,4,FALSE)</f>
        <v>Porez na dobit pravnih lica</v>
      </c>
      <c r="C106" s="571"/>
      <c r="D106" s="571"/>
      <c r="E106" s="571"/>
      <c r="F106" s="571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70" t="str">
        <f>+VLOOKUP(LEFT($A107,LEN(A107)-1)*1,Master!$D$29:$G$228,4,FALSE)</f>
        <v>Porez na promet nepokretnosti</v>
      </c>
      <c r="C107" s="571"/>
      <c r="D107" s="571"/>
      <c r="E107" s="571"/>
      <c r="F107" s="571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70" t="str">
        <f>+VLOOKUP(LEFT($A108,LEN(A108)-1)*1,Master!$D$29:$G$228,4,FALSE)</f>
        <v>Porez na dodatu vrijednost</v>
      </c>
      <c r="C108" s="571"/>
      <c r="D108" s="571"/>
      <c r="E108" s="571"/>
      <c r="F108" s="571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70" t="str">
        <f>+VLOOKUP(LEFT($A109,LEN(A109)-1)*1,Master!$D$29:$G$228,4,FALSE)</f>
        <v>Akcize</v>
      </c>
      <c r="C109" s="571"/>
      <c r="D109" s="571"/>
      <c r="E109" s="571"/>
      <c r="F109" s="571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70" t="str">
        <f>+VLOOKUP(LEFT($A110,LEN(A110)-1)*1,Master!$D$29:$G$228,4,FALSE)</f>
        <v>Porez na međunarodnu trgovinu i transakcije</v>
      </c>
      <c r="C110" s="571"/>
      <c r="D110" s="571"/>
      <c r="E110" s="571"/>
      <c r="F110" s="571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70" t="str">
        <f>+VLOOKUP(LEFT($A111,LEN(A111)-1)*1,Master!$D$29:$G$228,4,FALSE)</f>
        <v>Ostali državni porezi</v>
      </c>
      <c r="C111" s="571"/>
      <c r="D111" s="571"/>
      <c r="E111" s="571"/>
      <c r="F111" s="571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78" t="str">
        <f>+VLOOKUP(LEFT($A112,LEN(A112)-1)*1,Master!$D$29:$G$228,4,FALSE)</f>
        <v>Doprinosi</v>
      </c>
      <c r="C112" s="579"/>
      <c r="D112" s="579"/>
      <c r="E112" s="579"/>
      <c r="F112" s="579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70" t="str">
        <f>+VLOOKUP(LEFT($A113,LEN(A113)-1)*1,Master!$D$29:$G$228,4,FALSE)</f>
        <v>Doprinosi za penzijsko i invalidsko osiguranje</v>
      </c>
      <c r="C113" s="571"/>
      <c r="D113" s="571"/>
      <c r="E113" s="571"/>
      <c r="F113" s="571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70" t="str">
        <f>+VLOOKUP(LEFT($A114,LEN(A114)-1)*1,Master!$D$29:$G$228,4,FALSE)</f>
        <v>Doprinosi za zdravstveno osiguranje</v>
      </c>
      <c r="C114" s="571"/>
      <c r="D114" s="571"/>
      <c r="E114" s="571"/>
      <c r="F114" s="571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70" t="str">
        <f>+VLOOKUP(LEFT($A115,LEN(A115)-1)*1,Master!$D$29:$G$228,4,FALSE)</f>
        <v>Doprinosi za osiguranje od nezaposlenosti</v>
      </c>
      <c r="C115" s="571"/>
      <c r="D115" s="571"/>
      <c r="E115" s="571"/>
      <c r="F115" s="571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70" t="str">
        <f>+VLOOKUP(LEFT($A116,LEN(A116)-1)*1,Master!$D$29:$G$228,4,FALSE)</f>
        <v>Ostali doprinosi</v>
      </c>
      <c r="C116" s="571"/>
      <c r="D116" s="571"/>
      <c r="E116" s="571"/>
      <c r="F116" s="571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76" t="str">
        <f>+VLOOKUP(LEFT($A117,LEN(A117)-1)*1,Master!$D$29:$G$228,4,FALSE)</f>
        <v>Takse</v>
      </c>
      <c r="C117" s="577"/>
      <c r="D117" s="577"/>
      <c r="E117" s="577"/>
      <c r="F117" s="577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76" t="str">
        <f>+VLOOKUP(LEFT($A118,LEN(A118)-1)*1,Master!$D$29:$G$228,4,FALSE)</f>
        <v>Naknade</v>
      </c>
      <c r="C118" s="577"/>
      <c r="D118" s="577"/>
      <c r="E118" s="577"/>
      <c r="F118" s="577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76" t="str">
        <f>+VLOOKUP(LEFT($A119,LEN(A119)-1)*1,Master!$D$29:$G$228,4,FALSE)</f>
        <v>Ostali prihodi</v>
      </c>
      <c r="C119" s="577"/>
      <c r="D119" s="577"/>
      <c r="E119" s="577"/>
      <c r="F119" s="577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76" t="str">
        <f>+VLOOKUP(LEFT($A120,LEN(A120)-1)*1,Master!$D$29:$G$228,4,FALSE)</f>
        <v>Primici od otplate kredita i sredstva prenesena iz prethodne godine</v>
      </c>
      <c r="C120" s="577"/>
      <c r="D120" s="577"/>
      <c r="E120" s="577"/>
      <c r="F120" s="577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3.5" thickBot="1">
      <c r="A121" s="116" t="str">
        <f t="shared" si="16"/>
        <v>74p</v>
      </c>
      <c r="B121" s="572" t="str">
        <f>+VLOOKUP(LEFT($A121,LEN(A121)-1)*1,Master!$D$29:$G$228,4,FALSE)</f>
        <v>Donacije i transferi</v>
      </c>
      <c r="C121" s="573"/>
      <c r="D121" s="573"/>
      <c r="E121" s="573"/>
      <c r="F121" s="573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3.5" thickBot="1">
      <c r="A122" s="116" t="str">
        <f t="shared" si="16"/>
        <v>4p</v>
      </c>
      <c r="B122" s="554" t="str">
        <f>+VLOOKUP(LEFT($A122,LEN(A122)-1)*1,Master!$D$29:$G$228,4,FALSE)</f>
        <v>Izdaci budžeta</v>
      </c>
      <c r="C122" s="555"/>
      <c r="D122" s="555"/>
      <c r="E122" s="555"/>
      <c r="F122" s="555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74" t="str">
        <f>+VLOOKUP(LEFT($A123,LEN(A123)-1)*1,Master!$D$29:$G$228,4,FALSE)</f>
        <v>Tekući izdaci</v>
      </c>
      <c r="C123" s="575"/>
      <c r="D123" s="575"/>
      <c r="E123" s="575"/>
      <c r="F123" s="575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70" t="str">
        <f>+VLOOKUP(LEFT($A124,LEN(A124)-1)*1,Master!$D$29:$G$228,4,FALSE)</f>
        <v>Bruto zarade i doprinosi na teret poslodavca</v>
      </c>
      <c r="C124" s="571"/>
      <c r="D124" s="571"/>
      <c r="E124" s="571"/>
      <c r="F124" s="571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70" t="str">
        <f>+VLOOKUP(LEFT($A125,LEN(A125)-1)*1,Master!$D$29:$G$228,4,FALSE)</f>
        <v>Ostala lična primanja</v>
      </c>
      <c r="C125" s="571"/>
      <c r="D125" s="571"/>
      <c r="E125" s="571"/>
      <c r="F125" s="571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70" t="str">
        <f>+VLOOKUP(LEFT($A126,LEN(A126)-1)*1,Master!$D$29:$G$228,4,FALSE)</f>
        <v>Rashodi za materijal</v>
      </c>
      <c r="C126" s="571"/>
      <c r="D126" s="571"/>
      <c r="E126" s="571"/>
      <c r="F126" s="571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70" t="str">
        <f>+VLOOKUP(LEFT($A127,LEN(A127)-1)*1,Master!$D$29:$G$228,4,FALSE)</f>
        <v>Rashodi za usluge</v>
      </c>
      <c r="C127" s="571"/>
      <c r="D127" s="571"/>
      <c r="E127" s="571"/>
      <c r="F127" s="571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70" t="str">
        <f>+VLOOKUP(LEFT($A128,LEN(A128)-1)*1,Master!$D$29:$G$228,4,FALSE)</f>
        <v>Rashodi za tekuće održavanje</v>
      </c>
      <c r="C128" s="571"/>
      <c r="D128" s="571"/>
      <c r="E128" s="571"/>
      <c r="F128" s="571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70" t="str">
        <f>+VLOOKUP(LEFT($A129,LEN(A129)-1)*1,Master!$D$29:$G$228,4,FALSE)</f>
        <v>Kamate</v>
      </c>
      <c r="C129" s="571"/>
      <c r="D129" s="571"/>
      <c r="E129" s="571"/>
      <c r="F129" s="571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70" t="str">
        <f>+VLOOKUP(LEFT($A130,LEN(A130)-1)*1,Master!$D$29:$G$228,4,FALSE)</f>
        <v>Renta</v>
      </c>
      <c r="C130" s="571"/>
      <c r="D130" s="571"/>
      <c r="E130" s="571"/>
      <c r="F130" s="571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70" t="str">
        <f>+VLOOKUP(LEFT($A131,LEN(A131)-1)*1,Master!$D$29:$G$228,4,FALSE)</f>
        <v>Subvencije</v>
      </c>
      <c r="C131" s="571"/>
      <c r="D131" s="571"/>
      <c r="E131" s="571"/>
      <c r="F131" s="571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70" t="str">
        <f>+VLOOKUP(LEFT($A132,LEN(A132)-1)*1,Master!$D$29:$G$228,4,FALSE)</f>
        <v>Ostali izdaci</v>
      </c>
      <c r="C132" s="571"/>
      <c r="D132" s="571"/>
      <c r="E132" s="571"/>
      <c r="F132" s="571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66" t="str">
        <f>+VLOOKUP(LEFT($A133,LEN(A133)-1)*1,Master!$D$29:$G$228,4,FALSE)</f>
        <v>Transferi za socijalnu zaštitu</v>
      </c>
      <c r="C133" s="567"/>
      <c r="D133" s="567"/>
      <c r="E133" s="567"/>
      <c r="F133" s="567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70" t="str">
        <f>+VLOOKUP(LEFT($A134,LEN(A134)-1)*1,Master!$D$29:$G$228,4,FALSE)</f>
        <v>Prava iz oblasti socijalne zaštite</v>
      </c>
      <c r="C134" s="571"/>
      <c r="D134" s="571"/>
      <c r="E134" s="571"/>
      <c r="F134" s="571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70" t="str">
        <f>+VLOOKUP(LEFT($A135,LEN(A135)-1)*1,Master!$D$29:$G$228,4,FALSE)</f>
        <v>Sredstva za tehnološke viškove</v>
      </c>
      <c r="C135" s="571"/>
      <c r="D135" s="571"/>
      <c r="E135" s="571"/>
      <c r="F135" s="571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70" t="str">
        <f>+VLOOKUP(LEFT($A136,LEN(A136)-1)*1,Master!$D$29:$G$228,4,FALSE)</f>
        <v>Prava iz oblasti penzijskog i invalidskog osiguranja</v>
      </c>
      <c r="C136" s="571"/>
      <c r="D136" s="571"/>
      <c r="E136" s="571"/>
      <c r="F136" s="571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70" t="str">
        <f>+VLOOKUP(LEFT($A137,LEN(A137)-1)*1,Master!$D$29:$G$228,4,FALSE)</f>
        <v>Ostala prava iz oblasti zdravstvene zaštite</v>
      </c>
      <c r="C137" s="571"/>
      <c r="D137" s="571"/>
      <c r="E137" s="571"/>
      <c r="F137" s="571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70" t="str">
        <f>+VLOOKUP(LEFT($A138,LEN(A138)-1)*1,Master!$D$29:$G$228,4,FALSE)</f>
        <v>Ostala prava iz zdravstvenog osiguranja</v>
      </c>
      <c r="C138" s="571"/>
      <c r="D138" s="571"/>
      <c r="E138" s="571"/>
      <c r="F138" s="571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68" t="str">
        <f>+VLOOKUP(LEFT($A139,LEN(A139)-1)*1,Master!$D$29:$G$228,4,FALSE)</f>
        <v xml:space="preserve">Transferi institucijama, pojedincima, nevladinom i javnom sektoru </v>
      </c>
      <c r="C139" s="569"/>
      <c r="D139" s="569"/>
      <c r="E139" s="569"/>
      <c r="F139" s="569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68" t="str">
        <f>+VLOOKUP(LEFT($A140,LEN(A140)-1)*1,Master!$D$29:$G$228,4,FALSE)</f>
        <v>Kapitalni izdaci</v>
      </c>
      <c r="C140" s="569"/>
      <c r="D140" s="569"/>
      <c r="E140" s="569"/>
      <c r="F140" s="569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60" t="str">
        <f>+VLOOKUP(LEFT($A141,LEN(A141)-1)*1,Master!$D$29:$G$228,4,FALSE)</f>
        <v>Pozajmice i krediti</v>
      </c>
      <c r="C141" s="561"/>
      <c r="D141" s="561"/>
      <c r="E141" s="561"/>
      <c r="F141" s="561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60" t="str">
        <f>+VLOOKUP(LEFT($A142,LEN(A142)-1)*1,Master!$D$29:$G$228,4,FALSE)</f>
        <v>Rezerve</v>
      </c>
      <c r="C142" s="561"/>
      <c r="D142" s="561"/>
      <c r="E142" s="561"/>
      <c r="F142" s="561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60" t="str">
        <f>+VLOOKUP(LEFT($A143,LEN(A143)-1)*1,Master!$D$29:$G$228,4,FALSE)</f>
        <v>Otplata garancija</v>
      </c>
      <c r="C143" s="561"/>
      <c r="D143" s="561"/>
      <c r="E143" s="561"/>
      <c r="F143" s="561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60" t="str">
        <f>+VLOOKUP(LEFT($A144,LEN(A144)-1)*1,Master!$D$29:$G$228,4,FALSE)</f>
        <v>Otplata obaveza iz prethodnog perioda</v>
      </c>
      <c r="C144" s="561"/>
      <c r="D144" s="561"/>
      <c r="E144" s="561"/>
      <c r="F144" s="561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60" t="str">
        <f>+VLOOKUP(LEFT($A145,LEN(A145)-1)*1,Master!$D$29:$G$228,4,FALSE)</f>
        <v>Neto povećanje obaveza</v>
      </c>
      <c r="C145" s="561"/>
      <c r="D145" s="561"/>
      <c r="E145" s="561"/>
      <c r="F145" s="561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3.5" thickBot="1">
      <c r="A146" s="117" t="str">
        <f t="shared" si="25"/>
        <v>1000p</v>
      </c>
      <c r="B146" s="562" t="str">
        <f>+VLOOKUP(LEFT($A146,LEN(A146)-1)*1,Master!$D$29:$G$225,4,FALSE)</f>
        <v>Suficit / deficit</v>
      </c>
      <c r="C146" s="563"/>
      <c r="D146" s="563"/>
      <c r="E146" s="563"/>
      <c r="F146" s="563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64" t="str">
        <f>+VLOOKUP(LEFT($A147,LEN(A147)-1)*1,Master!$D$29:$G$225,4,FALSE)</f>
        <v>Primarni suficit/deficit</v>
      </c>
      <c r="C147" s="565"/>
      <c r="D147" s="565"/>
      <c r="E147" s="565"/>
      <c r="F147" s="565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66" t="str">
        <f>+VLOOKUP(LEFT($A148,LEN(A148)-1)*1,Master!$D$29:$G$225,4,FALSE)</f>
        <v>Otplata dugova</v>
      </c>
      <c r="C148" s="567"/>
      <c r="D148" s="567"/>
      <c r="E148" s="567"/>
      <c r="F148" s="567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558" t="str">
        <f>+VLOOKUP(LEFT($A149,LEN(A149)-1)*1,Master!$D$29:$G$225,4,FALSE)</f>
        <v>Otplata hartija od vrijednosti i kredita rezidentima</v>
      </c>
      <c r="C149" s="559"/>
      <c r="D149" s="559"/>
      <c r="E149" s="559"/>
      <c r="F149" s="559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3.5" thickBot="1">
      <c r="A150" s="117" t="str">
        <f t="shared" si="25"/>
        <v>4612p</v>
      </c>
      <c r="B150" s="560" t="str">
        <f>+VLOOKUP(LEFT($A150,LEN(A150)-1)*1,Master!$D$29:$G$225,4,FALSE)</f>
        <v>Otplata hartija od vrijednosti i kredita nerezidentima</v>
      </c>
      <c r="C150" s="561"/>
      <c r="D150" s="561"/>
      <c r="E150" s="561"/>
      <c r="F150" s="561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3.5" thickBot="1">
      <c r="A151" s="117" t="str">
        <f t="shared" si="25"/>
        <v>4418p</v>
      </c>
      <c r="B151" s="554" t="str">
        <f>+VLOOKUP(LEFT($A151,LEN(A151)-1)*1,Master!$D$29:$G$225,4,FALSE)</f>
        <v>Izdaci za kupovinu hartija od vrijednosti</v>
      </c>
      <c r="C151" s="555"/>
      <c r="D151" s="555"/>
      <c r="E151" s="555"/>
      <c r="F151" s="555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56" t="str">
        <f>+VLOOKUP(LEFT($A152,LEN(A152)-1)*1,Master!$D$29:$G$225,4,FALSE)</f>
        <v>Nedostajuća sredstva</v>
      </c>
      <c r="C152" s="557"/>
      <c r="D152" s="557"/>
      <c r="E152" s="557"/>
      <c r="F152" s="557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3.5" thickBot="1">
      <c r="A153" s="117" t="str">
        <f t="shared" si="29"/>
        <v>1003p</v>
      </c>
      <c r="B153" s="554" t="str">
        <f>+VLOOKUP(LEFT($A153,LEN(A153)-1)*1,Master!$D$29:$G$225,4,FALSE)</f>
        <v>Finansiranje</v>
      </c>
      <c r="C153" s="555"/>
      <c r="D153" s="555"/>
      <c r="E153" s="555"/>
      <c r="F153" s="555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558" t="str">
        <f>+VLOOKUP(LEFT($A154,LEN(A154)-1)*1,Master!$D$29:$G$225,4,FALSE)</f>
        <v>Pozajmice i krediti od domaćih izvora</v>
      </c>
      <c r="C154" s="559"/>
      <c r="D154" s="559"/>
      <c r="E154" s="559"/>
      <c r="F154" s="559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60" t="str">
        <f>+VLOOKUP(LEFT($A155,LEN(A155)-1)*1,Master!$D$29:$G$225,4,FALSE)</f>
        <v>Pozajmice i krediti od inostranih izvora</v>
      </c>
      <c r="C155" s="561"/>
      <c r="D155" s="561"/>
      <c r="E155" s="561"/>
      <c r="F155" s="561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60" t="str">
        <f>+VLOOKUP(LEFT($A156,LEN(A156)-1)*1,Master!$D$29:$G$225,4,FALSE)</f>
        <v>Primici od prodaje imovine</v>
      </c>
      <c r="C156" s="561"/>
      <c r="D156" s="561"/>
      <c r="E156" s="561"/>
      <c r="F156" s="561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Y159"/>
  <sheetViews>
    <sheetView topLeftCell="L1" zoomScaleNormal="100" workbookViewId="0">
      <pane ySplit="1" topLeftCell="A26" activePane="bottomLeft" state="frozen"/>
      <selection pane="bottomLeft" activeCell="G53" sqref="G53:Q53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2019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4951000000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26" t="s">
        <v>681</v>
      </c>
      <c r="C10" s="527"/>
      <c r="D10" s="527"/>
      <c r="E10" s="527"/>
      <c r="F10" s="527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3.5" thickBot="1">
      <c r="A30" s="150">
        <v>40</v>
      </c>
      <c r="B30" s="542" t="s">
        <v>120</v>
      </c>
      <c r="C30" s="543"/>
      <c r="D30" s="543"/>
      <c r="E30" s="543"/>
      <c r="F30" s="543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536" t="s">
        <v>122</v>
      </c>
      <c r="C31" s="537"/>
      <c r="D31" s="537"/>
      <c r="E31" s="537"/>
      <c r="F31" s="537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536" t="s">
        <v>133</v>
      </c>
      <c r="C32" s="537"/>
      <c r="D32" s="537"/>
      <c r="E32" s="537"/>
      <c r="F32" s="537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536" t="s">
        <v>148</v>
      </c>
      <c r="C33" s="537"/>
      <c r="D33" s="537"/>
      <c r="E33" s="537"/>
      <c r="F33" s="537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536" t="s">
        <v>162</v>
      </c>
      <c r="C34" s="537"/>
      <c r="D34" s="537"/>
      <c r="E34" s="537"/>
      <c r="F34" s="537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605" t="s">
        <v>182</v>
      </c>
      <c r="C35" s="606"/>
      <c r="D35" s="606"/>
      <c r="E35" s="606"/>
      <c r="F35" s="606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536" t="s">
        <v>190</v>
      </c>
      <c r="C36" s="537"/>
      <c r="D36" s="537"/>
      <c r="E36" s="537"/>
      <c r="F36" s="537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536" t="s">
        <v>196</v>
      </c>
      <c r="C37" s="537"/>
      <c r="D37" s="537"/>
      <c r="E37" s="537"/>
      <c r="F37" s="537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536" t="s">
        <v>204</v>
      </c>
      <c r="C38" s="537"/>
      <c r="D38" s="537"/>
      <c r="E38" s="537"/>
      <c r="F38" s="537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536" t="s">
        <v>212</v>
      </c>
      <c r="C39" s="537"/>
      <c r="D39" s="537"/>
      <c r="E39" s="537"/>
      <c r="F39" s="537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32" t="s">
        <v>230</v>
      </c>
      <c r="C40" s="533"/>
      <c r="D40" s="533"/>
      <c r="E40" s="533"/>
      <c r="F40" s="533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536" t="s">
        <v>232</v>
      </c>
      <c r="C41" s="537"/>
      <c r="D41" s="537"/>
      <c r="E41" s="537"/>
      <c r="F41" s="537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536" t="s">
        <v>248</v>
      </c>
      <c r="C42" s="537"/>
      <c r="D42" s="537"/>
      <c r="E42" s="537"/>
      <c r="F42" s="537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536" t="s">
        <v>259</v>
      </c>
      <c r="C43" s="537"/>
      <c r="D43" s="537"/>
      <c r="E43" s="537"/>
      <c r="F43" s="537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536" t="s">
        <v>274</v>
      </c>
      <c r="C44" s="537"/>
      <c r="D44" s="537"/>
      <c r="E44" s="537"/>
      <c r="F44" s="537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536" t="s">
        <v>278</v>
      </c>
      <c r="C45" s="537"/>
      <c r="D45" s="537"/>
      <c r="E45" s="537"/>
      <c r="F45" s="537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34" t="s">
        <v>286</v>
      </c>
      <c r="C46" s="535"/>
      <c r="D46" s="535"/>
      <c r="E46" s="535"/>
      <c r="F46" s="535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34" t="s">
        <v>320</v>
      </c>
      <c r="C47" s="535"/>
      <c r="D47" s="535"/>
      <c r="E47" s="535"/>
      <c r="F47" s="535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603" t="s">
        <v>113</v>
      </c>
      <c r="C48" s="604"/>
      <c r="D48" s="604"/>
      <c r="E48" s="604"/>
      <c r="F48" s="604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95" t="s">
        <v>366</v>
      </c>
      <c r="C49" s="596"/>
      <c r="D49" s="596"/>
      <c r="E49" s="596"/>
      <c r="F49" s="596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3.5" thickBot="1">
      <c r="A50" s="150">
        <v>462</v>
      </c>
      <c r="B50" s="522" t="s">
        <v>359</v>
      </c>
      <c r="C50" s="523"/>
      <c r="D50" s="523"/>
      <c r="E50" s="523"/>
      <c r="F50" s="523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3.5" thickBot="1">
      <c r="A51" s="144">
        <v>4630</v>
      </c>
      <c r="B51" s="597" t="s">
        <v>795</v>
      </c>
      <c r="C51" s="598"/>
      <c r="D51" s="598"/>
      <c r="E51" s="598"/>
      <c r="F51" s="598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3.5" thickBot="1">
      <c r="A52" s="70">
        <v>1005</v>
      </c>
      <c r="B52" s="599" t="s">
        <v>685</v>
      </c>
      <c r="C52" s="600"/>
      <c r="D52" s="600"/>
      <c r="E52" s="600"/>
      <c r="F52" s="600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3.5" thickBot="1">
      <c r="A53" s="144">
        <v>1000</v>
      </c>
      <c r="B53" s="528" t="s">
        <v>545</v>
      </c>
      <c r="C53" s="529"/>
      <c r="D53" s="529"/>
      <c r="E53" s="529"/>
      <c r="F53" s="529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3.5" thickBot="1">
      <c r="A54" s="144">
        <v>1001</v>
      </c>
      <c r="B54" s="530" t="s">
        <v>793</v>
      </c>
      <c r="C54" s="531"/>
      <c r="D54" s="531"/>
      <c r="E54" s="531"/>
      <c r="F54" s="531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52" t="s">
        <v>352</v>
      </c>
      <c r="C55" s="553"/>
      <c r="D55" s="553"/>
      <c r="E55" s="553"/>
      <c r="F55" s="553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20" t="s">
        <v>355</v>
      </c>
      <c r="C56" s="521"/>
      <c r="D56" s="521"/>
      <c r="E56" s="521"/>
      <c r="F56" s="521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>
      <c r="A57" s="144">
        <v>4612</v>
      </c>
      <c r="B57" s="504" t="s">
        <v>357</v>
      </c>
      <c r="C57" s="505"/>
      <c r="D57" s="505"/>
      <c r="E57" s="505"/>
      <c r="F57" s="505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3.5" thickBot="1">
      <c r="A58" s="144">
        <v>4418</v>
      </c>
      <c r="B58" s="608" t="s">
        <v>336</v>
      </c>
      <c r="C58" s="609"/>
      <c r="D58" s="609"/>
      <c r="E58" s="609"/>
      <c r="F58" s="609"/>
      <c r="G58" s="498">
        <f>DataEx!FF167</f>
        <v>0</v>
      </c>
      <c r="H58" s="498">
        <f>DataEx!FG167</f>
        <v>35272.089999999997</v>
      </c>
      <c r="I58" s="498">
        <f>DataEx!FH167</f>
        <v>0</v>
      </c>
      <c r="J58" s="498">
        <f>DataEx!FI167</f>
        <v>39948396.369999997</v>
      </c>
      <c r="K58" s="498">
        <f>DataEx!FJ167</f>
        <v>0</v>
      </c>
      <c r="L58" s="498">
        <f>DataEx!FK167</f>
        <v>0</v>
      </c>
      <c r="M58" s="498">
        <f>DataEx!FL167</f>
        <v>0</v>
      </c>
      <c r="N58" s="498">
        <f>DataEx!FM167</f>
        <v>0</v>
      </c>
      <c r="O58" s="498">
        <f>DataEx!FN167</f>
        <v>0</v>
      </c>
      <c r="P58" s="498">
        <f>DataEx!FO167</f>
        <v>0</v>
      </c>
      <c r="Q58" s="498">
        <f>DataEx!FP167</f>
        <v>14495201.140000001</v>
      </c>
      <c r="R58" s="498">
        <f>DataEx!FQ167</f>
        <v>2849828.78</v>
      </c>
      <c r="S58" s="499">
        <f>SUM(G58:R58)</f>
        <v>57328698.380000003</v>
      </c>
      <c r="T58" s="500">
        <f>+S58/$T$7</f>
        <v>1.1579215992728742E-2</v>
      </c>
      <c r="V58" s="319"/>
    </row>
    <row r="59" spans="1:22" ht="13.5" thickBot="1">
      <c r="A59" s="144">
        <v>1002</v>
      </c>
      <c r="B59" s="524" t="s">
        <v>543</v>
      </c>
      <c r="C59" s="525"/>
      <c r="D59" s="525"/>
      <c r="E59" s="525"/>
      <c r="F59" s="525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3.5" thickBot="1">
      <c r="A60" s="144">
        <v>1003</v>
      </c>
      <c r="B60" s="526" t="s">
        <v>544</v>
      </c>
      <c r="C60" s="527"/>
      <c r="D60" s="527"/>
      <c r="E60" s="527"/>
      <c r="F60" s="527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20" t="s">
        <v>114</v>
      </c>
      <c r="C61" s="521"/>
      <c r="D61" s="521"/>
      <c r="E61" s="521"/>
      <c r="F61" s="521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504" t="s">
        <v>116</v>
      </c>
      <c r="C62" s="505"/>
      <c r="D62" s="505"/>
      <c r="E62" s="505"/>
      <c r="F62" s="505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504" t="s">
        <v>93</v>
      </c>
      <c r="C63" s="505"/>
      <c r="D63" s="505"/>
      <c r="E63" s="505"/>
      <c r="F63" s="505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84" t="s">
        <v>552</v>
      </c>
      <c r="C100" s="585"/>
      <c r="D100" s="585"/>
      <c r="E100" s="585"/>
      <c r="F100" s="585"/>
      <c r="G100" s="592">
        <v>2019</v>
      </c>
      <c r="H100" s="593"/>
      <c r="I100" s="593"/>
      <c r="J100" s="593"/>
      <c r="K100" s="593"/>
      <c r="L100" s="593"/>
      <c r="M100" s="593"/>
      <c r="N100" s="593"/>
      <c r="O100" s="593"/>
      <c r="P100" s="593"/>
      <c r="Q100" s="593"/>
      <c r="R100" s="594"/>
      <c r="S100" s="107" t="str">
        <f>+S7</f>
        <v>BDP</v>
      </c>
      <c r="T100" s="108">
        <f>+T7</f>
        <v>4951000000</v>
      </c>
    </row>
    <row r="101" spans="1:21" ht="15.75" customHeight="1">
      <c r="B101" s="586"/>
      <c r="C101" s="587"/>
      <c r="D101" s="587"/>
      <c r="E101" s="587"/>
      <c r="F101" s="588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92" t="s">
        <v>809</v>
      </c>
      <c r="T101" s="594">
        <f>+T8</f>
        <v>0</v>
      </c>
    </row>
    <row r="102" spans="1:21" ht="13.5" thickBot="1">
      <c r="B102" s="589"/>
      <c r="C102" s="590"/>
      <c r="D102" s="590"/>
      <c r="E102" s="590"/>
      <c r="F102" s="591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80" t="s">
        <v>681</v>
      </c>
      <c r="C103" s="581"/>
      <c r="D103" s="581"/>
      <c r="E103" s="581"/>
      <c r="F103" s="581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82" t="s">
        <v>21</v>
      </c>
      <c r="C104" s="583"/>
      <c r="D104" s="583"/>
      <c r="E104" s="583"/>
      <c r="F104" s="583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70" t="s">
        <v>23</v>
      </c>
      <c r="C105" s="571"/>
      <c r="D105" s="571"/>
      <c r="E105" s="571"/>
      <c r="F105" s="571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70" t="s">
        <v>25</v>
      </c>
      <c r="C106" s="571"/>
      <c r="D106" s="571"/>
      <c r="E106" s="571"/>
      <c r="F106" s="571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70" t="s">
        <v>27</v>
      </c>
      <c r="C107" s="571"/>
      <c r="D107" s="571"/>
      <c r="E107" s="571"/>
      <c r="F107" s="571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70" t="s">
        <v>29</v>
      </c>
      <c r="C108" s="571"/>
      <c r="D108" s="571"/>
      <c r="E108" s="571"/>
      <c r="F108" s="571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70" t="s">
        <v>31</v>
      </c>
      <c r="C109" s="571"/>
      <c r="D109" s="571"/>
      <c r="E109" s="571"/>
      <c r="F109" s="571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70" t="s">
        <v>33</v>
      </c>
      <c r="C110" s="571"/>
      <c r="D110" s="571"/>
      <c r="E110" s="571"/>
      <c r="F110" s="571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70" t="s">
        <v>722</v>
      </c>
      <c r="C111" s="571"/>
      <c r="D111" s="571"/>
      <c r="E111" s="571"/>
      <c r="F111" s="571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78" t="s">
        <v>37</v>
      </c>
      <c r="C112" s="579"/>
      <c r="D112" s="579"/>
      <c r="E112" s="579"/>
      <c r="F112" s="579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70" t="s">
        <v>39</v>
      </c>
      <c r="C113" s="571"/>
      <c r="D113" s="571"/>
      <c r="E113" s="571"/>
      <c r="F113" s="571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70" t="s">
        <v>41</v>
      </c>
      <c r="C114" s="571"/>
      <c r="D114" s="571"/>
      <c r="E114" s="571"/>
      <c r="F114" s="571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70" t="s">
        <v>43</v>
      </c>
      <c r="C115" s="571"/>
      <c r="D115" s="571"/>
      <c r="E115" s="571"/>
      <c r="F115" s="571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70" t="s">
        <v>45</v>
      </c>
      <c r="C116" s="571"/>
      <c r="D116" s="571"/>
      <c r="E116" s="571"/>
      <c r="F116" s="571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76" t="s">
        <v>47</v>
      </c>
      <c r="C117" s="577"/>
      <c r="D117" s="577"/>
      <c r="E117" s="577"/>
      <c r="F117" s="577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76" t="s">
        <v>61</v>
      </c>
      <c r="C118" s="577"/>
      <c r="D118" s="577"/>
      <c r="E118" s="577"/>
      <c r="F118" s="577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76" t="s">
        <v>81</v>
      </c>
      <c r="C119" s="577"/>
      <c r="D119" s="577"/>
      <c r="E119" s="577"/>
      <c r="F119" s="577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76" t="s">
        <v>99</v>
      </c>
      <c r="C120" s="577"/>
      <c r="D120" s="577"/>
      <c r="E120" s="577"/>
      <c r="F120" s="577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3.5" thickBot="1">
      <c r="A121" s="116" t="str">
        <f t="shared" si="16"/>
        <v>74p</v>
      </c>
      <c r="B121" s="572" t="s">
        <v>105</v>
      </c>
      <c r="C121" s="573"/>
      <c r="D121" s="573"/>
      <c r="E121" s="573"/>
      <c r="F121" s="573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3.5" thickBot="1">
      <c r="A122" s="116" t="str">
        <f t="shared" si="16"/>
        <v>4p</v>
      </c>
      <c r="B122" s="554" t="s">
        <v>811</v>
      </c>
      <c r="C122" s="555"/>
      <c r="D122" s="555"/>
      <c r="E122" s="555"/>
      <c r="F122" s="555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3.5" thickBot="1">
      <c r="A123" s="116" t="str">
        <f t="shared" si="16"/>
        <v>40p</v>
      </c>
      <c r="B123" s="612" t="s">
        <v>774</v>
      </c>
      <c r="C123" s="613"/>
      <c r="D123" s="613"/>
      <c r="E123" s="613"/>
      <c r="F123" s="613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74" t="e">
        <v>#REF!</v>
      </c>
      <c r="C124" s="575"/>
      <c r="D124" s="575"/>
      <c r="E124" s="575"/>
      <c r="F124" s="575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70" t="s">
        <v>122</v>
      </c>
      <c r="C125" s="571"/>
      <c r="D125" s="571"/>
      <c r="E125" s="571"/>
      <c r="F125" s="571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70" t="s">
        <v>133</v>
      </c>
      <c r="C126" s="571"/>
      <c r="D126" s="571"/>
      <c r="E126" s="571"/>
      <c r="F126" s="571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70" t="s">
        <v>148</v>
      </c>
      <c r="C127" s="571"/>
      <c r="D127" s="571"/>
      <c r="E127" s="571"/>
      <c r="F127" s="571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70" t="s">
        <v>162</v>
      </c>
      <c r="C128" s="571"/>
      <c r="D128" s="571"/>
      <c r="E128" s="571"/>
      <c r="F128" s="571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70" t="s">
        <v>182</v>
      </c>
      <c r="C129" s="571"/>
      <c r="D129" s="571"/>
      <c r="E129" s="571"/>
      <c r="F129" s="571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70" t="s">
        <v>190</v>
      </c>
      <c r="C130" s="571"/>
      <c r="D130" s="571"/>
      <c r="E130" s="571"/>
      <c r="F130" s="571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70" t="s">
        <v>196</v>
      </c>
      <c r="C131" s="571"/>
      <c r="D131" s="571"/>
      <c r="E131" s="571"/>
      <c r="F131" s="571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70" t="s">
        <v>204</v>
      </c>
      <c r="C132" s="571"/>
      <c r="D132" s="571"/>
      <c r="E132" s="571"/>
      <c r="F132" s="571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70" t="s">
        <v>212</v>
      </c>
      <c r="C133" s="571"/>
      <c r="D133" s="571"/>
      <c r="E133" s="571"/>
      <c r="F133" s="571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70" t="e">
        <v>#REF!</v>
      </c>
      <c r="C134" s="571"/>
      <c r="D134" s="571"/>
      <c r="E134" s="571"/>
      <c r="F134" s="571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66" t="s">
        <v>230</v>
      </c>
      <c r="C135" s="567"/>
      <c r="D135" s="567"/>
      <c r="E135" s="567"/>
      <c r="F135" s="567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70" t="s">
        <v>232</v>
      </c>
      <c r="C136" s="571"/>
      <c r="D136" s="571"/>
      <c r="E136" s="571"/>
      <c r="F136" s="571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70" t="s">
        <v>248</v>
      </c>
      <c r="C137" s="571"/>
      <c r="D137" s="571"/>
      <c r="E137" s="571"/>
      <c r="F137" s="571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70" t="s">
        <v>259</v>
      </c>
      <c r="C138" s="571"/>
      <c r="D138" s="571"/>
      <c r="E138" s="571"/>
      <c r="F138" s="571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70" t="s">
        <v>274</v>
      </c>
      <c r="C139" s="571"/>
      <c r="D139" s="571"/>
      <c r="E139" s="571"/>
      <c r="F139" s="571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70" t="s">
        <v>278</v>
      </c>
      <c r="C140" s="571"/>
      <c r="D140" s="571"/>
      <c r="E140" s="571"/>
      <c r="F140" s="571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68" t="s">
        <v>286</v>
      </c>
      <c r="C141" s="569"/>
      <c r="D141" s="569"/>
      <c r="E141" s="569"/>
      <c r="F141" s="569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68" t="s">
        <v>812</v>
      </c>
      <c r="C142" s="569"/>
      <c r="D142" s="569"/>
      <c r="E142" s="569"/>
      <c r="F142" s="569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60" t="s">
        <v>113</v>
      </c>
      <c r="C143" s="561"/>
      <c r="D143" s="561"/>
      <c r="E143" s="561"/>
      <c r="F143" s="561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60" t="s">
        <v>366</v>
      </c>
      <c r="C144" s="561"/>
      <c r="D144" s="561"/>
      <c r="E144" s="561"/>
      <c r="F144" s="561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60" t="s">
        <v>359</v>
      </c>
      <c r="C145" s="561"/>
      <c r="D145" s="561"/>
      <c r="E145" s="561"/>
      <c r="F145" s="561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60" t="s">
        <v>365</v>
      </c>
      <c r="C146" s="561"/>
      <c r="D146" s="561"/>
      <c r="E146" s="561"/>
      <c r="F146" s="561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3.5" thickBot="1">
      <c r="A147" s="116"/>
      <c r="B147" s="610" t="s">
        <v>686</v>
      </c>
      <c r="C147" s="611"/>
      <c r="D147" s="611"/>
      <c r="E147" s="611"/>
      <c r="F147" s="611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3.5" thickBot="1">
      <c r="A148" s="117" t="str">
        <f>+CONCATENATE(A53,"p")</f>
        <v>1000p</v>
      </c>
      <c r="B148" s="562" t="s">
        <v>545</v>
      </c>
      <c r="C148" s="563"/>
      <c r="D148" s="563"/>
      <c r="E148" s="563"/>
      <c r="F148" s="563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3.5" thickBot="1">
      <c r="A149" s="117" t="str">
        <f>+CONCATENATE(A54,"p")</f>
        <v>1001p</v>
      </c>
      <c r="B149" s="564" t="s">
        <v>813</v>
      </c>
      <c r="C149" s="565"/>
      <c r="D149" s="565"/>
      <c r="E149" s="565"/>
      <c r="F149" s="565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66" t="s">
        <v>352</v>
      </c>
      <c r="C150" s="567"/>
      <c r="D150" s="567"/>
      <c r="E150" s="567"/>
      <c r="F150" s="567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558" t="s">
        <v>355</v>
      </c>
      <c r="C151" s="559"/>
      <c r="D151" s="559"/>
      <c r="E151" s="559"/>
      <c r="F151" s="559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>
      <c r="A152" s="117" t="str">
        <f>+CONCATENATE(A57,"p")</f>
        <v>4612p</v>
      </c>
      <c r="B152" s="560" t="s">
        <v>357</v>
      </c>
      <c r="C152" s="561"/>
      <c r="D152" s="561"/>
      <c r="E152" s="561"/>
      <c r="F152" s="561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3.5" thickBot="1">
      <c r="A153" s="117"/>
      <c r="B153" s="608" t="s">
        <v>336</v>
      </c>
      <c r="C153" s="609"/>
      <c r="D153" s="609"/>
      <c r="E153" s="609"/>
      <c r="F153" s="609"/>
      <c r="G153" s="495">
        <v>26666.67</v>
      </c>
      <c r="H153" s="495">
        <v>26666.67</v>
      </c>
      <c r="I153" s="495">
        <v>26666.67</v>
      </c>
      <c r="J153" s="495">
        <v>39926666.670000002</v>
      </c>
      <c r="K153" s="495">
        <v>26666.67</v>
      </c>
      <c r="L153" s="495">
        <v>26666.67</v>
      </c>
      <c r="M153" s="495">
        <v>26666.67</v>
      </c>
      <c r="N153" s="495">
        <v>26666.67</v>
      </c>
      <c r="O153" s="495">
        <v>26666.67</v>
      </c>
      <c r="P153" s="495">
        <v>26666.67</v>
      </c>
      <c r="Q153" s="495">
        <v>26666.67</v>
      </c>
      <c r="R153" s="495">
        <v>26666.63</v>
      </c>
      <c r="S153" s="496">
        <f t="shared" si="19"/>
        <v>40220000.000000015</v>
      </c>
      <c r="T153" s="497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56" t="s">
        <v>543</v>
      </c>
      <c r="C154" s="557"/>
      <c r="D154" s="557"/>
      <c r="E154" s="557"/>
      <c r="F154" s="557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3.5" thickBot="1">
      <c r="A155" s="117" t="str">
        <f t="shared" si="32"/>
        <v>1003p</v>
      </c>
      <c r="B155" s="554" t="s">
        <v>544</v>
      </c>
      <c r="C155" s="555"/>
      <c r="D155" s="555"/>
      <c r="E155" s="555"/>
      <c r="F155" s="555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558" t="s">
        <v>114</v>
      </c>
      <c r="C156" s="559"/>
      <c r="D156" s="559"/>
      <c r="E156" s="559"/>
      <c r="F156" s="559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60" t="s">
        <v>116</v>
      </c>
      <c r="C157" s="561"/>
      <c r="D157" s="561"/>
      <c r="E157" s="561"/>
      <c r="F157" s="561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60" t="s">
        <v>93</v>
      </c>
      <c r="C158" s="561"/>
      <c r="D158" s="561"/>
      <c r="E158" s="561"/>
      <c r="F158" s="561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Y162"/>
  <sheetViews>
    <sheetView zoomScaleNormal="100" workbookViewId="0">
      <pane ySplit="1" topLeftCell="A44" activePane="bottomLeft" state="frozen"/>
      <selection pane="bottomLeft" activeCell="P55" sqref="P55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607" t="s">
        <v>554</v>
      </c>
      <c r="C7" s="507"/>
      <c r="D7" s="507"/>
      <c r="E7" s="507"/>
      <c r="F7" s="507"/>
      <c r="G7" s="515">
        <v>2018</v>
      </c>
      <c r="H7" s="516"/>
      <c r="I7" s="516"/>
      <c r="J7" s="516"/>
      <c r="K7" s="516"/>
      <c r="L7" s="516"/>
      <c r="M7" s="516"/>
      <c r="N7" s="516"/>
      <c r="O7" s="516"/>
      <c r="P7" s="516"/>
      <c r="Q7" s="516"/>
      <c r="R7" s="519"/>
      <c r="S7" s="235" t="s">
        <v>419</v>
      </c>
      <c r="T7" s="236">
        <v>4663130000</v>
      </c>
    </row>
    <row r="8" spans="1:20" ht="16.5" customHeight="1">
      <c r="A8" s="144"/>
      <c r="B8" s="508"/>
      <c r="C8" s="509"/>
      <c r="D8" s="509"/>
      <c r="E8" s="509"/>
      <c r="F8" s="510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515" t="s">
        <v>809</v>
      </c>
      <c r="T8" s="519"/>
    </row>
    <row r="9" spans="1:20" ht="13.5" thickBot="1">
      <c r="A9" s="144"/>
      <c r="B9" s="511"/>
      <c r="C9" s="512"/>
      <c r="D9" s="512"/>
      <c r="E9" s="512"/>
      <c r="F9" s="513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48" t="s">
        <v>681</v>
      </c>
      <c r="C10" s="549"/>
      <c r="D10" s="549"/>
      <c r="E10" s="549"/>
      <c r="F10" s="549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550" t="s">
        <v>21</v>
      </c>
      <c r="C11" s="551"/>
      <c r="D11" s="551"/>
      <c r="E11" s="551"/>
      <c r="F11" s="551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536" t="s">
        <v>23</v>
      </c>
      <c r="C12" s="537"/>
      <c r="D12" s="537"/>
      <c r="E12" s="537"/>
      <c r="F12" s="537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536" t="s">
        <v>25</v>
      </c>
      <c r="C13" s="537"/>
      <c r="D13" s="537"/>
      <c r="E13" s="537"/>
      <c r="F13" s="537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536" t="s">
        <v>27</v>
      </c>
      <c r="C14" s="537"/>
      <c r="D14" s="537"/>
      <c r="E14" s="537"/>
      <c r="F14" s="537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536" t="s">
        <v>29</v>
      </c>
      <c r="C15" s="537"/>
      <c r="D15" s="537"/>
      <c r="E15" s="537"/>
      <c r="F15" s="537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536" t="s">
        <v>31</v>
      </c>
      <c r="C16" s="537"/>
      <c r="D16" s="537"/>
      <c r="E16" s="537"/>
      <c r="F16" s="537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536" t="s">
        <v>33</v>
      </c>
      <c r="C17" s="537"/>
      <c r="D17" s="537"/>
      <c r="E17" s="537"/>
      <c r="F17" s="537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536" t="s">
        <v>722</v>
      </c>
      <c r="C18" s="537"/>
      <c r="D18" s="537"/>
      <c r="E18" s="537"/>
      <c r="F18" s="537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546" t="s">
        <v>37</v>
      </c>
      <c r="C19" s="547"/>
      <c r="D19" s="547"/>
      <c r="E19" s="547"/>
      <c r="F19" s="547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536" t="s">
        <v>39</v>
      </c>
      <c r="C20" s="537"/>
      <c r="D20" s="537"/>
      <c r="E20" s="537"/>
      <c r="F20" s="537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536" t="s">
        <v>41</v>
      </c>
      <c r="C21" s="537"/>
      <c r="D21" s="537"/>
      <c r="E21" s="537"/>
      <c r="F21" s="537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536" t="s">
        <v>43</v>
      </c>
      <c r="C22" s="537"/>
      <c r="D22" s="537"/>
      <c r="E22" s="537"/>
      <c r="F22" s="537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536" t="s">
        <v>45</v>
      </c>
      <c r="C23" s="537"/>
      <c r="D23" s="537"/>
      <c r="E23" s="537"/>
      <c r="F23" s="537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538" t="s">
        <v>47</v>
      </c>
      <c r="C24" s="539"/>
      <c r="D24" s="539"/>
      <c r="E24" s="539"/>
      <c r="F24" s="539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538" t="s">
        <v>61</v>
      </c>
      <c r="C25" s="539"/>
      <c r="D25" s="539"/>
      <c r="E25" s="539"/>
      <c r="F25" s="539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538" t="s">
        <v>81</v>
      </c>
      <c r="C26" s="539"/>
      <c r="D26" s="539"/>
      <c r="E26" s="539"/>
      <c r="F26" s="539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538" t="s">
        <v>99</v>
      </c>
      <c r="C27" s="539"/>
      <c r="D27" s="539"/>
      <c r="E27" s="539"/>
      <c r="F27" s="539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3.5" thickBot="1">
      <c r="A28" s="150">
        <v>74</v>
      </c>
      <c r="B28" s="540" t="s">
        <v>105</v>
      </c>
      <c r="C28" s="541"/>
      <c r="D28" s="541"/>
      <c r="E28" s="541"/>
      <c r="F28" s="541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3.5" thickBot="1">
      <c r="A29" s="150">
        <v>4</v>
      </c>
      <c r="B29" s="526" t="s">
        <v>802</v>
      </c>
      <c r="C29" s="527"/>
      <c r="D29" s="527"/>
      <c r="E29" s="527"/>
      <c r="F29" s="527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3.5" thickBot="1">
      <c r="A30" s="150">
        <v>40</v>
      </c>
      <c r="B30" s="542" t="s">
        <v>774</v>
      </c>
      <c r="C30" s="543"/>
      <c r="D30" s="543"/>
      <c r="E30" s="543"/>
      <c r="F30" s="543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44" t="s">
        <v>120</v>
      </c>
      <c r="C31" s="545"/>
      <c r="D31" s="545"/>
      <c r="E31" s="545"/>
      <c r="F31" s="545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536" t="s">
        <v>122</v>
      </c>
      <c r="C32" s="537"/>
      <c r="D32" s="537"/>
      <c r="E32" s="537"/>
      <c r="F32" s="537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536" t="s">
        <v>133</v>
      </c>
      <c r="C33" s="537"/>
      <c r="D33" s="537"/>
      <c r="E33" s="537"/>
      <c r="F33" s="537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536" t="s">
        <v>148</v>
      </c>
      <c r="C34" s="537"/>
      <c r="D34" s="537"/>
      <c r="E34" s="537"/>
      <c r="F34" s="537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536" t="s">
        <v>162</v>
      </c>
      <c r="C35" s="537"/>
      <c r="D35" s="537"/>
      <c r="E35" s="537"/>
      <c r="F35" s="537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536" t="s">
        <v>182</v>
      </c>
      <c r="C36" s="537"/>
      <c r="D36" s="537"/>
      <c r="E36" s="537"/>
      <c r="F36" s="537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536" t="s">
        <v>190</v>
      </c>
      <c r="C37" s="537"/>
      <c r="D37" s="537"/>
      <c r="E37" s="537"/>
      <c r="F37" s="537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536" t="s">
        <v>196</v>
      </c>
      <c r="C38" s="537"/>
      <c r="D38" s="537"/>
      <c r="E38" s="537"/>
      <c r="F38" s="537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536" t="s">
        <v>204</v>
      </c>
      <c r="C39" s="537"/>
      <c r="D39" s="537"/>
      <c r="E39" s="537"/>
      <c r="F39" s="537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536" t="s">
        <v>212</v>
      </c>
      <c r="C40" s="537"/>
      <c r="D40" s="537"/>
      <c r="E40" s="537"/>
      <c r="F40" s="537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536" t="s">
        <v>803</v>
      </c>
      <c r="C41" s="537"/>
      <c r="D41" s="537"/>
      <c r="E41" s="537"/>
      <c r="F41" s="537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32" t="s">
        <v>230</v>
      </c>
      <c r="C42" s="533"/>
      <c r="D42" s="533"/>
      <c r="E42" s="533"/>
      <c r="F42" s="533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536" t="s">
        <v>232</v>
      </c>
      <c r="C43" s="537"/>
      <c r="D43" s="537"/>
      <c r="E43" s="537"/>
      <c r="F43" s="537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536" t="s">
        <v>248</v>
      </c>
      <c r="C44" s="537"/>
      <c r="D44" s="537"/>
      <c r="E44" s="537"/>
      <c r="F44" s="537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536" t="s">
        <v>259</v>
      </c>
      <c r="C45" s="537"/>
      <c r="D45" s="537"/>
      <c r="E45" s="537"/>
      <c r="F45" s="537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536" t="s">
        <v>274</v>
      </c>
      <c r="C46" s="537"/>
      <c r="D46" s="537"/>
      <c r="E46" s="537"/>
      <c r="F46" s="537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616" t="s">
        <v>278</v>
      </c>
      <c r="C47" s="617"/>
      <c r="D47" s="617"/>
      <c r="E47" s="617"/>
      <c r="F47" s="617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34" t="s">
        <v>286</v>
      </c>
      <c r="C48" s="535"/>
      <c r="D48" s="535"/>
      <c r="E48" s="535"/>
      <c r="F48" s="535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34" t="s">
        <v>320</v>
      </c>
      <c r="C49" s="535"/>
      <c r="D49" s="535"/>
      <c r="E49" s="535"/>
      <c r="F49" s="535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603" t="s">
        <v>113</v>
      </c>
      <c r="C50" s="604"/>
      <c r="D50" s="604"/>
      <c r="E50" s="604"/>
      <c r="F50" s="604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504" t="s">
        <v>366</v>
      </c>
      <c r="C51" s="505"/>
      <c r="D51" s="505"/>
      <c r="E51" s="505"/>
      <c r="F51" s="505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3.5" thickBot="1">
      <c r="A52" s="150">
        <v>462</v>
      </c>
      <c r="B52" s="522" t="s">
        <v>359</v>
      </c>
      <c r="C52" s="523"/>
      <c r="D52" s="523"/>
      <c r="E52" s="523"/>
      <c r="F52" s="523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3.5" thickBot="1">
      <c r="A53" s="144">
        <v>4630</v>
      </c>
      <c r="B53" s="597" t="s">
        <v>795</v>
      </c>
      <c r="C53" s="598"/>
      <c r="D53" s="598"/>
      <c r="E53" s="598"/>
      <c r="F53" s="598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3.5" thickBot="1">
      <c r="A54" s="70">
        <v>1005</v>
      </c>
      <c r="B54" s="599" t="s">
        <v>685</v>
      </c>
      <c r="C54" s="600"/>
      <c r="D54" s="600"/>
      <c r="E54" s="600"/>
      <c r="F54" s="600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3.5" thickBot="1">
      <c r="A55" s="144">
        <v>1000</v>
      </c>
      <c r="B55" s="528" t="s">
        <v>545</v>
      </c>
      <c r="C55" s="529"/>
      <c r="D55" s="529"/>
      <c r="E55" s="529"/>
      <c r="F55" s="529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3.5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3.5" thickBot="1">
      <c r="A57" s="144">
        <v>1001</v>
      </c>
      <c r="B57" s="530" t="s">
        <v>794</v>
      </c>
      <c r="C57" s="531"/>
      <c r="D57" s="531"/>
      <c r="E57" s="531"/>
      <c r="F57" s="531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52" t="s">
        <v>352</v>
      </c>
      <c r="C58" s="553"/>
      <c r="D58" s="553"/>
      <c r="E58" s="553"/>
      <c r="F58" s="553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20" t="s">
        <v>355</v>
      </c>
      <c r="C59" s="521"/>
      <c r="D59" s="521"/>
      <c r="E59" s="521"/>
      <c r="F59" s="521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3.5" thickBot="1">
      <c r="A60" s="144">
        <v>4612</v>
      </c>
      <c r="B60" s="504" t="s">
        <v>357</v>
      </c>
      <c r="C60" s="505"/>
      <c r="D60" s="505"/>
      <c r="E60" s="505"/>
      <c r="F60" s="505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3.5" thickBot="1">
      <c r="A61" s="144">
        <v>4418</v>
      </c>
      <c r="B61" s="614" t="s">
        <v>336</v>
      </c>
      <c r="C61" s="615"/>
      <c r="D61" s="615"/>
      <c r="E61" s="615"/>
      <c r="F61" s="615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3.5" thickBot="1">
      <c r="A62" s="144">
        <v>1002</v>
      </c>
      <c r="B62" s="524" t="s">
        <v>543</v>
      </c>
      <c r="C62" s="525"/>
      <c r="D62" s="525"/>
      <c r="E62" s="525"/>
      <c r="F62" s="525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3.5" thickBot="1">
      <c r="A63" s="144">
        <v>1003</v>
      </c>
      <c r="B63" s="526" t="s">
        <v>544</v>
      </c>
      <c r="C63" s="527"/>
      <c r="D63" s="527"/>
      <c r="E63" s="527"/>
      <c r="F63" s="527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20" t="s">
        <v>114</v>
      </c>
      <c r="C64" s="521"/>
      <c r="D64" s="521"/>
      <c r="E64" s="521"/>
      <c r="F64" s="521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504" t="s">
        <v>116</v>
      </c>
      <c r="C65" s="505"/>
      <c r="D65" s="505"/>
      <c r="E65" s="505"/>
      <c r="F65" s="505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504" t="s">
        <v>93</v>
      </c>
      <c r="C66" s="505"/>
      <c r="D66" s="505"/>
      <c r="E66" s="505"/>
      <c r="F66" s="505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84" t="s">
        <v>552</v>
      </c>
      <c r="C103" s="585"/>
      <c r="D103" s="585"/>
      <c r="E103" s="585"/>
      <c r="F103" s="585"/>
      <c r="G103" s="592">
        <v>2018</v>
      </c>
      <c r="H103" s="593"/>
      <c r="I103" s="593"/>
      <c r="J103" s="593"/>
      <c r="K103" s="593"/>
      <c r="L103" s="593"/>
      <c r="M103" s="593"/>
      <c r="N103" s="593"/>
      <c r="O103" s="593"/>
      <c r="P103" s="593"/>
      <c r="Q103" s="593"/>
      <c r="R103" s="594"/>
      <c r="S103" s="107" t="str">
        <f>+S7</f>
        <v>BDP</v>
      </c>
      <c r="T103" s="108">
        <f>+T7</f>
        <v>4663130000</v>
      </c>
    </row>
    <row r="104" spans="1:21" ht="15.75" customHeight="1">
      <c r="B104" s="586"/>
      <c r="C104" s="587"/>
      <c r="D104" s="587"/>
      <c r="E104" s="587"/>
      <c r="F104" s="588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92" t="s">
        <v>809</v>
      </c>
      <c r="T104" s="594">
        <f>+T8</f>
        <v>0</v>
      </c>
    </row>
    <row r="105" spans="1:21" ht="13.5" thickBot="1">
      <c r="B105" s="589"/>
      <c r="C105" s="590"/>
      <c r="D105" s="590"/>
      <c r="E105" s="590"/>
      <c r="F105" s="591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80" t="s">
        <v>681</v>
      </c>
      <c r="C106" s="581"/>
      <c r="D106" s="581"/>
      <c r="E106" s="581"/>
      <c r="F106" s="581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82" t="s">
        <v>21</v>
      </c>
      <c r="C107" s="583"/>
      <c r="D107" s="583"/>
      <c r="E107" s="583"/>
      <c r="F107" s="583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70" t="s">
        <v>23</v>
      </c>
      <c r="C108" s="571"/>
      <c r="D108" s="571"/>
      <c r="E108" s="571"/>
      <c r="F108" s="571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70" t="s">
        <v>25</v>
      </c>
      <c r="C109" s="571"/>
      <c r="D109" s="571"/>
      <c r="E109" s="571"/>
      <c r="F109" s="571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70" t="s">
        <v>27</v>
      </c>
      <c r="C110" s="571"/>
      <c r="D110" s="571"/>
      <c r="E110" s="571"/>
      <c r="F110" s="571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70" t="s">
        <v>29</v>
      </c>
      <c r="C111" s="571"/>
      <c r="D111" s="571"/>
      <c r="E111" s="571"/>
      <c r="F111" s="571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70" t="s">
        <v>31</v>
      </c>
      <c r="C112" s="571"/>
      <c r="D112" s="571"/>
      <c r="E112" s="571"/>
      <c r="F112" s="571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70" t="s">
        <v>33</v>
      </c>
      <c r="C113" s="571"/>
      <c r="D113" s="571"/>
      <c r="E113" s="571"/>
      <c r="F113" s="571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70" t="s">
        <v>722</v>
      </c>
      <c r="C114" s="571"/>
      <c r="D114" s="571"/>
      <c r="E114" s="571"/>
      <c r="F114" s="571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78" t="s">
        <v>37</v>
      </c>
      <c r="C115" s="579"/>
      <c r="D115" s="579"/>
      <c r="E115" s="579"/>
      <c r="F115" s="579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70" t="s">
        <v>39</v>
      </c>
      <c r="C116" s="571"/>
      <c r="D116" s="571"/>
      <c r="E116" s="571"/>
      <c r="F116" s="571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70" t="s">
        <v>41</v>
      </c>
      <c r="C117" s="571"/>
      <c r="D117" s="571"/>
      <c r="E117" s="571"/>
      <c r="F117" s="571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70" t="s">
        <v>43</v>
      </c>
      <c r="C118" s="571"/>
      <c r="D118" s="571"/>
      <c r="E118" s="571"/>
      <c r="F118" s="571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70" t="s">
        <v>45</v>
      </c>
      <c r="C119" s="571"/>
      <c r="D119" s="571"/>
      <c r="E119" s="571"/>
      <c r="F119" s="571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76" t="s">
        <v>47</v>
      </c>
      <c r="C120" s="577"/>
      <c r="D120" s="577"/>
      <c r="E120" s="577"/>
      <c r="F120" s="577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76" t="s">
        <v>61</v>
      </c>
      <c r="C121" s="577"/>
      <c r="D121" s="577"/>
      <c r="E121" s="577"/>
      <c r="F121" s="577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76" t="s">
        <v>81</v>
      </c>
      <c r="C122" s="577"/>
      <c r="D122" s="577"/>
      <c r="E122" s="577"/>
      <c r="F122" s="577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76" t="s">
        <v>99</v>
      </c>
      <c r="C123" s="577"/>
      <c r="D123" s="577"/>
      <c r="E123" s="577"/>
      <c r="F123" s="577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3.5" thickBot="1">
      <c r="A124" s="116" t="str">
        <f t="shared" si="18"/>
        <v>74p</v>
      </c>
      <c r="B124" s="572" t="s">
        <v>105</v>
      </c>
      <c r="C124" s="573"/>
      <c r="D124" s="573"/>
      <c r="E124" s="573"/>
      <c r="F124" s="573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3.5" thickBot="1">
      <c r="A125" s="116" t="str">
        <f t="shared" si="18"/>
        <v>4p</v>
      </c>
      <c r="B125" s="554" t="s">
        <v>811</v>
      </c>
      <c r="C125" s="555"/>
      <c r="D125" s="555"/>
      <c r="E125" s="555"/>
      <c r="F125" s="555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3.5" thickBot="1">
      <c r="A126" s="116" t="str">
        <f t="shared" si="18"/>
        <v>40p</v>
      </c>
      <c r="B126" s="612" t="s">
        <v>774</v>
      </c>
      <c r="C126" s="613"/>
      <c r="D126" s="613"/>
      <c r="E126" s="613"/>
      <c r="F126" s="613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74" t="s">
        <v>120</v>
      </c>
      <c r="C127" s="575"/>
      <c r="D127" s="575"/>
      <c r="E127" s="575"/>
      <c r="F127" s="575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70" t="s">
        <v>122</v>
      </c>
      <c r="C128" s="571"/>
      <c r="D128" s="571"/>
      <c r="E128" s="571"/>
      <c r="F128" s="571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70" t="s">
        <v>133</v>
      </c>
      <c r="C129" s="571"/>
      <c r="D129" s="571"/>
      <c r="E129" s="571"/>
      <c r="F129" s="571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70" t="s">
        <v>148</v>
      </c>
      <c r="C130" s="571"/>
      <c r="D130" s="571"/>
      <c r="E130" s="571"/>
      <c r="F130" s="571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70" t="s">
        <v>162</v>
      </c>
      <c r="C131" s="571"/>
      <c r="D131" s="571"/>
      <c r="E131" s="571"/>
      <c r="F131" s="571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70" t="s">
        <v>182</v>
      </c>
      <c r="C132" s="571"/>
      <c r="D132" s="571"/>
      <c r="E132" s="571"/>
      <c r="F132" s="571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70" t="s">
        <v>190</v>
      </c>
      <c r="C133" s="571"/>
      <c r="D133" s="571"/>
      <c r="E133" s="571"/>
      <c r="F133" s="571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70" t="s">
        <v>196</v>
      </c>
      <c r="C134" s="571"/>
      <c r="D134" s="571"/>
      <c r="E134" s="571"/>
      <c r="F134" s="571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70" t="s">
        <v>204</v>
      </c>
      <c r="C135" s="571"/>
      <c r="D135" s="571"/>
      <c r="E135" s="571"/>
      <c r="F135" s="571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70" t="s">
        <v>212</v>
      </c>
      <c r="C136" s="571"/>
      <c r="D136" s="571"/>
      <c r="E136" s="571"/>
      <c r="F136" s="571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70" t="s">
        <v>803</v>
      </c>
      <c r="C137" s="571"/>
      <c r="D137" s="571"/>
      <c r="E137" s="571"/>
      <c r="F137" s="571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66" t="s">
        <v>230</v>
      </c>
      <c r="C138" s="567"/>
      <c r="D138" s="567"/>
      <c r="E138" s="567"/>
      <c r="F138" s="567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70" t="s">
        <v>232</v>
      </c>
      <c r="C139" s="571"/>
      <c r="D139" s="571"/>
      <c r="E139" s="571"/>
      <c r="F139" s="571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70" t="s">
        <v>248</v>
      </c>
      <c r="C140" s="571"/>
      <c r="D140" s="571"/>
      <c r="E140" s="571"/>
      <c r="F140" s="571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70" t="s">
        <v>259</v>
      </c>
      <c r="C141" s="571"/>
      <c r="D141" s="571"/>
      <c r="E141" s="571"/>
      <c r="F141" s="571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70" t="s">
        <v>274</v>
      </c>
      <c r="C142" s="571"/>
      <c r="D142" s="571"/>
      <c r="E142" s="571"/>
      <c r="F142" s="571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70" t="s">
        <v>278</v>
      </c>
      <c r="C143" s="571"/>
      <c r="D143" s="571"/>
      <c r="E143" s="571"/>
      <c r="F143" s="571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68" t="s">
        <v>286</v>
      </c>
      <c r="C144" s="569"/>
      <c r="D144" s="569"/>
      <c r="E144" s="569"/>
      <c r="F144" s="569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68" t="s">
        <v>812</v>
      </c>
      <c r="C145" s="569"/>
      <c r="D145" s="569"/>
      <c r="E145" s="569"/>
      <c r="F145" s="569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60" t="s">
        <v>113</v>
      </c>
      <c r="C146" s="561"/>
      <c r="D146" s="561"/>
      <c r="E146" s="561"/>
      <c r="F146" s="561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60" t="s">
        <v>366</v>
      </c>
      <c r="C147" s="561"/>
      <c r="D147" s="561"/>
      <c r="E147" s="561"/>
      <c r="F147" s="561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60" t="s">
        <v>359</v>
      </c>
      <c r="C148" s="561"/>
      <c r="D148" s="561"/>
      <c r="E148" s="561"/>
      <c r="F148" s="561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3.5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3.5" thickBot="1">
      <c r="A150" s="117" t="str">
        <f>+CONCATENATE(A55,"p")</f>
        <v>1000p</v>
      </c>
      <c r="B150" s="562" t="s">
        <v>545</v>
      </c>
      <c r="C150" s="563"/>
      <c r="D150" s="563"/>
      <c r="E150" s="563"/>
      <c r="F150" s="563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3.5" thickBot="1">
      <c r="A151" s="117" t="str">
        <f>+CONCATENATE(A57,"p")</f>
        <v>1001p</v>
      </c>
      <c r="B151" s="564" t="s">
        <v>813</v>
      </c>
      <c r="C151" s="565"/>
      <c r="D151" s="565"/>
      <c r="E151" s="565"/>
      <c r="F151" s="565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66" t="s">
        <v>352</v>
      </c>
      <c r="C152" s="567"/>
      <c r="D152" s="567"/>
      <c r="E152" s="567"/>
      <c r="F152" s="567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558" t="s">
        <v>355</v>
      </c>
      <c r="C153" s="559"/>
      <c r="D153" s="559"/>
      <c r="E153" s="559"/>
      <c r="F153" s="559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60" t="s">
        <v>357</v>
      </c>
      <c r="C154" s="561"/>
      <c r="D154" s="561"/>
      <c r="E154" s="561"/>
      <c r="F154" s="561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60" t="s">
        <v>365</v>
      </c>
      <c r="C155" s="561"/>
      <c r="D155" s="561"/>
      <c r="E155" s="561"/>
      <c r="F155" s="561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3.5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56" t="s">
        <v>543</v>
      </c>
      <c r="C157" s="557"/>
      <c r="D157" s="557"/>
      <c r="E157" s="557"/>
      <c r="F157" s="557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3.5" thickBot="1">
      <c r="A158" s="117" t="str">
        <f t="shared" si="31"/>
        <v>1003p</v>
      </c>
      <c r="B158" s="554" t="s">
        <v>544</v>
      </c>
      <c r="C158" s="555"/>
      <c r="D158" s="555"/>
      <c r="E158" s="555"/>
      <c r="F158" s="555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558" t="s">
        <v>114</v>
      </c>
      <c r="C159" s="559"/>
      <c r="D159" s="559"/>
      <c r="E159" s="559"/>
      <c r="F159" s="559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60" t="s">
        <v>116</v>
      </c>
      <c r="C160" s="561"/>
      <c r="D160" s="561"/>
      <c r="E160" s="561"/>
      <c r="F160" s="561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60" t="s">
        <v>93</v>
      </c>
      <c r="C161" s="561"/>
      <c r="D161" s="561"/>
      <c r="E161" s="561"/>
      <c r="F161" s="561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2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21" t="s">
        <v>555</v>
      </c>
      <c r="F6" s="618">
        <v>2006</v>
      </c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20"/>
      <c r="R6" s="618">
        <v>2007</v>
      </c>
      <c r="S6" s="619"/>
      <c r="T6" s="619"/>
      <c r="U6" s="619"/>
      <c r="V6" s="619"/>
      <c r="W6" s="619"/>
      <c r="X6" s="619"/>
      <c r="Y6" s="619"/>
      <c r="Z6" s="619"/>
      <c r="AA6" s="619"/>
      <c r="AB6" s="619"/>
      <c r="AC6" s="620"/>
      <c r="AD6" s="618">
        <v>2008</v>
      </c>
      <c r="AE6" s="619"/>
      <c r="AF6" s="619"/>
      <c r="AG6" s="619"/>
      <c r="AH6" s="619"/>
      <c r="AI6" s="619"/>
      <c r="AJ6" s="619"/>
      <c r="AK6" s="619"/>
      <c r="AL6" s="619"/>
      <c r="AM6" s="619"/>
      <c r="AN6" s="619"/>
      <c r="AO6" s="620"/>
      <c r="AP6" s="618">
        <v>2009</v>
      </c>
      <c r="AQ6" s="619"/>
      <c r="AR6" s="619"/>
      <c r="AS6" s="619"/>
      <c r="AT6" s="619"/>
      <c r="AU6" s="619"/>
      <c r="AV6" s="619"/>
      <c r="AW6" s="619"/>
      <c r="AX6" s="619"/>
      <c r="AY6" s="619"/>
      <c r="AZ6" s="619"/>
      <c r="BA6" s="620"/>
      <c r="BB6" s="618">
        <v>2010</v>
      </c>
      <c r="BC6" s="619"/>
      <c r="BD6" s="619"/>
      <c r="BE6" s="619"/>
      <c r="BF6" s="619"/>
      <c r="BG6" s="619"/>
      <c r="BH6" s="619"/>
      <c r="BI6" s="619"/>
      <c r="BJ6" s="619"/>
      <c r="BK6" s="619"/>
      <c r="BL6" s="619"/>
      <c r="BM6" s="620"/>
      <c r="BN6" s="618">
        <v>2011</v>
      </c>
      <c r="BO6" s="619"/>
      <c r="BP6" s="619"/>
      <c r="BQ6" s="619"/>
      <c r="BR6" s="619"/>
      <c r="BS6" s="619"/>
      <c r="BT6" s="619"/>
      <c r="BU6" s="619"/>
      <c r="BV6" s="619"/>
      <c r="BW6" s="619"/>
      <c r="BX6" s="619"/>
      <c r="BY6" s="620"/>
      <c r="BZ6" s="619">
        <v>2012</v>
      </c>
      <c r="CA6" s="619"/>
      <c r="CB6" s="619"/>
      <c r="CC6" s="619"/>
      <c r="CD6" s="619"/>
      <c r="CE6" s="619"/>
      <c r="CF6" s="619"/>
      <c r="CG6" s="619"/>
      <c r="CH6" s="619"/>
      <c r="CI6" s="619"/>
      <c r="CJ6" s="619"/>
      <c r="CK6" s="619"/>
      <c r="CL6" s="618">
        <v>2013</v>
      </c>
      <c r="CM6" s="619"/>
      <c r="CN6" s="619"/>
      <c r="CO6" s="619"/>
      <c r="CP6" s="619"/>
      <c r="CQ6" s="619"/>
      <c r="CR6" s="619"/>
      <c r="CS6" s="619"/>
      <c r="CT6" s="619"/>
      <c r="CU6" s="619"/>
      <c r="CV6" s="619"/>
      <c r="CW6" s="620"/>
      <c r="CX6" s="618">
        <v>2014</v>
      </c>
      <c r="CY6" s="619"/>
      <c r="CZ6" s="619"/>
      <c r="DA6" s="619"/>
      <c r="DB6" s="619"/>
      <c r="DC6" s="619"/>
      <c r="DD6" s="619"/>
      <c r="DE6" s="619"/>
      <c r="DF6" s="619"/>
      <c r="DG6" s="619"/>
      <c r="DH6" s="619"/>
      <c r="DI6" s="620"/>
      <c r="DJ6" s="618">
        <v>2015</v>
      </c>
      <c r="DK6" s="619"/>
      <c r="DL6" s="619"/>
      <c r="DM6" s="619"/>
      <c r="DN6" s="619"/>
      <c r="DO6" s="619"/>
      <c r="DP6" s="619"/>
      <c r="DQ6" s="619"/>
      <c r="DR6" s="619"/>
      <c r="DS6" s="619"/>
      <c r="DT6" s="619"/>
      <c r="DU6" s="620"/>
    </row>
    <row r="7" spans="1:321">
      <c r="E7" s="621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1483663.6700000002</v>
      </c>
      <c r="FS35" s="353">
        <f t="shared" si="9"/>
        <v>2100277.88</v>
      </c>
      <c r="FT35" s="353">
        <f t="shared" si="9"/>
        <v>4243202.3499999996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3216715.11</v>
      </c>
      <c r="FZ35" s="304">
        <f t="shared" si="9"/>
        <v>11550447.479999999</v>
      </c>
      <c r="GA35" s="353">
        <f t="shared" si="9"/>
        <v>2887676.87</v>
      </c>
      <c r="GB35" s="353">
        <f t="shared" si="9"/>
        <v>1756272.85</v>
      </c>
      <c r="GC35" s="353">
        <f t="shared" si="9"/>
        <v>2614148.87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2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21" t="s">
        <v>676</v>
      </c>
      <c r="F214" s="618">
        <v>2006</v>
      </c>
      <c r="G214" s="619"/>
      <c r="H214" s="619"/>
      <c r="I214" s="619"/>
      <c r="J214" s="619"/>
      <c r="K214" s="619"/>
      <c r="L214" s="619"/>
      <c r="M214" s="619"/>
      <c r="N214" s="619"/>
      <c r="O214" s="619"/>
      <c r="P214" s="619"/>
      <c r="Q214" s="620"/>
      <c r="R214" s="618">
        <v>2007</v>
      </c>
      <c r="S214" s="619"/>
      <c r="T214" s="619"/>
      <c r="U214" s="619"/>
      <c r="V214" s="619"/>
      <c r="W214" s="619"/>
      <c r="X214" s="619"/>
      <c r="Y214" s="619"/>
      <c r="Z214" s="619"/>
      <c r="AA214" s="619"/>
      <c r="AB214" s="619"/>
      <c r="AC214" s="620"/>
      <c r="AD214" s="618">
        <v>2008</v>
      </c>
      <c r="AE214" s="619"/>
      <c r="AF214" s="619"/>
      <c r="AG214" s="619"/>
      <c r="AH214" s="619"/>
      <c r="AI214" s="619"/>
      <c r="AJ214" s="619"/>
      <c r="AK214" s="619"/>
      <c r="AL214" s="619"/>
      <c r="AM214" s="619"/>
      <c r="AN214" s="619"/>
      <c r="AO214" s="620"/>
      <c r="AP214" s="618">
        <v>2009</v>
      </c>
      <c r="AQ214" s="619"/>
      <c r="AR214" s="619"/>
      <c r="AS214" s="619"/>
      <c r="AT214" s="619"/>
      <c r="AU214" s="619"/>
      <c r="AV214" s="619"/>
      <c r="AW214" s="619"/>
      <c r="AX214" s="619"/>
      <c r="AY214" s="619"/>
      <c r="AZ214" s="619"/>
      <c r="BA214" s="620"/>
      <c r="BB214" s="618">
        <v>2010</v>
      </c>
      <c r="BC214" s="619"/>
      <c r="BD214" s="619"/>
      <c r="BE214" s="619"/>
      <c r="BF214" s="619"/>
      <c r="BG214" s="619"/>
      <c r="BH214" s="619"/>
      <c r="BI214" s="619"/>
      <c r="BJ214" s="619"/>
      <c r="BK214" s="619"/>
      <c r="BL214" s="619"/>
      <c r="BM214" s="620"/>
      <c r="BN214" s="618">
        <v>2011</v>
      </c>
      <c r="BO214" s="619"/>
      <c r="BP214" s="619"/>
      <c r="BQ214" s="619"/>
      <c r="BR214" s="619"/>
      <c r="BS214" s="619"/>
      <c r="BT214" s="619"/>
      <c r="BU214" s="619"/>
      <c r="BV214" s="619"/>
      <c r="BW214" s="619"/>
      <c r="BX214" s="619"/>
      <c r="BY214" s="620"/>
      <c r="BZ214" s="619">
        <v>2012</v>
      </c>
      <c r="CA214" s="619"/>
      <c r="CB214" s="619"/>
      <c r="CC214" s="619"/>
      <c r="CD214" s="619"/>
      <c r="CE214" s="619"/>
      <c r="CF214" s="619"/>
      <c r="CG214" s="619"/>
      <c r="CH214" s="619"/>
      <c r="CI214" s="619"/>
      <c r="CJ214" s="619"/>
      <c r="CK214" s="619"/>
      <c r="CL214" s="618">
        <v>2013</v>
      </c>
      <c r="CM214" s="619"/>
      <c r="CN214" s="619"/>
      <c r="CO214" s="619"/>
      <c r="CP214" s="619"/>
      <c r="CQ214" s="619"/>
      <c r="CR214" s="619"/>
      <c r="CS214" s="619"/>
      <c r="CT214" s="619"/>
      <c r="CU214" s="619"/>
      <c r="CV214" s="619"/>
      <c r="CW214" s="620"/>
      <c r="CX214" s="618">
        <v>2014</v>
      </c>
      <c r="CY214" s="619"/>
      <c r="CZ214" s="619"/>
      <c r="DA214" s="619"/>
      <c r="DB214" s="619"/>
      <c r="DC214" s="619"/>
      <c r="DD214" s="619"/>
      <c r="DE214" s="619"/>
      <c r="DF214" s="619"/>
      <c r="DG214" s="619"/>
      <c r="DH214" s="619"/>
      <c r="DI214" s="620"/>
      <c r="DJ214" s="618">
        <v>2015</v>
      </c>
      <c r="DK214" s="619"/>
      <c r="DL214" s="619"/>
      <c r="DM214" s="619"/>
      <c r="DN214" s="619"/>
      <c r="DO214" s="619"/>
      <c r="DP214" s="619"/>
      <c r="DQ214" s="619"/>
      <c r="DR214" s="619"/>
      <c r="DS214" s="619"/>
      <c r="DT214" s="619"/>
      <c r="DU214" s="620"/>
    </row>
    <row r="215" spans="1:187">
      <c r="E215" s="621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11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Novembar</v>
      </c>
    </row>
    <row r="245" spans="4:7">
      <c r="D245" s="49"/>
      <c r="E245" s="9"/>
      <c r="F245" s="10"/>
      <c r="G245" s="52" t="str">
        <f>+CONCATENATE("Jan - ",LEFT(G244,3))</f>
        <v>Jan - Nov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Nov</v>
      </c>
      <c r="F253" s="10" t="str">
        <f>+CONCATENATE("Analytics for period ",G245)</f>
        <v>Analytics for period Jan - Nov</v>
      </c>
      <c r="G253" s="52" t="str">
        <f>+IF(ISBLANK(IF($B$2=1,E253,F253)),"",IF($B$2=1,E253,F253))</f>
        <v>Analitika za period Jan - Nov</v>
      </c>
    </row>
    <row r="254" spans="4:7">
      <c r="D254" s="46"/>
      <c r="E254" s="9" t="str">
        <f>+CONCATENATE("Analitika za period ",G244)</f>
        <v>Analitika za period Novembar</v>
      </c>
      <c r="F254" s="10" t="str">
        <f>+CONCATENATE("Analytics for period ",G244)</f>
        <v>Analytics for period Novembar</v>
      </c>
      <c r="G254" s="52" t="str">
        <f>+IF(ISBLANK(IF($B$2=1,E254,F254)),"",IF($B$2=1,E254,F254))</f>
        <v>Analitika za period Novembar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Novembar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Novembar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Novembar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Novembar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Novembar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Novembar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Pregled</vt:lpstr>
      <vt:lpstr>Analitika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2021-12-29T07:51:50Z</cp:lastPrinted>
  <dcterms:created xsi:type="dcterms:W3CDTF">2014-09-15T13:41:17Z</dcterms:created>
  <dcterms:modified xsi:type="dcterms:W3CDTF">2021-12-30T13:57:49Z</dcterms:modified>
</cp:coreProperties>
</file>