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G9DDJJG0RZOR5CiRlWH0pOLwKlZUBiy9S/7Oz655koT4vZydUfmf3kXpLaOjQP/7dbjWXmAz4wV3u1NRnViuqA==" workbookSaltValue="yv9wvbQb78gBew/VneGAnw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G5" i="22" l="1"/>
  <c r="H5" i="22"/>
  <c r="I5" i="22"/>
  <c r="J5" i="22"/>
  <c r="K5" i="22"/>
  <c r="L5" i="22"/>
  <c r="M5" i="22"/>
  <c r="P10" i="22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N40" i="11" s="1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N30" i="11" s="1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T26" i="22" l="1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N10" i="11" s="1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N29" i="11" s="1"/>
  <c r="R29" i="22"/>
  <c r="S40" i="22"/>
  <c r="T40" i="22" s="1"/>
  <c r="S19" i="22"/>
  <c r="T19" i="22" s="1"/>
  <c r="S30" i="22"/>
  <c r="T30" i="22" s="1"/>
  <c r="P127" i="22" l="1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9" i="22" s="1"/>
  <c r="O64" i="22" s="1"/>
  <c r="O60" i="22" s="1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J53" i="22"/>
  <c r="N54" i="22"/>
  <c r="N54" i="11" s="1"/>
  <c r="A145" i="19"/>
  <c r="A144" i="19"/>
  <c r="A151" i="19"/>
  <c r="A157" i="19"/>
  <c r="A152" i="19"/>
  <c r="A153" i="19"/>
  <c r="N59" i="22" l="1"/>
  <c r="N53" i="11"/>
  <c r="G128" i="22"/>
  <c r="L133" i="22"/>
  <c r="Q128" i="22"/>
  <c r="M133" i="22"/>
  <c r="M59" i="22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N64" i="22" l="1"/>
  <c r="N59" i="11"/>
  <c r="G12" i="1"/>
  <c r="H12" i="1" s="1"/>
  <c r="L10" i="1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N60" i="22" l="1"/>
  <c r="N60" i="11" s="1"/>
  <c r="N64" i="11"/>
  <c r="Q59" i="11"/>
  <c r="M134" i="22"/>
  <c r="G54" i="11"/>
  <c r="M60" i="22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<sst xmlns="http://schemas.openxmlformats.org/spreadsheetml/2006/main" count="1728" uniqueCount="828">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</sst>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avgust 2021. godine iznosili su 1.172,2 mil. € ili 25,3%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5,2 mil. € ili 0,4% od planiranih. U odnosu na isti period prethodne godine prihodi su veći za 148,9 mil. € ili 14,5%.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avgust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1.229,7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26,5%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105,0 mil. € ili 7,9% u odnosu na isti period prethodne godine. U odnosu na planirane, izdaci su manji za 120,9 mil. € ili 8,9%. U periodu januar - avgust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57,4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126,1 mil. € ili 68,7% manje od planiranog, odnosno za 253,9 mil. € ili 81,6%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2021-08</v>
      </c>
      <c r="O6" s="143" t="str">
        <f>+CONCATENATE(N6,"p")</f>
        <v>2021-08p</v>
      </c>
      <c r="P6" s="130"/>
      <c r="Q6" s="130"/>
      <c r="R6" s="143" t="str">
        <f>+IF(Master!B3-10&gt;=0,CONCATENATE(Master!B4-1,"-",Master!B3),CONCATENATE(Master!B4-1,"-0",Master!B3))</f>
        <v>2020-08</v>
      </c>
      <c r="S6" s="130"/>
      <c r="T6" s="130"/>
    </row>
    <row r="7" spans="1:20">
      <c r="A7" s="144"/>
      <c r="B7" s="534" t="s">
        <v>692</v>
      </c>
      <c r="C7" s="535"/>
      <c r="D7" s="535"/>
      <c r="E7" s="535"/>
      <c r="F7" s="535"/>
      <c r="G7" s="543" t="s">
        <v>691</v>
      </c>
      <c r="H7" s="544"/>
      <c r="I7" s="544"/>
      <c r="J7" s="544"/>
      <c r="K7" s="544"/>
      <c r="L7" s="544"/>
      <c r="M7" s="545"/>
      <c r="N7" s="546" t="str">
        <f>+Master!G242</f>
        <v>Decembar</v>
      </c>
      <c r="O7" s="544"/>
      <c r="P7" s="544"/>
      <c r="Q7" s="544"/>
      <c r="R7" s="544"/>
      <c r="S7" s="544"/>
      <c r="T7" s="547"/>
    </row>
    <row r="8" spans="1:20">
      <c r="A8" s="144"/>
      <c r="B8" s="536"/>
      <c r="C8" s="537"/>
      <c r="D8" s="537"/>
      <c r="E8" s="537"/>
      <c r="F8" s="538"/>
      <c r="G8" s="145" t="str">
        <f>+Master!G25</f>
        <v>Ostvarenje</v>
      </c>
      <c r="H8" s="145" t="str">
        <f>+Master!G24</f>
        <v>Plan</v>
      </c>
      <c r="I8" s="532" t="str">
        <f>+Master!G260</f>
        <v>Odstupanje</v>
      </c>
      <c r="J8" s="532"/>
      <c r="K8" s="145" t="str">
        <f>+CONCATENATE(Master!G245," ",Master!B4-1)</f>
        <v>Jan - Avg 2020</v>
      </c>
      <c r="L8" s="532" t="str">
        <f>+I8</f>
        <v>Odstupanje</v>
      </c>
      <c r="M8" s="542"/>
      <c r="N8" s="146" t="str">
        <f>+G8</f>
        <v>Ostvarenje</v>
      </c>
      <c r="O8" s="145" t="str">
        <f>+H8</f>
        <v>Plan</v>
      </c>
      <c r="P8" s="532" t="str">
        <f>+I8</f>
        <v>Odstupanje</v>
      </c>
      <c r="Q8" s="532"/>
      <c r="R8" s="145" t="str">
        <f>+CONCATENATE(Master!G244," ",Master!B4-1)</f>
        <v>Avgust 2020</v>
      </c>
      <c r="S8" s="532" t="str">
        <f>+P8</f>
        <v>Odstupanje</v>
      </c>
      <c r="T8" s="533"/>
    </row>
    <row r="9" spans="1:20" ht="15.7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2" t="str">
        <f>+VLOOKUP($A10,Master!$D$29:$G$225,4,FALSE)</f>
        <v>Prihodi budžeta</v>
      </c>
      <c r="C10" s="503"/>
      <c r="D10" s="503"/>
      <c r="E10" s="503"/>
      <c r="F10" s="503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4" t="str">
        <f>+VLOOKUP($A11,Master!$D$29:$G$225,4,FALSE)</f>
        <v>Porezi</v>
      </c>
      <c r="C11" s="505"/>
      <c r="D11" s="505"/>
      <c r="E11" s="505"/>
      <c r="F11" s="505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6" t="str">
        <f>+VLOOKUP($A12,Master!$D$29:$G$225,4,FALSE)</f>
        <v>Porez na dohodak fizičkih lica</v>
      </c>
      <c r="C12" s="507"/>
      <c r="D12" s="507"/>
      <c r="E12" s="507"/>
      <c r="F12" s="50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6" t="str">
        <f>+VLOOKUP($A13,Master!$D$29:$G$225,4,FALSE)</f>
        <v>Porez na dobit pravnih lica</v>
      </c>
      <c r="C13" s="507"/>
      <c r="D13" s="507"/>
      <c r="E13" s="507"/>
      <c r="F13" s="50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6" t="str">
        <f>+VLOOKUP($A14,Master!$D$29:$G$225,4,FALSE)</f>
        <v>Porez na promet nepokretnosti</v>
      </c>
      <c r="C14" s="507"/>
      <c r="D14" s="507"/>
      <c r="E14" s="507"/>
      <c r="F14" s="50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6" t="str">
        <f>+VLOOKUP($A15,Master!$D$29:$G$225,4,FALSE)</f>
        <v>Porez na dodatu vrijednost</v>
      </c>
      <c r="C15" s="507"/>
      <c r="D15" s="507"/>
      <c r="E15" s="507"/>
      <c r="F15" s="50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6" t="str">
        <f>+VLOOKUP($A16,Master!$D$29:$G$225,4,FALSE)</f>
        <v>Akcize</v>
      </c>
      <c r="C16" s="507"/>
      <c r="D16" s="507"/>
      <c r="E16" s="507"/>
      <c r="F16" s="50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6" t="str">
        <f>+VLOOKUP($A17,Master!$D$29:$G$225,4,FALSE)</f>
        <v>Porez na međunarodnu trgovinu i transakcije</v>
      </c>
      <c r="C17" s="507"/>
      <c r="D17" s="507"/>
      <c r="E17" s="507"/>
      <c r="F17" s="50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6" t="e">
        <f>+VLOOKUP($A18,Master!$D$29:$G$225,4,FALSE)</f>
        <v>#N/A</v>
      </c>
      <c r="C18" s="507"/>
      <c r="D18" s="507"/>
      <c r="E18" s="507"/>
      <c r="F18" s="50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6" t="str">
        <f>+VLOOKUP($A19,Master!$D$29:$G$225,4,FALSE)</f>
        <v>Ostali državni porezi</v>
      </c>
      <c r="C19" s="507"/>
      <c r="D19" s="507"/>
      <c r="E19" s="507"/>
      <c r="F19" s="50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10" t="str">
        <f>+VLOOKUP($A20,Master!$D$29:$G$225,4,FALSE)</f>
        <v>Doprinosi</v>
      </c>
      <c r="C20" s="511"/>
      <c r="D20" s="511"/>
      <c r="E20" s="511"/>
      <c r="F20" s="511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6" t="str">
        <f>+VLOOKUP($A21,Master!$D$29:$G$225,4,FALSE)</f>
        <v>Doprinosi za penzijsko i invalidsko osiguranje</v>
      </c>
      <c r="C21" s="507"/>
      <c r="D21" s="507"/>
      <c r="E21" s="507"/>
      <c r="F21" s="50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6" t="str">
        <f>+VLOOKUP($A22,Master!$D$29:$G$225,4,FALSE)</f>
        <v>Doprinosi za zdravstveno osiguranje</v>
      </c>
      <c r="C22" s="507"/>
      <c r="D22" s="507"/>
      <c r="E22" s="507"/>
      <c r="F22" s="50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6" t="str">
        <f>+VLOOKUP($A23,Master!$D$29:$G$225,4,FALSE)</f>
        <v>Doprinosi za osiguranje od nezaposlenosti</v>
      </c>
      <c r="C23" s="507"/>
      <c r="D23" s="507"/>
      <c r="E23" s="507"/>
      <c r="F23" s="50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6" t="str">
        <f>+VLOOKUP($A24,Master!$D$29:$G$225,4,FALSE)</f>
        <v>Ostali doprinosi</v>
      </c>
      <c r="C24" s="507"/>
      <c r="D24" s="507"/>
      <c r="E24" s="507"/>
      <c r="F24" s="50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8" t="str">
        <f>+VLOOKUP($A25,Master!$D$29:$G$225,4,FALSE)</f>
        <v>Takse</v>
      </c>
      <c r="C25" s="509"/>
      <c r="D25" s="509"/>
      <c r="E25" s="509"/>
      <c r="F25" s="50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8" t="str">
        <f>+VLOOKUP($A26,Master!$D$29:$G$225,4,FALSE)</f>
        <v>Naknade</v>
      </c>
      <c r="C26" s="509"/>
      <c r="D26" s="509"/>
      <c r="E26" s="509"/>
      <c r="F26" s="50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8" t="str">
        <f>+VLOOKUP($A27,Master!$D$29:$G$225,4,FALSE)</f>
        <v>Ostali prihodi</v>
      </c>
      <c r="C27" s="509"/>
      <c r="D27" s="509"/>
      <c r="E27" s="509"/>
      <c r="F27" s="50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8" t="str">
        <f>+VLOOKUP($A28,Master!$D$29:$G$225,4,FALSE)</f>
        <v>Primici od otplate kredita i sredstva prenesena iz prethodne godine</v>
      </c>
      <c r="C28" s="509"/>
      <c r="D28" s="509"/>
      <c r="E28" s="509"/>
      <c r="F28" s="50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2" t="str">
        <f>+VLOOKUP($A29,Master!$D$29:$G$225,4,FALSE)</f>
        <v>Donacije i transferi</v>
      </c>
      <c r="C29" s="513"/>
      <c r="D29" s="513"/>
      <c r="E29" s="513"/>
      <c r="F29" s="513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4" t="str">
        <f>+VLOOKUP($A30,Master!$D$29:$G$225,4,FALSE)</f>
        <v>Izdaci budžeta</v>
      </c>
      <c r="C30" s="515"/>
      <c r="D30" s="515"/>
      <c r="E30" s="515"/>
      <c r="F30" s="515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6" t="str">
        <f>+VLOOKUP($A31,Master!$D$29:$G$225,4,FALSE)</f>
        <v>Tekući izdaci</v>
      </c>
      <c r="C31" s="517"/>
      <c r="D31" s="517"/>
      <c r="E31" s="517"/>
      <c r="F31" s="517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8" t="str">
        <f>+VLOOKUP($A32,Master!$D$29:$G$225,4,FALSE)</f>
        <v>Tekuća budžetska potrošnja</v>
      </c>
      <c r="C32" s="519"/>
      <c r="D32" s="519"/>
      <c r="E32" s="519"/>
      <c r="F32" s="519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6" t="str">
        <f>+VLOOKUP($A33,Master!$D$29:$G$225,4,FALSE)</f>
        <v>Bruto zarade i doprinosi na teret poslodavca</v>
      </c>
      <c r="C33" s="507"/>
      <c r="D33" s="507"/>
      <c r="E33" s="507"/>
      <c r="F33" s="50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6" t="str">
        <f>+VLOOKUP($A34,Master!$D$29:$G$225,4,FALSE)</f>
        <v>Ostala lična primanja</v>
      </c>
      <c r="C34" s="507"/>
      <c r="D34" s="507"/>
      <c r="E34" s="507"/>
      <c r="F34" s="50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6" t="str">
        <f>+VLOOKUP($A35,Master!$D$29:$G$225,4,FALSE)</f>
        <v>Rashodi za materijal</v>
      </c>
      <c r="C35" s="507"/>
      <c r="D35" s="507"/>
      <c r="E35" s="507"/>
      <c r="F35" s="50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6" t="str">
        <f>+VLOOKUP($A36,Master!$D$29:$G$225,4,FALSE)</f>
        <v>Rashodi za usluge</v>
      </c>
      <c r="C36" s="507"/>
      <c r="D36" s="507"/>
      <c r="E36" s="507"/>
      <c r="F36" s="50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6" t="str">
        <f>+VLOOKUP($A37,Master!$D$29:$G$225,4,FALSE)</f>
        <v>Rashodi za tekuće održavanje</v>
      </c>
      <c r="C37" s="507"/>
      <c r="D37" s="507"/>
      <c r="E37" s="507"/>
      <c r="F37" s="50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6" t="str">
        <f>+VLOOKUP($A38,Master!$D$29:$G$225,4,FALSE)</f>
        <v>Kamate</v>
      </c>
      <c r="C38" s="507"/>
      <c r="D38" s="507"/>
      <c r="E38" s="507"/>
      <c r="F38" s="50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6" t="str">
        <f>+VLOOKUP($A39,Master!$D$29:$G$225,4,FALSE)</f>
        <v>Renta</v>
      </c>
      <c r="C39" s="507"/>
      <c r="D39" s="507"/>
      <c r="E39" s="507"/>
      <c r="F39" s="50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6" t="str">
        <f>+VLOOKUP($A40,Master!$D$29:$G$225,4,FALSE)</f>
        <v>Subvencije</v>
      </c>
      <c r="C40" s="507"/>
      <c r="D40" s="507"/>
      <c r="E40" s="507"/>
      <c r="F40" s="50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6" t="str">
        <f>+VLOOKUP($A41,Master!$D$29:$G$225,4,FALSE)</f>
        <v>Ostali izdaci</v>
      </c>
      <c r="C41" s="507"/>
      <c r="D41" s="507"/>
      <c r="E41" s="507"/>
      <c r="F41" s="50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6" t="e">
        <f>+VLOOKUP($A42,Master!$D$29:$G$225,4,FALSE)</f>
        <v>#N/A</v>
      </c>
      <c r="C42" s="507"/>
      <c r="D42" s="507"/>
      <c r="E42" s="507"/>
      <c r="F42" s="50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2" t="str">
        <f>+VLOOKUP($A43,Master!$D$29:$G$225,4,FALSE)</f>
        <v>Transferi za socijalnu zaštitu</v>
      </c>
      <c r="C43" s="523"/>
      <c r="D43" s="523"/>
      <c r="E43" s="523"/>
      <c r="F43" s="52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6" t="str">
        <f>+VLOOKUP($A44,Master!$D$29:$G$225,4,FALSE)</f>
        <v>Prava iz oblasti socijalne zaštite</v>
      </c>
      <c r="C44" s="507"/>
      <c r="D44" s="507"/>
      <c r="E44" s="507"/>
      <c r="F44" s="50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6" t="str">
        <f>+VLOOKUP($A45,Master!$D$29:$G$225,4,FALSE)</f>
        <v>Sredstva za tehnološke viškove</v>
      </c>
      <c r="C45" s="507"/>
      <c r="D45" s="507"/>
      <c r="E45" s="507"/>
      <c r="F45" s="50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6" t="str">
        <f>+VLOOKUP($A46,Master!$D$29:$G$225,4,FALSE)</f>
        <v>Prava iz oblasti penzijskog i invalidskog osiguranja</v>
      </c>
      <c r="C46" s="507"/>
      <c r="D46" s="507"/>
      <c r="E46" s="507"/>
      <c r="F46" s="50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6" t="str">
        <f>+VLOOKUP($A47,Master!$D$29:$G$225,4,FALSE)</f>
        <v>Ostala prava iz oblasti zdravstvene zaštite</v>
      </c>
      <c r="C47" s="507"/>
      <c r="D47" s="507"/>
      <c r="E47" s="507"/>
      <c r="F47" s="50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6" t="str">
        <f>+VLOOKUP($A48,Master!$D$29:$G$225,4,FALSE)</f>
        <v>Ostala prava iz zdravstvenog osiguranja</v>
      </c>
      <c r="C48" s="507"/>
      <c r="D48" s="507"/>
      <c r="E48" s="507"/>
      <c r="F48" s="50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20" t="str">
        <f>+VLOOKUP($A49,Master!$D$29:$G$225,4,FALSE)</f>
        <v xml:space="preserve">Transferi institucijama, pojedincima, nevladinom i javnom sektoru </v>
      </c>
      <c r="C49" s="521"/>
      <c r="D49" s="521"/>
      <c r="E49" s="521"/>
      <c r="F49" s="521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20" t="str">
        <f>+VLOOKUP($A50,Master!$D$29:$G$225,4,FALSE)</f>
        <v>Kapitalni izdaci</v>
      </c>
      <c r="C50" s="521"/>
      <c r="D50" s="521"/>
      <c r="E50" s="521"/>
      <c r="F50" s="521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4" t="str">
        <f>+VLOOKUP($A51,Master!$D$29:$G$225,4,FALSE)</f>
        <v>Pozajmice i krediti</v>
      </c>
      <c r="C51" s="525"/>
      <c r="D51" s="525"/>
      <c r="E51" s="525"/>
      <c r="F51" s="52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4" t="str">
        <f>+VLOOKUP($A52,Master!$D$29:$G$225,4,FALSE)</f>
        <v>Rezerve</v>
      </c>
      <c r="C52" s="525"/>
      <c r="D52" s="525"/>
      <c r="E52" s="525"/>
      <c r="F52" s="52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6" t="str">
        <f>+VLOOKUP($A53,Master!$D$29:$G$225,4,FALSE)</f>
        <v>Otplata garancija</v>
      </c>
      <c r="C53" s="527"/>
      <c r="D53" s="527"/>
      <c r="E53" s="527"/>
      <c r="F53" s="527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6" t="str">
        <f>+VLOOKUP($A54,Master!$D$29:$G$225,4,FALSE)</f>
        <v>Otplata obaveza iz prethodnog perioda</v>
      </c>
      <c r="C54" s="527"/>
      <c r="D54" s="527"/>
      <c r="E54" s="527"/>
      <c r="F54" s="527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6" t="str">
        <f>+VLOOKUP($A55,Master!$D$29:$G$227,4,FALSE)</f>
        <v>Neto povećanje obaveza</v>
      </c>
      <c r="C55" s="527"/>
      <c r="D55" s="527"/>
      <c r="E55" s="527"/>
      <c r="F55" s="527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2" t="str">
        <f>+VLOOKUP($A58,Master!$D$29:$G$225,4,FALSE)</f>
        <v>Otplata dugova</v>
      </c>
      <c r="C58" s="523"/>
      <c r="D58" s="523"/>
      <c r="E58" s="523"/>
      <c r="F58" s="52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8" t="str">
        <f>+VLOOKUP($A59,Master!$D$29:$G$225,4,FALSE)</f>
        <v>Otplata hartija od vrijednosti i kredita rezidentima</v>
      </c>
      <c r="C59" s="549"/>
      <c r="D59" s="549"/>
      <c r="E59" s="549"/>
      <c r="F59" s="549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4" t="str">
        <f>+VLOOKUP($A60,Master!$D$29:$G$225,4,FALSE)</f>
        <v>Otplata hartija od vrijednosti i kredita nerezidentima</v>
      </c>
      <c r="C60" s="525"/>
      <c r="D60" s="525"/>
      <c r="E60" s="525"/>
      <c r="F60" s="52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50" t="str">
        <f>+VLOOKUP($A62,Master!$D$29:$G$225,4,FALSE)</f>
        <v>Nedostajuća sredstva</v>
      </c>
      <c r="C62" s="551"/>
      <c r="D62" s="551"/>
      <c r="E62" s="551"/>
      <c r="F62" s="551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4" t="str">
        <f>+VLOOKUP($A63,Master!$D$29:$G$225,4,FALSE)</f>
        <v>Finansiranje</v>
      </c>
      <c r="C63" s="515"/>
      <c r="D63" s="515"/>
      <c r="E63" s="515"/>
      <c r="F63" s="515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8" t="str">
        <f>+VLOOKUP($A64,Master!$D$29:$G$225,4,FALSE)</f>
        <v>Pozajmice i krediti od domaćih izvora</v>
      </c>
      <c r="C64" s="549"/>
      <c r="D64" s="549"/>
      <c r="E64" s="549"/>
      <c r="F64" s="549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4" t="str">
        <f>+VLOOKUP($A65,Master!$D$29:$G$225,4,FALSE)</f>
        <v>Pozajmice i krediti od inostranih izvora</v>
      </c>
      <c r="C65" s="525"/>
      <c r="D65" s="525"/>
      <c r="E65" s="525"/>
      <c r="F65" s="52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4" t="str">
        <f>+VLOOKUP($A66,Master!$D$29:$G$225,4,FALSE)</f>
        <v>Primici od prodaje imovine</v>
      </c>
      <c r="C66" s="525"/>
      <c r="D66" s="525"/>
      <c r="E66" s="525"/>
      <c r="F66" s="52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G12" sqref="G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Avgust</v>
      </c>
      <c r="E11" s="135"/>
      <c r="F11" s="135"/>
      <c r="G11" s="137" t="str">
        <f>+Master!G273</f>
        <v>Prihodi za period Januar - Avgust</v>
      </c>
      <c r="H11" s="135"/>
      <c r="I11" s="135"/>
      <c r="J11" s="135"/>
      <c r="K11" s="136"/>
    </row>
    <row r="12" spans="3:11">
      <c r="C12" s="134"/>
      <c r="D12" s="138">
        <f>+'Analitika - 2021'!N10</f>
        <v>190060932.94</v>
      </c>
      <c r="E12" s="456">
        <f>+D12/'2021'!T7</f>
        <v>4.0991444795755512E-2</v>
      </c>
      <c r="F12" s="135"/>
      <c r="G12" s="138">
        <f>+'Analitika - 2021'!G10</f>
        <v>1172239053.3500001</v>
      </c>
      <c r="H12" s="456">
        <f>+G12/'2021'!T7</f>
        <v>0.25282298523702718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Avgust</v>
      </c>
      <c r="E15" s="135"/>
      <c r="F15" s="135"/>
      <c r="G15" s="137" t="str">
        <f>+Master!G274</f>
        <v>Rashodi za period Januar - Avgust</v>
      </c>
      <c r="H15" s="135"/>
      <c r="I15" s="135"/>
      <c r="J15" s="135"/>
      <c r="K15" s="136"/>
    </row>
    <row r="16" spans="3:11">
      <c r="C16" s="134"/>
      <c r="D16" s="138">
        <f>+'Analitika - 2021'!N29</f>
        <v>128580844.03999999</v>
      </c>
      <c r="E16" s="456">
        <f>+D16/'2021'!T7</f>
        <v>2.7731709450890738E-2</v>
      </c>
      <c r="F16" s="135"/>
      <c r="G16" s="138">
        <f>+'Analitika - 2021'!G29</f>
        <v>1229650286.51</v>
      </c>
      <c r="H16" s="456">
        <f>+G16/'2021'!T7</f>
        <v>0.26520516898373808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Avgust</v>
      </c>
      <c r="E19" s="135"/>
      <c r="F19" s="135"/>
      <c r="G19" s="137" t="str">
        <f>+Master!G275</f>
        <v>Suficit/Deficit za period Januar - Avgust</v>
      </c>
      <c r="H19" s="135"/>
      <c r="I19" s="135"/>
      <c r="J19" s="135"/>
      <c r="K19" s="136"/>
    </row>
    <row r="20" spans="3:12">
      <c r="C20" s="134"/>
      <c r="D20" s="138">
        <f>+'Analitika - 2021'!N53</f>
        <v>61480088.900000006</v>
      </c>
      <c r="E20" s="456">
        <f>+D20/'2021'!T7</f>
        <v>1.3259735344864772E-2</v>
      </c>
      <c r="F20" s="135"/>
      <c r="G20" s="138">
        <f>+'Analitika - 2021'!G53</f>
        <v>-57411233.159999996</v>
      </c>
      <c r="H20" s="456">
        <f>+G20/'2021'!T7</f>
        <v>-1.2382183746710951E-2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/9MvFCvwgugl0TNOBCz8nFPgeFt2xWleUg/KHFoKC8Wy0K0VEXkoarTdevxNsL6WGwO7umCWwlQ2ULo+DFx9VA==" saltValue="CJh76KhNICadL6MbyDWMY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8" sqref="G18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  <c r="P2" s="36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2021-08</v>
      </c>
      <c r="O6" s="143" t="str">
        <f>+CONCATENATE(N6,"p")</f>
        <v>2021-08p</v>
      </c>
      <c r="P6" s="130"/>
      <c r="Q6" s="130"/>
      <c r="R6" s="143" t="str">
        <f>+IF(Master!B3-10&gt;=0,CONCATENATE(Master!B4-1,"-",Master!B3),CONCATENATE(Master!B4-1,"-0",Master!B3))</f>
        <v>2020-08</v>
      </c>
      <c r="S6" s="130"/>
      <c r="T6" s="130"/>
    </row>
    <row r="7" spans="1:20">
      <c r="A7" s="144"/>
      <c r="B7" s="534" t="str">
        <f>+Master!G253</f>
        <v>Analitika za period Jan - Avg</v>
      </c>
      <c r="C7" s="535"/>
      <c r="D7" s="535"/>
      <c r="E7" s="535"/>
      <c r="F7" s="535"/>
      <c r="G7" s="543" t="str">
        <f>+Master!G245</f>
        <v>Jan - Avg</v>
      </c>
      <c r="H7" s="544"/>
      <c r="I7" s="544"/>
      <c r="J7" s="544"/>
      <c r="K7" s="544"/>
      <c r="L7" s="544"/>
      <c r="M7" s="545"/>
      <c r="N7" s="546" t="str">
        <f>+Master!G244</f>
        <v>Avgust</v>
      </c>
      <c r="O7" s="544"/>
      <c r="P7" s="544"/>
      <c r="Q7" s="544"/>
      <c r="R7" s="544"/>
      <c r="S7" s="544"/>
      <c r="T7" s="547"/>
    </row>
    <row r="8" spans="1:20">
      <c r="A8" s="144"/>
      <c r="B8" s="536"/>
      <c r="C8" s="537"/>
      <c r="D8" s="537"/>
      <c r="E8" s="537"/>
      <c r="F8" s="538"/>
      <c r="G8" s="358" t="str">
        <f>+Master!G25</f>
        <v>Ostvarenje</v>
      </c>
      <c r="H8" s="145" t="str">
        <f>+Master!G24</f>
        <v>Plan</v>
      </c>
      <c r="I8" s="532" t="str">
        <f>+Master!G260</f>
        <v>Odstupanje</v>
      </c>
      <c r="J8" s="532"/>
      <c r="K8" s="145" t="str">
        <f>+CONCATENATE(Master!G245," ",Master!B4-1)</f>
        <v>Jan - Avg 2020</v>
      </c>
      <c r="L8" s="532" t="str">
        <f>+I8</f>
        <v>Odstupanje</v>
      </c>
      <c r="M8" s="542"/>
      <c r="N8" s="146" t="str">
        <f>+G8</f>
        <v>Ostvarenje</v>
      </c>
      <c r="O8" s="145" t="str">
        <f>+H8</f>
        <v>Plan</v>
      </c>
      <c r="P8" s="532" t="str">
        <f>+I8</f>
        <v>Odstupanje</v>
      </c>
      <c r="Q8" s="532"/>
      <c r="R8" s="145" t="str">
        <f>+CONCATENATE(Master!G244," ",Master!B4-1)</f>
        <v>Avgust 2020</v>
      </c>
      <c r="S8" s="532" t="str">
        <f>+P8</f>
        <v>Odstupanje</v>
      </c>
      <c r="T8" s="533"/>
    </row>
    <row r="9" spans="1:20" ht="15.75" thickBot="1">
      <c r="A9" s="144"/>
      <c r="B9" s="539"/>
      <c r="C9" s="540"/>
      <c r="D9" s="540"/>
      <c r="E9" s="540"/>
      <c r="F9" s="541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4" t="str">
        <f>+VLOOKUP($A10,Master!$D$29:$G$225,4,FALSE)</f>
        <v>Prihodi budžeta</v>
      </c>
      <c r="C10" s="515"/>
      <c r="D10" s="515"/>
      <c r="E10" s="515"/>
      <c r="F10" s="515"/>
      <c r="G10" s="151">
        <f>'2021'!S10</f>
        <v>1172239053.3500001</v>
      </c>
      <c r="H10" s="151">
        <f>SUM('2021'!G84:N84)</f>
        <v>1167023265.757405</v>
      </c>
      <c r="I10" s="152">
        <f>+G10-H10</f>
        <v>5215787.5925951004</v>
      </c>
      <c r="J10" s="154">
        <f>IF(+IF(ISERROR(G10/H10),"…",G10/H10-1)&gt;200%,"...",IF(ISERROR(G10/H10),"…",G10/H10-1))</f>
        <v>4.4693090066290075E-3</v>
      </c>
      <c r="K10" s="151">
        <f>SUM('2020'!G10:N10)</f>
        <v>1023367358.1500001</v>
      </c>
      <c r="L10" s="152">
        <f>+G10-K10</f>
        <v>148871695.20000005</v>
      </c>
      <c r="M10" s="154">
        <f>IF(+IF(ISERROR(G10/K10),"…",G10/K10-1)&gt;200%,"...",IF(ISERROR(G10/K10),"…",G10/K10-1))</f>
        <v>0.14547238976736954</v>
      </c>
      <c r="N10" s="151">
        <f>'2021'!N10</f>
        <v>190060932.94</v>
      </c>
      <c r="O10" s="151">
        <f>'2021'!N84</f>
        <v>181464389.36757722</v>
      </c>
      <c r="P10" s="152">
        <f>+N10-O10</f>
        <v>8596543.5724227726</v>
      </c>
      <c r="Q10" s="154">
        <f>IF(+IF(ISERROR(N10/O10),"…",N10/O10-1)&gt;200%,"...",IF(ISERROR(N10/O10),"…",N10/O10-1))</f>
        <v>4.7373171135023595E-2</v>
      </c>
      <c r="R10" s="151">
        <f>'2020'!N10</f>
        <v>141282044.56</v>
      </c>
      <c r="S10" s="152">
        <f>+N10-R10</f>
        <v>48778888.379999995</v>
      </c>
      <c r="T10" s="154">
        <f>IF(+IF(ISERROR(N10/R10),"…",N10/R10-1)&gt;200%,"...",IF(ISERROR(N10/R10),"…",N10/R10-1))</f>
        <v>0.34525893599511481</v>
      </c>
    </row>
    <row r="11" spans="1:20">
      <c r="A11" s="150">
        <v>711</v>
      </c>
      <c r="B11" s="504" t="str">
        <f>+VLOOKUP($A11,Master!$D$29:$G$225,4,FALSE)</f>
        <v>Porezi</v>
      </c>
      <c r="C11" s="505"/>
      <c r="D11" s="505"/>
      <c r="E11" s="505"/>
      <c r="F11" s="505"/>
      <c r="G11" s="277">
        <f>'2021'!S11</f>
        <v>748293159.18000007</v>
      </c>
      <c r="H11" s="277">
        <f>SUM('2021'!G85:N85)</f>
        <v>705207649.94718957</v>
      </c>
      <c r="I11" s="158">
        <f t="shared" ref="I11:I57" si="0">+G11-H11</f>
        <v>43085509.232810497</v>
      </c>
      <c r="J11" s="160">
        <f t="shared" ref="J11:J64" si="1">IF(+IF(ISERROR(G11/H11-1),"…",G11/H11-1)&gt;200%,"...",IF(ISERROR(G11/H11-1),"…",G11/H11-1))</f>
        <v>6.1096202283167145E-2</v>
      </c>
      <c r="K11" s="277">
        <f>SUM('2020'!G11:N11)</f>
        <v>642459256.32999992</v>
      </c>
      <c r="L11" s="158">
        <f>+G11-K11</f>
        <v>105833902.85000014</v>
      </c>
      <c r="M11" s="160">
        <f t="shared" ref="M11:M64" si="2">IF(+IF(ISERROR(G11/K11),"…",G11/K11-1)&gt;200%,"...",IF(ISERROR(G11/K11),"…",G11/K11-1))</f>
        <v>0.16473247417208725</v>
      </c>
      <c r="N11" s="277">
        <f>'2021'!N11</f>
        <v>132227415.31</v>
      </c>
      <c r="O11" s="277">
        <f>'2021'!N85</f>
        <v>115306875.10903084</v>
      </c>
      <c r="P11" s="158">
        <f>+N11-O11</f>
        <v>16920540.20096916</v>
      </c>
      <c r="Q11" s="160">
        <f t="shared" ref="Q11:Q64" si="3">IF(+IF(ISERROR(N11/O11),"…",N11/O11-1)&gt;200%,"...",IF(ISERROR(N11/O11),"…",N11/O11-1))</f>
        <v>0.14674355006992945</v>
      </c>
      <c r="R11" s="277">
        <f>'2020'!N11</f>
        <v>79984790.799999997</v>
      </c>
      <c r="S11" s="158">
        <f t="shared" ref="S11:S57" si="4">+N11-R11</f>
        <v>52242624.510000005</v>
      </c>
      <c r="T11" s="160">
        <f t="shared" ref="T11:T64" si="5">IF(+IF(ISERROR(N11/R11),"…",N11/R11-1)&gt;200%,"...",IF(ISERROR(N11/R11),"…",N11/R11-1))</f>
        <v>0.65315698131450262</v>
      </c>
    </row>
    <row r="12" spans="1:20">
      <c r="A12" s="150">
        <v>7111</v>
      </c>
      <c r="B12" s="506" t="str">
        <f>+VLOOKUP($A12,Master!$D$29:$G$225,4,FALSE)</f>
        <v>Porez na dohodak fizičkih lica</v>
      </c>
      <c r="C12" s="507"/>
      <c r="D12" s="507"/>
      <c r="E12" s="507"/>
      <c r="F12" s="507"/>
      <c r="G12" s="163">
        <f>'2021'!S12</f>
        <v>74345509.86999999</v>
      </c>
      <c r="H12" s="163">
        <f>SUM('2021'!G86:N86)</f>
        <v>86573163.92321755</v>
      </c>
      <c r="I12" s="164">
        <f t="shared" si="0"/>
        <v>-12227654.05321756</v>
      </c>
      <c r="J12" s="166">
        <f t="shared" si="1"/>
        <v>-0.14124069745287771</v>
      </c>
      <c r="K12" s="163">
        <f>SUM('2020'!G12:N12)</f>
        <v>72689341.090000004</v>
      </c>
      <c r="L12" s="164">
        <f>+G12-K12</f>
        <v>1656168.7799999863</v>
      </c>
      <c r="M12" s="166">
        <f t="shared" si="2"/>
        <v>2.2784204054751456E-2</v>
      </c>
      <c r="N12" s="163">
        <f>'2021'!N12</f>
        <v>11428081.060000001</v>
      </c>
      <c r="O12" s="163">
        <f>'2021'!N86</f>
        <v>14919008.243870974</v>
      </c>
      <c r="P12" s="164">
        <f t="shared" ref="P12:P57" si="6">+N12-O12</f>
        <v>-3490927.1838709731</v>
      </c>
      <c r="Q12" s="166">
        <f t="shared" si="3"/>
        <v>-0.23399190662054337</v>
      </c>
      <c r="R12" s="163">
        <f>'2020'!N12</f>
        <v>11586739.1</v>
      </c>
      <c r="S12" s="164">
        <f t="shared" si="4"/>
        <v>-158658.03999999911</v>
      </c>
      <c r="T12" s="166">
        <f t="shared" si="5"/>
        <v>-1.3693070900336335E-2</v>
      </c>
    </row>
    <row r="13" spans="1:20">
      <c r="A13" s="150">
        <v>7112</v>
      </c>
      <c r="B13" s="506" t="str">
        <f>+VLOOKUP($A13,Master!$D$29:$G$225,4,FALSE)</f>
        <v>Porez na dobit pravnih lica</v>
      </c>
      <c r="C13" s="507"/>
      <c r="D13" s="507"/>
      <c r="E13" s="507"/>
      <c r="F13" s="507"/>
      <c r="G13" s="163">
        <f>'2021'!S13</f>
        <v>66841887.089999996</v>
      </c>
      <c r="H13" s="163">
        <f>SUM('2021'!G87:N87)</f>
        <v>52805844.645526297</v>
      </c>
      <c r="I13" s="164">
        <f t="shared" si="0"/>
        <v>14036042.444473699</v>
      </c>
      <c r="J13" s="166">
        <f t="shared" si="1"/>
        <v>0.26580471420719576</v>
      </c>
      <c r="K13" s="163">
        <f>SUM('2020'!G13:N13)</f>
        <v>69688521.969999999</v>
      </c>
      <c r="L13" s="164">
        <f t="shared" ref="L13:L57" si="7">+G13-K13</f>
        <v>-2846634.8800000027</v>
      </c>
      <c r="M13" s="166">
        <f t="shared" si="2"/>
        <v>-4.0847973231882273E-2</v>
      </c>
      <c r="N13" s="163">
        <f>'2021'!N13</f>
        <v>3777349.92</v>
      </c>
      <c r="O13" s="163">
        <f>'2021'!N87</f>
        <v>2753732.7839750899</v>
      </c>
      <c r="P13" s="164">
        <f t="shared" si="6"/>
        <v>1023617.13602491</v>
      </c>
      <c r="Q13" s="166">
        <f t="shared" si="3"/>
        <v>0.3717198495008982</v>
      </c>
      <c r="R13" s="163">
        <f>'2020'!N13</f>
        <v>4513120.37</v>
      </c>
      <c r="S13" s="164">
        <f t="shared" si="4"/>
        <v>-735770.45000000019</v>
      </c>
      <c r="T13" s="166">
        <f t="shared" si="5"/>
        <v>-0.16302921031995432</v>
      </c>
    </row>
    <row r="14" spans="1:20">
      <c r="A14" s="150">
        <v>7113</v>
      </c>
      <c r="B14" s="506" t="str">
        <f>+VLOOKUP($A14,Master!$D$29:$G$225,4,FALSE)</f>
        <v>Porez na promet nepokretnosti</v>
      </c>
      <c r="C14" s="507"/>
      <c r="D14" s="507"/>
      <c r="E14" s="507"/>
      <c r="F14" s="507"/>
      <c r="G14" s="163">
        <f>'2021'!S14</f>
        <v>1119222.03</v>
      </c>
      <c r="H14" s="163">
        <f>SUM('2021'!G88:N88)</f>
        <v>1028484.239286948</v>
      </c>
      <c r="I14" s="164">
        <f t="shared" si="0"/>
        <v>90737.790713052033</v>
      </c>
      <c r="J14" s="166">
        <f t="shared" si="1"/>
        <v>8.8224775107843101E-2</v>
      </c>
      <c r="K14" s="163">
        <f>SUM('2020'!G14:N14)</f>
        <v>955925.67999999993</v>
      </c>
      <c r="L14" s="164">
        <f t="shared" si="7"/>
        <v>163296.35000000009</v>
      </c>
      <c r="M14" s="166">
        <f t="shared" si="2"/>
        <v>0.17082536165363837</v>
      </c>
      <c r="N14" s="163">
        <f>'2021'!N14</f>
        <v>253511.29</v>
      </c>
      <c r="O14" s="163">
        <f>'2021'!N88</f>
        <v>130358.76665111375</v>
      </c>
      <c r="P14" s="164">
        <f t="shared" si="6"/>
        <v>123152.52334888626</v>
      </c>
      <c r="Q14" s="166">
        <f t="shared" si="3"/>
        <v>0.94471991805879885</v>
      </c>
      <c r="R14" s="163">
        <f>'2020'!N14</f>
        <v>114304.56</v>
      </c>
      <c r="S14" s="164">
        <f t="shared" si="4"/>
        <v>139206.73000000001</v>
      </c>
      <c r="T14" s="166">
        <f t="shared" si="5"/>
        <v>1.21785806270546</v>
      </c>
    </row>
    <row r="15" spans="1:20">
      <c r="A15" s="150">
        <v>7114</v>
      </c>
      <c r="B15" s="506" t="str">
        <f>+VLOOKUP($A15,Master!$D$29:$G$225,4,FALSE)</f>
        <v>Porez na dodatu vrijednost</v>
      </c>
      <c r="C15" s="507"/>
      <c r="D15" s="507"/>
      <c r="E15" s="507"/>
      <c r="F15" s="507"/>
      <c r="G15" s="163">
        <f>'2021'!S15</f>
        <v>427534623.83999997</v>
      </c>
      <c r="H15" s="163">
        <f>SUM('2021'!G89:N89)</f>
        <v>393369424.17304653</v>
      </c>
      <c r="I15" s="164">
        <f t="shared" si="0"/>
        <v>34165199.666953444</v>
      </c>
      <c r="J15" s="166">
        <f t="shared" si="1"/>
        <v>8.6852707829990994E-2</v>
      </c>
      <c r="K15" s="163">
        <f>SUM('2020'!G15:N15)</f>
        <v>344858634.05000001</v>
      </c>
      <c r="L15" s="164">
        <f t="shared" si="7"/>
        <v>82675989.789999962</v>
      </c>
      <c r="M15" s="166">
        <f t="shared" si="2"/>
        <v>0.23973878461170561</v>
      </c>
      <c r="N15" s="163">
        <f>'2021'!N15</f>
        <v>82197493.75</v>
      </c>
      <c r="O15" s="163">
        <f>'2021'!N89</f>
        <v>62749252.522949897</v>
      </c>
      <c r="P15" s="164">
        <f t="shared" si="6"/>
        <v>19448241.227050103</v>
      </c>
      <c r="Q15" s="166">
        <f t="shared" si="3"/>
        <v>0.30993582305920064</v>
      </c>
      <c r="R15" s="163">
        <f>'2020'!N15</f>
        <v>42329458.939999998</v>
      </c>
      <c r="S15" s="164">
        <f t="shared" si="4"/>
        <v>39868034.810000002</v>
      </c>
      <c r="T15" s="166">
        <f t="shared" si="5"/>
        <v>0.94185080103459518</v>
      </c>
    </row>
    <row r="16" spans="1:20">
      <c r="A16" s="150">
        <v>7115</v>
      </c>
      <c r="B16" s="506" t="str">
        <f>+VLOOKUP($A16,Master!$D$29:$G$225,4,FALSE)</f>
        <v>Akcize</v>
      </c>
      <c r="C16" s="507"/>
      <c r="D16" s="507"/>
      <c r="E16" s="507"/>
      <c r="F16" s="507"/>
      <c r="G16" s="163">
        <f>'2021'!S16</f>
        <v>152988570.32999998</v>
      </c>
      <c r="H16" s="163">
        <f>SUM('2021'!G90:N90)</f>
        <v>147676466.36477691</v>
      </c>
      <c r="I16" s="164">
        <f t="shared" si="0"/>
        <v>5312103.965223074</v>
      </c>
      <c r="J16" s="166">
        <f t="shared" si="1"/>
        <v>3.5971228835484093E-2</v>
      </c>
      <c r="K16" s="163">
        <f>SUM('2020'!G16:N16)</f>
        <v>132843396.33000001</v>
      </c>
      <c r="L16" s="164">
        <f t="shared" si="7"/>
        <v>20145173.99999997</v>
      </c>
      <c r="M16" s="166">
        <f t="shared" si="2"/>
        <v>0.15164603252055353</v>
      </c>
      <c r="N16" s="163">
        <f>'2021'!N16</f>
        <v>30364249.789999999</v>
      </c>
      <c r="O16" s="163">
        <f>'2021'!N90</f>
        <v>31323444.82822936</v>
      </c>
      <c r="P16" s="164">
        <f t="shared" si="6"/>
        <v>-959195.03822936118</v>
      </c>
      <c r="Q16" s="166">
        <f t="shared" si="3"/>
        <v>-3.06222717038106E-2</v>
      </c>
      <c r="R16" s="163">
        <f>'2020'!N16</f>
        <v>18817685.98</v>
      </c>
      <c r="S16" s="164">
        <f t="shared" si="4"/>
        <v>11546563.809999999</v>
      </c>
      <c r="T16" s="166">
        <f t="shared" si="5"/>
        <v>0.61360168419602878</v>
      </c>
    </row>
    <row r="17" spans="1:20">
      <c r="A17" s="150">
        <v>7116</v>
      </c>
      <c r="B17" s="506" t="str">
        <f>+VLOOKUP($A17,Master!$D$29:$G$225,4,FALSE)</f>
        <v>Porez na međunarodnu trgovinu i transakcije</v>
      </c>
      <c r="C17" s="507"/>
      <c r="D17" s="507"/>
      <c r="E17" s="507"/>
      <c r="F17" s="507"/>
      <c r="G17" s="163">
        <f>'2021'!S17</f>
        <v>18169722.689999998</v>
      </c>
      <c r="H17" s="163">
        <f>SUM('2021'!G91:N91)</f>
        <v>16639013.510733251</v>
      </c>
      <c r="I17" s="164">
        <f t="shared" si="0"/>
        <v>1530709.1792667471</v>
      </c>
      <c r="J17" s="166">
        <f t="shared" si="1"/>
        <v>9.1995188193058519E-2</v>
      </c>
      <c r="K17" s="163">
        <f>SUM('2020'!G17:N17)</f>
        <v>14985565.419999998</v>
      </c>
      <c r="L17" s="164">
        <f t="shared" si="7"/>
        <v>3184157.2699999996</v>
      </c>
      <c r="M17" s="166">
        <f t="shared" si="2"/>
        <v>0.21248162353289435</v>
      </c>
      <c r="N17" s="163">
        <f>'2021'!N17</f>
        <v>3107860.7</v>
      </c>
      <c r="O17" s="163">
        <f>'2021'!N91</f>
        <v>2388958.5884264777</v>
      </c>
      <c r="P17" s="164">
        <f t="shared" si="6"/>
        <v>718902.11157352244</v>
      </c>
      <c r="Q17" s="166">
        <f t="shared" si="3"/>
        <v>0.3009269876239411</v>
      </c>
      <c r="R17" s="163">
        <f>'2020'!N17</f>
        <v>1746060.96</v>
      </c>
      <c r="S17" s="164">
        <f t="shared" si="4"/>
        <v>1361799.7400000002</v>
      </c>
      <c r="T17" s="166">
        <f t="shared" si="5"/>
        <v>0.77992680163927397</v>
      </c>
    </row>
    <row r="18" spans="1:20">
      <c r="A18" s="150">
        <v>7118</v>
      </c>
      <c r="B18" s="506" t="str">
        <f>+VLOOKUP($A18,Master!$D$29:$G$225,4,FALSE)</f>
        <v>Ostali državni porezi</v>
      </c>
      <c r="C18" s="507"/>
      <c r="D18" s="507"/>
      <c r="E18" s="507"/>
      <c r="F18" s="507"/>
      <c r="G18" s="163">
        <f>'2021'!S18</f>
        <v>7293623.330000001</v>
      </c>
      <c r="H18" s="163">
        <f>SUM('2021'!G92:N92)</f>
        <v>7115253.0906020831</v>
      </c>
      <c r="I18" s="164">
        <f t="shared" si="0"/>
        <v>178370.23939791787</v>
      </c>
      <c r="J18" s="166">
        <f t="shared" si="1"/>
        <v>2.5068713245564256E-2</v>
      </c>
      <c r="K18" s="163">
        <f>SUM('2020'!G18:N18)</f>
        <v>6437871.79</v>
      </c>
      <c r="L18" s="164">
        <f t="shared" si="7"/>
        <v>855751.54000000097</v>
      </c>
      <c r="M18" s="166">
        <f t="shared" si="2"/>
        <v>0.13292460115922888</v>
      </c>
      <c r="N18" s="163">
        <f>'2021'!N18</f>
        <v>1098868.8</v>
      </c>
      <c r="O18" s="163">
        <f>'2021'!N92</f>
        <v>1042119.3749279307</v>
      </c>
      <c r="P18" s="164">
        <f t="shared" si="6"/>
        <v>56749.425072069396</v>
      </c>
      <c r="Q18" s="166">
        <f t="shared" si="3"/>
        <v>5.4455781590275087E-2</v>
      </c>
      <c r="R18" s="163">
        <f>'2020'!N18</f>
        <v>877420.89</v>
      </c>
      <c r="S18" s="164">
        <f t="shared" si="4"/>
        <v>221447.91000000003</v>
      </c>
      <c r="T18" s="166">
        <f t="shared" si="5"/>
        <v>0.25238504408072626</v>
      </c>
    </row>
    <row r="19" spans="1:20">
      <c r="A19" s="150">
        <v>712</v>
      </c>
      <c r="B19" s="508" t="str">
        <f>+VLOOKUP($A19,Master!$D$29:$G$225,4,FALSE)</f>
        <v>Doprinosi</v>
      </c>
      <c r="C19" s="509"/>
      <c r="D19" s="509"/>
      <c r="E19" s="509"/>
      <c r="F19" s="509"/>
      <c r="G19" s="169">
        <f>'2021'!S19</f>
        <v>328833310.38</v>
      </c>
      <c r="H19" s="169">
        <f>SUM('2021'!G93:N93)</f>
        <v>344607269.70248264</v>
      </c>
      <c r="I19" s="170">
        <f t="shared" si="0"/>
        <v>-15773959.322482646</v>
      </c>
      <c r="J19" s="172">
        <f t="shared" si="1"/>
        <v>-4.5773727687466126E-2</v>
      </c>
      <c r="K19" s="169">
        <f>SUM('2020'!G19:N19)</f>
        <v>317400874.38</v>
      </c>
      <c r="L19" s="170">
        <f t="shared" si="7"/>
        <v>11432436</v>
      </c>
      <c r="M19" s="172">
        <f t="shared" si="2"/>
        <v>3.6018917787582483E-2</v>
      </c>
      <c r="N19" s="169">
        <f>'2021'!N19</f>
        <v>49096195.219999999</v>
      </c>
      <c r="O19" s="169">
        <f>'2021'!N93</f>
        <v>49631014.368561737</v>
      </c>
      <c r="P19" s="170">
        <f t="shared" si="6"/>
        <v>-534819.14856173843</v>
      </c>
      <c r="Q19" s="172">
        <f t="shared" si="3"/>
        <v>-1.0775906061281648E-2</v>
      </c>
      <c r="R19" s="169">
        <f>'2020'!N19</f>
        <v>51984938.960000001</v>
      </c>
      <c r="S19" s="170">
        <f t="shared" si="4"/>
        <v>-2888743.7400000021</v>
      </c>
      <c r="T19" s="172">
        <f t="shared" si="5"/>
        <v>-5.556885893860064E-2</v>
      </c>
    </row>
    <row r="20" spans="1:20">
      <c r="A20" s="150">
        <v>7121</v>
      </c>
      <c r="B20" s="506" t="str">
        <f>+VLOOKUP($A20,Master!$D$29:$G$225,4,FALSE)</f>
        <v>Doprinosi za penzijsko i invalidsko osiguranje</v>
      </c>
      <c r="C20" s="507"/>
      <c r="D20" s="507"/>
      <c r="E20" s="507"/>
      <c r="F20" s="507"/>
      <c r="G20" s="163">
        <f>'2021'!S20</f>
        <v>202937811.88000003</v>
      </c>
      <c r="H20" s="163">
        <f>SUM('2021'!G94:N94)</f>
        <v>210776098.7826286</v>
      </c>
      <c r="I20" s="164">
        <f t="shared" si="0"/>
        <v>-7838286.9026285708</v>
      </c>
      <c r="J20" s="166">
        <f t="shared" si="1"/>
        <v>-3.7187740677903536E-2</v>
      </c>
      <c r="K20" s="163">
        <f>SUM('2020'!G20:N20)</f>
        <v>197512183.44999999</v>
      </c>
      <c r="L20" s="164">
        <f t="shared" si="7"/>
        <v>5425628.430000037</v>
      </c>
      <c r="M20" s="166">
        <f t="shared" si="2"/>
        <v>2.7469841785094484E-2</v>
      </c>
      <c r="N20" s="163">
        <f>'2021'!N20</f>
        <v>30394889.460000001</v>
      </c>
      <c r="O20" s="163">
        <f>'2021'!N94</f>
        <v>30791698.093733195</v>
      </c>
      <c r="P20" s="164">
        <f t="shared" si="6"/>
        <v>-396808.63373319432</v>
      </c>
      <c r="Q20" s="166">
        <f t="shared" si="3"/>
        <v>-1.288687075734718E-2</v>
      </c>
      <c r="R20" s="163">
        <f>'2020'!N20</f>
        <v>32483401.219999999</v>
      </c>
      <c r="S20" s="164">
        <f t="shared" si="4"/>
        <v>-2088511.7599999979</v>
      </c>
      <c r="T20" s="166">
        <f t="shared" si="5"/>
        <v>-6.4294737667867863E-2</v>
      </c>
    </row>
    <row r="21" spans="1:20">
      <c r="A21" s="150">
        <v>7122</v>
      </c>
      <c r="B21" s="506" t="str">
        <f>+VLOOKUP($A21,Master!$D$29:$G$225,4,FALSE)</f>
        <v>Doprinosi za zdravstveno osiguranje</v>
      </c>
      <c r="C21" s="507"/>
      <c r="D21" s="507"/>
      <c r="E21" s="507"/>
      <c r="F21" s="507"/>
      <c r="G21" s="163">
        <f>'2021'!S21</f>
        <v>107836536.53</v>
      </c>
      <c r="H21" s="163">
        <f>SUM('2021'!G95:N95)</f>
        <v>114820173.0666319</v>
      </c>
      <c r="I21" s="164">
        <f t="shared" si="0"/>
        <v>-6983636.5366318971</v>
      </c>
      <c r="J21" s="166">
        <f t="shared" si="1"/>
        <v>-6.0822382949894949E-2</v>
      </c>
      <c r="K21" s="163">
        <f>SUM('2020'!G21:N21)</f>
        <v>102599727.47</v>
      </c>
      <c r="L21" s="164">
        <f t="shared" si="7"/>
        <v>5236809.0600000024</v>
      </c>
      <c r="M21" s="166">
        <f t="shared" si="2"/>
        <v>5.1041159554066518E-2</v>
      </c>
      <c r="N21" s="163">
        <f>'2021'!N21</f>
        <v>16090735.119999999</v>
      </c>
      <c r="O21" s="163">
        <f>'2021'!N95</f>
        <v>16153497.833335709</v>
      </c>
      <c r="P21" s="164">
        <f t="shared" si="6"/>
        <v>-62762.713335709646</v>
      </c>
      <c r="Q21" s="166">
        <f t="shared" si="3"/>
        <v>-3.8853946051354837E-3</v>
      </c>
      <c r="R21" s="163">
        <f>'2020'!N21</f>
        <v>16697077.890000001</v>
      </c>
      <c r="S21" s="164">
        <f t="shared" si="4"/>
        <v>-606342.77000000142</v>
      </c>
      <c r="T21" s="166">
        <f t="shared" si="5"/>
        <v>-3.6314304454622248E-2</v>
      </c>
    </row>
    <row r="22" spans="1:20">
      <c r="A22" s="150">
        <v>7123</v>
      </c>
      <c r="B22" s="506" t="str">
        <f>+VLOOKUP($A22,Master!$D$29:$G$225,4,FALSE)</f>
        <v>Doprinosi za osiguranje od nezaposlenosti</v>
      </c>
      <c r="C22" s="507"/>
      <c r="D22" s="507"/>
      <c r="E22" s="507"/>
      <c r="F22" s="507"/>
      <c r="G22" s="163">
        <f>'2021'!S22</f>
        <v>9792898.7599999998</v>
      </c>
      <c r="H22" s="163">
        <f>SUM('2021'!G96:N96)</f>
        <v>10269707.867286522</v>
      </c>
      <c r="I22" s="164">
        <f t="shared" si="0"/>
        <v>-476809.10728652216</v>
      </c>
      <c r="J22" s="166">
        <f t="shared" si="1"/>
        <v>-4.6428692368686186E-2</v>
      </c>
      <c r="K22" s="163">
        <f>SUM('2020'!G22:N22)</f>
        <v>9392749.7600000016</v>
      </c>
      <c r="L22" s="164">
        <f t="shared" si="7"/>
        <v>400148.99999999814</v>
      </c>
      <c r="M22" s="166">
        <f t="shared" si="2"/>
        <v>4.2601901490453287E-2</v>
      </c>
      <c r="N22" s="163">
        <f>'2021'!N22</f>
        <v>1413222.93</v>
      </c>
      <c r="O22" s="163">
        <f>'2021'!N96</f>
        <v>1482770.5978639575</v>
      </c>
      <c r="P22" s="164">
        <f t="shared" si="6"/>
        <v>-69547.667863957584</v>
      </c>
      <c r="Q22" s="166">
        <f t="shared" si="3"/>
        <v>-4.6903862245546435E-2</v>
      </c>
      <c r="R22" s="163">
        <f>'2020'!N22</f>
        <v>1488807.39</v>
      </c>
      <c r="S22" s="164">
        <f t="shared" si="4"/>
        <v>-75584.459999999963</v>
      </c>
      <c r="T22" s="166">
        <f t="shared" si="5"/>
        <v>-5.0768461056604486E-2</v>
      </c>
    </row>
    <row r="23" spans="1:20">
      <c r="A23" s="150">
        <v>7124</v>
      </c>
      <c r="B23" s="506" t="str">
        <f>+VLOOKUP($A23,Master!$D$29:$G$225,4,FALSE)</f>
        <v>Ostali doprinosi</v>
      </c>
      <c r="C23" s="507"/>
      <c r="D23" s="507"/>
      <c r="E23" s="507"/>
      <c r="F23" s="507"/>
      <c r="G23" s="163">
        <f>'2021'!S23</f>
        <v>8266063.21</v>
      </c>
      <c r="H23" s="163">
        <f>SUM('2021'!G97:N97)</f>
        <v>8741289.9859356396</v>
      </c>
      <c r="I23" s="164">
        <f t="shared" si="0"/>
        <v>-475226.77593563963</v>
      </c>
      <c r="J23" s="166">
        <f t="shared" si="1"/>
        <v>-5.4365748842591821E-2</v>
      </c>
      <c r="K23" s="163">
        <f>SUM('2020'!G23:N23)</f>
        <v>7896213.7000000002</v>
      </c>
      <c r="L23" s="164">
        <f t="shared" si="7"/>
        <v>369849.50999999978</v>
      </c>
      <c r="M23" s="166">
        <f t="shared" si="2"/>
        <v>4.6838842520181556E-2</v>
      </c>
      <c r="N23" s="163">
        <f>'2021'!N23</f>
        <v>1197347.71</v>
      </c>
      <c r="O23" s="163">
        <f>'2021'!N97</f>
        <v>1203047.8436288757</v>
      </c>
      <c r="P23" s="164">
        <f t="shared" si="6"/>
        <v>-5700.1336288757157</v>
      </c>
      <c r="Q23" s="166">
        <f t="shared" si="3"/>
        <v>-4.7380772585750019E-3</v>
      </c>
      <c r="R23" s="163">
        <f>'2020'!N23</f>
        <v>1315652.46</v>
      </c>
      <c r="S23" s="164">
        <f t="shared" si="4"/>
        <v>-118304.75</v>
      </c>
      <c r="T23" s="166">
        <f t="shared" si="5"/>
        <v>-8.9920973506939617E-2</v>
      </c>
    </row>
    <row r="24" spans="1:20">
      <c r="A24" s="150">
        <v>713</v>
      </c>
      <c r="B24" s="508" t="str">
        <f>+VLOOKUP($A24,Master!$D$29:$G$225,4,FALSE)</f>
        <v>Takse</v>
      </c>
      <c r="C24" s="509"/>
      <c r="D24" s="509"/>
      <c r="E24" s="509"/>
      <c r="F24" s="509"/>
      <c r="G24" s="175">
        <f>'2021'!S24</f>
        <v>8020610.9900000002</v>
      </c>
      <c r="H24" s="175">
        <f>SUM('2021'!G98:N98)</f>
        <v>8491570.5282796063</v>
      </c>
      <c r="I24" s="176">
        <f t="shared" si="0"/>
        <v>-470959.53827960603</v>
      </c>
      <c r="J24" s="178">
        <f t="shared" si="1"/>
        <v>-5.5462006316871815E-2</v>
      </c>
      <c r="K24" s="175">
        <f>SUM('2020'!G24:N24)</f>
        <v>6235523.6299999999</v>
      </c>
      <c r="L24" s="176">
        <f t="shared" si="7"/>
        <v>1785087.3600000003</v>
      </c>
      <c r="M24" s="178">
        <f t="shared" si="2"/>
        <v>0.28627705801830161</v>
      </c>
      <c r="N24" s="175">
        <f>'2021'!N24</f>
        <v>1602829.58</v>
      </c>
      <c r="O24" s="175">
        <f>'2021'!N98</f>
        <v>1358136.6756660538</v>
      </c>
      <c r="P24" s="176">
        <f t="shared" si="6"/>
        <v>244692.9043339463</v>
      </c>
      <c r="Q24" s="178">
        <f t="shared" si="3"/>
        <v>0.18016809995499505</v>
      </c>
      <c r="R24" s="175">
        <f>'2020'!N24</f>
        <v>1016910.3699999999</v>
      </c>
      <c r="S24" s="176">
        <f t="shared" si="4"/>
        <v>585919.2100000002</v>
      </c>
      <c r="T24" s="178">
        <f t="shared" si="5"/>
        <v>0.57617586297207324</v>
      </c>
    </row>
    <row r="25" spans="1:20">
      <c r="A25" s="150">
        <v>714</v>
      </c>
      <c r="B25" s="508" t="str">
        <f>+VLOOKUP($A25,Master!$D$29:$G$225,4,FALSE)</f>
        <v>Naknade</v>
      </c>
      <c r="C25" s="509"/>
      <c r="D25" s="509"/>
      <c r="E25" s="509"/>
      <c r="F25" s="509"/>
      <c r="G25" s="175">
        <f>'2021'!S25</f>
        <v>25257787.769999996</v>
      </c>
      <c r="H25" s="175">
        <f>SUM('2021'!G99:N99)</f>
        <v>19991057.161255147</v>
      </c>
      <c r="I25" s="176">
        <f t="shared" si="0"/>
        <v>5266730.6087448485</v>
      </c>
      <c r="J25" s="178">
        <f t="shared" si="1"/>
        <v>0.26345433191759104</v>
      </c>
      <c r="K25" s="175">
        <f>SUM('2020'!G25:N25)</f>
        <v>16781571.940000001</v>
      </c>
      <c r="L25" s="176">
        <f t="shared" si="7"/>
        <v>8476215.8299999945</v>
      </c>
      <c r="M25" s="178">
        <f t="shared" si="2"/>
        <v>0.50509069473976775</v>
      </c>
      <c r="N25" s="175">
        <f>'2021'!N25</f>
        <v>3469493.29</v>
      </c>
      <c r="O25" s="175">
        <f>'2021'!N99</f>
        <v>2260702.1717122593</v>
      </c>
      <c r="P25" s="176">
        <f t="shared" si="6"/>
        <v>1208791.1182877407</v>
      </c>
      <c r="Q25" s="178">
        <f t="shared" si="3"/>
        <v>0.53469719869035215</v>
      </c>
      <c r="R25" s="175">
        <f>'2020'!N25</f>
        <v>2411610.62</v>
      </c>
      <c r="S25" s="176">
        <f t="shared" si="4"/>
        <v>1057882.67</v>
      </c>
      <c r="T25" s="178">
        <f t="shared" si="5"/>
        <v>0.4386623036184838</v>
      </c>
    </row>
    <row r="26" spans="1:20">
      <c r="A26" s="150">
        <v>715</v>
      </c>
      <c r="B26" s="508" t="str">
        <f>+VLOOKUP($A26,Master!$D$29:$G$225,4,FALSE)</f>
        <v>Ostali prihodi</v>
      </c>
      <c r="C26" s="509"/>
      <c r="D26" s="509"/>
      <c r="E26" s="509"/>
      <c r="F26" s="509"/>
      <c r="G26" s="175">
        <f>'2021'!S26</f>
        <v>44904861.769999996</v>
      </c>
      <c r="H26" s="175">
        <f>SUM('2021'!G100:N100)</f>
        <v>57068095.971296012</v>
      </c>
      <c r="I26" s="176">
        <f t="shared" si="0"/>
        <v>-12163234.201296017</v>
      </c>
      <c r="J26" s="178">
        <f t="shared" si="1"/>
        <v>-0.21313544799906858</v>
      </c>
      <c r="K26" s="175">
        <f>SUM('2020'!G26:N26)</f>
        <v>18807063.719999999</v>
      </c>
      <c r="L26" s="176">
        <f t="shared" si="7"/>
        <v>26097798.049999997</v>
      </c>
      <c r="M26" s="178">
        <f t="shared" si="2"/>
        <v>1.3876593623834439</v>
      </c>
      <c r="N26" s="175">
        <f>'2021'!N26</f>
        <v>2283333.19</v>
      </c>
      <c r="O26" s="175">
        <f>'2021'!N100</f>
        <v>6453367.3074506968</v>
      </c>
      <c r="P26" s="176">
        <f t="shared" si="6"/>
        <v>-4170034.1174506969</v>
      </c>
      <c r="Q26" s="178">
        <f t="shared" si="3"/>
        <v>-0.64617957087863398</v>
      </c>
      <c r="R26" s="175">
        <f>'2020'!N26</f>
        <v>3216715.11</v>
      </c>
      <c r="S26" s="176">
        <f t="shared" si="4"/>
        <v>-933381.91999999993</v>
      </c>
      <c r="T26" s="178">
        <f t="shared" si="5"/>
        <v>-0.2901661751450535</v>
      </c>
    </row>
    <row r="27" spans="1:20">
      <c r="A27" s="150">
        <v>73</v>
      </c>
      <c r="B27" s="508" t="str">
        <f>+VLOOKUP($A27,Master!$D$29:$G$225,4,FALSE)</f>
        <v>Primici od otplate kredita i sredstva prenesena iz prethodne godine</v>
      </c>
      <c r="C27" s="509"/>
      <c r="D27" s="509"/>
      <c r="E27" s="509"/>
      <c r="F27" s="509"/>
      <c r="G27" s="175">
        <f>'2021'!S27</f>
        <v>5641044.6799999997</v>
      </c>
      <c r="H27" s="175">
        <f>SUM('2021'!G101:N101)</f>
        <v>5174036.7888843799</v>
      </c>
      <c r="I27" s="176">
        <f t="shared" si="0"/>
        <v>467007.8911156198</v>
      </c>
      <c r="J27" s="178">
        <f t="shared" si="1"/>
        <v>9.0259870613775828E-2</v>
      </c>
      <c r="K27" s="175">
        <f>SUM('2020'!G27:N27)</f>
        <v>4813479.28</v>
      </c>
      <c r="L27" s="176">
        <f t="shared" si="7"/>
        <v>827565.39999999944</v>
      </c>
      <c r="M27" s="178">
        <f t="shared" si="2"/>
        <v>0.17192665676126051</v>
      </c>
      <c r="N27" s="175">
        <f>'2021'!N27</f>
        <v>594112.48</v>
      </c>
      <c r="O27" s="175">
        <f>'2021'!N101</f>
        <v>1492824.8706624259</v>
      </c>
      <c r="P27" s="176">
        <f t="shared" si="6"/>
        <v>-898712.3906624259</v>
      </c>
      <c r="Q27" s="178">
        <f t="shared" si="3"/>
        <v>-0.60202131430435735</v>
      </c>
      <c r="R27" s="175">
        <f>'2020'!N27</f>
        <v>635570.36</v>
      </c>
      <c r="S27" s="176">
        <f t="shared" si="4"/>
        <v>-41457.880000000005</v>
      </c>
      <c r="T27" s="178">
        <f t="shared" si="5"/>
        <v>-6.5229410635197049E-2</v>
      </c>
    </row>
    <row r="28" spans="1:20" ht="15.75" thickBot="1">
      <c r="A28" s="150">
        <v>74</v>
      </c>
      <c r="B28" s="512" t="str">
        <f>+VLOOKUP($A28,Master!$D$29:$G$225,4,FALSE)</f>
        <v>Donacije i transferi</v>
      </c>
      <c r="C28" s="513"/>
      <c r="D28" s="513"/>
      <c r="E28" s="513"/>
      <c r="F28" s="513"/>
      <c r="G28" s="175">
        <f>'2021'!S28</f>
        <v>11288278.58</v>
      </c>
      <c r="H28" s="175">
        <f>SUM('2021'!G102:N102)</f>
        <v>26483585.65801762</v>
      </c>
      <c r="I28" s="176">
        <f t="shared" si="0"/>
        <v>-15195307.07801762</v>
      </c>
      <c r="J28" s="178">
        <f t="shared" si="1"/>
        <v>-0.57376320843538808</v>
      </c>
      <c r="K28" s="175">
        <f>SUM('2020'!G28:N28)</f>
        <v>16869588.870000001</v>
      </c>
      <c r="L28" s="176">
        <f t="shared" si="7"/>
        <v>-5581310.290000001</v>
      </c>
      <c r="M28" s="178">
        <f t="shared" si="2"/>
        <v>-0.33085040382492736</v>
      </c>
      <c r="N28" s="175">
        <f>'2021'!N28</f>
        <v>787553.87</v>
      </c>
      <c r="O28" s="175">
        <f>'2021'!N102</f>
        <v>4961468.8644931968</v>
      </c>
      <c r="P28" s="176">
        <f t="shared" si="6"/>
        <v>-4173914.9944931967</v>
      </c>
      <c r="Q28" s="178">
        <f t="shared" si="3"/>
        <v>-0.84126598563660504</v>
      </c>
      <c r="R28" s="175">
        <f>'2020'!N28</f>
        <v>2031508.34</v>
      </c>
      <c r="S28" s="176">
        <f t="shared" si="4"/>
        <v>-1243954.4700000002</v>
      </c>
      <c r="T28" s="178">
        <f t="shared" si="5"/>
        <v>-0.61233047657584316</v>
      </c>
    </row>
    <row r="29" spans="1:20" ht="15.75" thickBot="1">
      <c r="A29" s="150">
        <v>4</v>
      </c>
      <c r="B29" s="514" t="str">
        <f>+VLOOKUP($A29,Master!$D$29:$G$225,4,FALSE)</f>
        <v>Izdaci budžeta</v>
      </c>
      <c r="C29" s="515"/>
      <c r="D29" s="515"/>
      <c r="E29" s="515"/>
      <c r="F29" s="515"/>
      <c r="G29" s="151">
        <f>'2021'!S29</f>
        <v>1229650286.51</v>
      </c>
      <c r="H29" s="151">
        <f>SUM('2021'!G103:N103)</f>
        <v>1350521386.8044844</v>
      </c>
      <c r="I29" s="152">
        <f t="shared" si="0"/>
        <v>-120871100.29448438</v>
      </c>
      <c r="J29" s="154">
        <f t="shared" si="1"/>
        <v>-8.9499582513448139E-2</v>
      </c>
      <c r="K29" s="151">
        <f>SUM('2020'!G29:N29)</f>
        <v>1334661750.8899999</v>
      </c>
      <c r="L29" s="152">
        <f t="shared" si="7"/>
        <v>-105011464.37999988</v>
      </c>
      <c r="M29" s="154">
        <f t="shared" si="2"/>
        <v>-7.8680208157590914E-2</v>
      </c>
      <c r="N29" s="151">
        <f>'2021'!N29</f>
        <v>128580844.03999999</v>
      </c>
      <c r="O29" s="151">
        <f>'2021'!N103</f>
        <v>159631902.00295356</v>
      </c>
      <c r="P29" s="152">
        <f t="shared" si="6"/>
        <v>-31051057.962953568</v>
      </c>
      <c r="Q29" s="154">
        <f t="shared" si="3"/>
        <v>-0.19451661963145095</v>
      </c>
      <c r="R29" s="151">
        <f>'2020'!N29</f>
        <v>181891693.96199998</v>
      </c>
      <c r="S29" s="152">
        <f t="shared" si="4"/>
        <v>-53310849.921999991</v>
      </c>
      <c r="T29" s="154">
        <f t="shared" si="5"/>
        <v>-0.29309117288850728</v>
      </c>
    </row>
    <row r="30" spans="1:20">
      <c r="A30" s="150">
        <v>41</v>
      </c>
      <c r="B30" s="518" t="str">
        <f>+VLOOKUP($A30,Master!$D$29:$G$225,4,FALSE)</f>
        <v>Tekući izdaci</v>
      </c>
      <c r="C30" s="519"/>
      <c r="D30" s="519"/>
      <c r="E30" s="519"/>
      <c r="F30" s="519"/>
      <c r="G30" s="313">
        <f>'2021'!S30</f>
        <v>532391257.33000004</v>
      </c>
      <c r="H30" s="313">
        <f>SUM('2021'!G104:N104)</f>
        <v>585109090.81555116</v>
      </c>
      <c r="I30" s="188">
        <f t="shared" si="0"/>
        <v>-52717833.485551119</v>
      </c>
      <c r="J30" s="190">
        <f t="shared" si="1"/>
        <v>-9.0099152983712183E-2</v>
      </c>
      <c r="K30" s="313">
        <f>SUM('2020'!G30:N30)</f>
        <v>548983761.73000002</v>
      </c>
      <c r="L30" s="188">
        <f t="shared" si="7"/>
        <v>-16592504.399999976</v>
      </c>
      <c r="M30" s="190">
        <f t="shared" si="2"/>
        <v>-3.0224034947249456E-2</v>
      </c>
      <c r="N30" s="313">
        <f>'2021'!N30</f>
        <v>54770502.110000007</v>
      </c>
      <c r="O30" s="313">
        <f>'2021'!N104</f>
        <v>62070678.185186878</v>
      </c>
      <c r="P30" s="188">
        <f t="shared" si="6"/>
        <v>-7300176.075186871</v>
      </c>
      <c r="Q30" s="190">
        <f t="shared" si="3"/>
        <v>-0.11761070264782536</v>
      </c>
      <c r="R30" s="313">
        <f>'2020'!N30</f>
        <v>57903495.600000001</v>
      </c>
      <c r="S30" s="188">
        <f t="shared" si="4"/>
        <v>-3132993.4899999946</v>
      </c>
      <c r="T30" s="190">
        <f t="shared" si="5"/>
        <v>-5.4107156356204444E-2</v>
      </c>
    </row>
    <row r="31" spans="1:20">
      <c r="A31" s="150">
        <v>411</v>
      </c>
      <c r="B31" s="506" t="str">
        <f>+VLOOKUP($A31,Master!$D$29:$G$225,4,FALSE)</f>
        <v>Bruto zarade i doprinosi na teret poslodavca</v>
      </c>
      <c r="C31" s="507"/>
      <c r="D31" s="507"/>
      <c r="E31" s="507"/>
      <c r="F31" s="507"/>
      <c r="G31" s="163">
        <f>'2021'!S31</f>
        <v>357487139.42000002</v>
      </c>
      <c r="H31" s="163">
        <f>SUM('2021'!G105:N105)</f>
        <v>355530798.72613335</v>
      </c>
      <c r="I31" s="164">
        <f t="shared" si="0"/>
        <v>1956340.6938666701</v>
      </c>
      <c r="J31" s="166">
        <f t="shared" si="1"/>
        <v>5.5025913391364423E-3</v>
      </c>
      <c r="K31" s="163">
        <f>SUM('2020'!G31:N31)</f>
        <v>330720869.38999993</v>
      </c>
      <c r="L31" s="164">
        <f t="shared" si="7"/>
        <v>26766270.030000091</v>
      </c>
      <c r="M31" s="166">
        <f t="shared" si="2"/>
        <v>8.0933114621309699E-2</v>
      </c>
      <c r="N31" s="163">
        <f>'2021'!N31</f>
        <v>42439479.950000003</v>
      </c>
      <c r="O31" s="163">
        <f>'2021'!N105</f>
        <v>41853667.688466668</v>
      </c>
      <c r="P31" s="164">
        <f>+N31-O31</f>
        <v>585812.26153333485</v>
      </c>
      <c r="Q31" s="166">
        <f>IF(+IF(ISERROR(N31/O31),"…",N31/O31-1)&gt;200%,"...",IF(ISERROR(N31/O31),"…",N31/O31-1))</f>
        <v>1.3996676847863432E-2</v>
      </c>
      <c r="R31" s="163">
        <f>'2020'!N31</f>
        <v>40354849.710000001</v>
      </c>
      <c r="S31" s="164">
        <f t="shared" si="4"/>
        <v>2084630.2400000021</v>
      </c>
      <c r="T31" s="166">
        <f t="shared" si="5"/>
        <v>5.1657489867529494E-2</v>
      </c>
    </row>
    <row r="32" spans="1:20">
      <c r="A32" s="150">
        <v>412</v>
      </c>
      <c r="B32" s="506" t="str">
        <f>+VLOOKUP($A32,Master!$D$29:$G$225,4,FALSE)</f>
        <v>Ostala lična primanja</v>
      </c>
      <c r="C32" s="507"/>
      <c r="D32" s="507"/>
      <c r="E32" s="507"/>
      <c r="F32" s="507"/>
      <c r="G32" s="163">
        <f>'2021'!S32</f>
        <v>6036578.9699999997</v>
      </c>
      <c r="H32" s="163">
        <f>SUM('2021'!G106:N106)</f>
        <v>8531262.6959999986</v>
      </c>
      <c r="I32" s="164">
        <f t="shared" si="0"/>
        <v>-2494683.7259999989</v>
      </c>
      <c r="J32" s="166">
        <f t="shared" si="1"/>
        <v>-0.29241670487648519</v>
      </c>
      <c r="K32" s="163">
        <f>SUM('2020'!G32:N32)</f>
        <v>7305132.3899999997</v>
      </c>
      <c r="L32" s="164">
        <f t="shared" si="7"/>
        <v>-1268553.42</v>
      </c>
      <c r="M32" s="166">
        <f t="shared" si="2"/>
        <v>-0.17365235183643268</v>
      </c>
      <c r="N32" s="163">
        <f>'2021'!N32</f>
        <v>668764.4</v>
      </c>
      <c r="O32" s="163">
        <f>'2021'!N106</f>
        <v>992187.80600000045</v>
      </c>
      <c r="P32" s="164">
        <f t="shared" si="6"/>
        <v>-323423.40600000042</v>
      </c>
      <c r="Q32" s="166">
        <f t="shared" si="3"/>
        <v>-0.32596994645991473</v>
      </c>
      <c r="R32" s="163">
        <f>'2020'!N32</f>
        <v>1018490.55</v>
      </c>
      <c r="S32" s="164">
        <f t="shared" si="4"/>
        <v>-349726.15</v>
      </c>
      <c r="T32" s="166">
        <f t="shared" si="5"/>
        <v>-0.34337692185754698</v>
      </c>
    </row>
    <row r="33" spans="1:20">
      <c r="A33" s="150">
        <v>413</v>
      </c>
      <c r="B33" s="506" t="str">
        <f>+VLOOKUP($A33,Master!$D$29:$G$225,4,FALSE)</f>
        <v>Rashodi za materijal</v>
      </c>
      <c r="C33" s="507"/>
      <c r="D33" s="507"/>
      <c r="E33" s="507"/>
      <c r="F33" s="507"/>
      <c r="G33" s="163">
        <f>'2021'!S33</f>
        <v>16961415.050000001</v>
      </c>
      <c r="H33" s="163">
        <f>SUM('2021'!G107:N107)</f>
        <v>23807554.776866663</v>
      </c>
      <c r="I33" s="164">
        <f t="shared" si="0"/>
        <v>-6846139.7268666625</v>
      </c>
      <c r="J33" s="166">
        <f t="shared" si="1"/>
        <v>-0.28756164969612596</v>
      </c>
      <c r="K33" s="163">
        <f>SUM('2020'!G33:N33)</f>
        <v>20744403.650000002</v>
      </c>
      <c r="L33" s="164">
        <f t="shared" si="7"/>
        <v>-3782988.6000000015</v>
      </c>
      <c r="M33" s="166">
        <f t="shared" si="2"/>
        <v>-0.18236188727459524</v>
      </c>
      <c r="N33" s="163">
        <f>'2021'!N33</f>
        <v>1974731.33</v>
      </c>
      <c r="O33" s="163">
        <f>'2021'!N107</f>
        <v>2038155.2507833347</v>
      </c>
      <c r="P33" s="164">
        <f t="shared" si="6"/>
        <v>-63423.920783334645</v>
      </c>
      <c r="Q33" s="166">
        <f t="shared" si="3"/>
        <v>-3.1118297175329768E-2</v>
      </c>
      <c r="R33" s="163">
        <f>'2020'!N33</f>
        <v>2727242.16</v>
      </c>
      <c r="S33" s="164">
        <f t="shared" si="4"/>
        <v>-752510.83000000007</v>
      </c>
      <c r="T33" s="166">
        <f t="shared" si="5"/>
        <v>-0.27592373021983496</v>
      </c>
    </row>
    <row r="34" spans="1:20">
      <c r="A34" s="150">
        <v>414</v>
      </c>
      <c r="B34" s="506" t="str">
        <f>+VLOOKUP($A34,Master!$D$29:$G$225,4,FALSE)</f>
        <v>Rashodi za usluge</v>
      </c>
      <c r="C34" s="507"/>
      <c r="D34" s="507"/>
      <c r="E34" s="507"/>
      <c r="F34" s="507"/>
      <c r="G34" s="163">
        <f>'2021'!S34</f>
        <v>32496852.010000005</v>
      </c>
      <c r="H34" s="163">
        <f>SUM('2021'!G108:N108)</f>
        <v>44987046.551133335</v>
      </c>
      <c r="I34" s="164">
        <f t="shared" si="0"/>
        <v>-12490194.541133329</v>
      </c>
      <c r="J34" s="166">
        <f t="shared" si="1"/>
        <v>-0.27763979853482224</v>
      </c>
      <c r="K34" s="163">
        <f>SUM('2020'!G34:N34)</f>
        <v>46388493.089999996</v>
      </c>
      <c r="L34" s="164">
        <f t="shared" si="7"/>
        <v>-13891641.079999991</v>
      </c>
      <c r="M34" s="166">
        <f t="shared" si="2"/>
        <v>-0.29946308135184119</v>
      </c>
      <c r="N34" s="163">
        <f>'2021'!N34</f>
        <v>4061567.71</v>
      </c>
      <c r="O34" s="163">
        <f>'2021'!N108</f>
        <v>4439703.7447166666</v>
      </c>
      <c r="P34" s="164">
        <f t="shared" si="6"/>
        <v>-378136.03471666668</v>
      </c>
      <c r="Q34" s="166">
        <f t="shared" si="3"/>
        <v>-8.5171456578979177E-2</v>
      </c>
      <c r="R34" s="163">
        <f>'2020'!N34</f>
        <v>4335926</v>
      </c>
      <c r="S34" s="164">
        <f t="shared" si="4"/>
        <v>-274358.29000000004</v>
      </c>
      <c r="T34" s="166">
        <f t="shared" si="5"/>
        <v>-6.3275593264276231E-2</v>
      </c>
    </row>
    <row r="35" spans="1:20">
      <c r="A35" s="150">
        <v>415</v>
      </c>
      <c r="B35" s="506" t="str">
        <f>+VLOOKUP($A35,Master!$D$29:$G$225,4,FALSE)</f>
        <v>Rashodi za tekuće održavanje</v>
      </c>
      <c r="C35" s="507"/>
      <c r="D35" s="507"/>
      <c r="E35" s="507"/>
      <c r="F35" s="507"/>
      <c r="G35" s="163">
        <f>'2021'!S35</f>
        <v>10915953.23</v>
      </c>
      <c r="H35" s="163">
        <f>SUM('2021'!G109:N109)</f>
        <v>15026941.144866668</v>
      </c>
      <c r="I35" s="164">
        <f t="shared" si="0"/>
        <v>-4110987.9148666672</v>
      </c>
      <c r="J35" s="166">
        <f t="shared" si="1"/>
        <v>-0.27357450030813601</v>
      </c>
      <c r="K35" s="163">
        <f>SUM('2020'!G35:N35)</f>
        <v>12966195.670000002</v>
      </c>
      <c r="L35" s="164">
        <f t="shared" si="7"/>
        <v>-2050242.4400000013</v>
      </c>
      <c r="M35" s="166">
        <f t="shared" si="2"/>
        <v>-0.15812212712042162</v>
      </c>
      <c r="N35" s="163">
        <f>'2021'!N35</f>
        <v>627370.31000000006</v>
      </c>
      <c r="O35" s="163">
        <f>'2021'!N109</f>
        <v>2078633.2887833335</v>
      </c>
      <c r="P35" s="164">
        <f t="shared" si="6"/>
        <v>-1451262.9787833334</v>
      </c>
      <c r="Q35" s="166">
        <f t="shared" si="3"/>
        <v>-0.69818134185313041</v>
      </c>
      <c r="R35" s="163">
        <f>'2020'!N35</f>
        <v>967680.89</v>
      </c>
      <c r="S35" s="164">
        <f t="shared" si="4"/>
        <v>-340310.57999999996</v>
      </c>
      <c r="T35" s="166">
        <f t="shared" si="5"/>
        <v>-0.35167644986768309</v>
      </c>
    </row>
    <row r="36" spans="1:20">
      <c r="A36" s="150">
        <v>416</v>
      </c>
      <c r="B36" s="506" t="str">
        <f>+VLOOKUP($A36,Master!$D$29:$G$225,4,FALSE)</f>
        <v>Kamate</v>
      </c>
      <c r="C36" s="507"/>
      <c r="D36" s="507"/>
      <c r="E36" s="507"/>
      <c r="F36" s="507"/>
      <c r="G36" s="163">
        <f>'2021'!S36</f>
        <v>64052486.190000005</v>
      </c>
      <c r="H36" s="163">
        <f>SUM('2021'!G110:N110)</f>
        <v>68352221.811417758</v>
      </c>
      <c r="I36" s="164">
        <f t="shared" si="0"/>
        <v>-4299735.6214177534</v>
      </c>
      <c r="J36" s="166">
        <f t="shared" si="1"/>
        <v>-6.2905572159462908E-2</v>
      </c>
      <c r="K36" s="163">
        <f>SUM('2020'!G36:N36)</f>
        <v>76146961.650000006</v>
      </c>
      <c r="L36" s="164">
        <f t="shared" si="7"/>
        <v>-12094475.460000001</v>
      </c>
      <c r="M36" s="166">
        <f t="shared" si="2"/>
        <v>-0.15883070312891467</v>
      </c>
      <c r="N36" s="163">
        <f>'2021'!N36</f>
        <v>1148989.72</v>
      </c>
      <c r="O36" s="163">
        <f>'2021'!N110</f>
        <v>1122507.1587202</v>
      </c>
      <c r="P36" s="164">
        <f t="shared" si="6"/>
        <v>26482.561279800022</v>
      </c>
      <c r="Q36" s="166">
        <f t="shared" si="3"/>
        <v>2.3592331749575202E-2</v>
      </c>
      <c r="R36" s="163">
        <f>'2020'!N36</f>
        <v>1773831.18</v>
      </c>
      <c r="S36" s="164">
        <f t="shared" si="4"/>
        <v>-624841.46</v>
      </c>
      <c r="T36" s="166">
        <f t="shared" si="5"/>
        <v>-0.35225531439807023</v>
      </c>
    </row>
    <row r="37" spans="1:20">
      <c r="A37" s="150">
        <v>417</v>
      </c>
      <c r="B37" s="506" t="str">
        <f>+VLOOKUP($A37,Master!$D$29:$G$225,4,FALSE)</f>
        <v>Renta</v>
      </c>
      <c r="C37" s="507"/>
      <c r="D37" s="507"/>
      <c r="E37" s="507"/>
      <c r="F37" s="507"/>
      <c r="G37" s="163">
        <f>'2021'!S37</f>
        <v>5606820.0500000007</v>
      </c>
      <c r="H37" s="163">
        <f>SUM('2021'!G111:N111)</f>
        <v>6884463.5818000007</v>
      </c>
      <c r="I37" s="164">
        <f t="shared" si="0"/>
        <v>-1277643.5318</v>
      </c>
      <c r="J37" s="166">
        <f t="shared" si="1"/>
        <v>-0.18558359945103364</v>
      </c>
      <c r="K37" s="163">
        <f>SUM('2020'!G37:N37)</f>
        <v>6772651.25</v>
      </c>
      <c r="L37" s="164">
        <f t="shared" si="7"/>
        <v>-1165831.1999999993</v>
      </c>
      <c r="M37" s="166">
        <f t="shared" si="2"/>
        <v>-0.17213808255666485</v>
      </c>
      <c r="N37" s="163">
        <f>'2021'!N37</f>
        <v>599617.06999999995</v>
      </c>
      <c r="O37" s="163">
        <f>'2021'!N111</f>
        <v>997721.26954999997</v>
      </c>
      <c r="P37" s="164">
        <f t="shared" si="6"/>
        <v>-398104.19955000002</v>
      </c>
      <c r="Q37" s="166">
        <f t="shared" si="3"/>
        <v>-0.39901344363396807</v>
      </c>
      <c r="R37" s="163">
        <f>'2020'!N37</f>
        <v>762878.34</v>
      </c>
      <c r="S37" s="164">
        <f t="shared" si="4"/>
        <v>-163261.27000000002</v>
      </c>
      <c r="T37" s="166">
        <f t="shared" si="5"/>
        <v>-0.21400695424122285</v>
      </c>
    </row>
    <row r="38" spans="1:20">
      <c r="A38" s="150">
        <v>418</v>
      </c>
      <c r="B38" s="506" t="str">
        <f>+VLOOKUP($A38,Master!$D$29:$G$225,4,FALSE)</f>
        <v>Subvencije</v>
      </c>
      <c r="C38" s="507"/>
      <c r="D38" s="507"/>
      <c r="E38" s="507"/>
      <c r="F38" s="507"/>
      <c r="G38" s="163">
        <f>'2021'!S38</f>
        <v>20329962.899999999</v>
      </c>
      <c r="H38" s="163">
        <f>SUM('2021'!G112:N112)</f>
        <v>32214462.889866665</v>
      </c>
      <c r="I38" s="164">
        <f t="shared" si="0"/>
        <v>-11884499.989866666</v>
      </c>
      <c r="J38" s="166">
        <f t="shared" si="1"/>
        <v>-0.36891814805346446</v>
      </c>
      <c r="K38" s="163">
        <f>SUM('2020'!G38:N38)</f>
        <v>17411307.91</v>
      </c>
      <c r="L38" s="164">
        <f t="shared" si="7"/>
        <v>2918654.9899999984</v>
      </c>
      <c r="M38" s="166">
        <f t="shared" si="2"/>
        <v>0.16762985325896729</v>
      </c>
      <c r="N38" s="163">
        <f>'2021'!N38</f>
        <v>1282909.52</v>
      </c>
      <c r="O38" s="163">
        <f>'2021'!N112</f>
        <v>4639246.2625333332</v>
      </c>
      <c r="P38" s="164">
        <f t="shared" si="6"/>
        <v>-3356336.7425333331</v>
      </c>
      <c r="Q38" s="166">
        <f t="shared" si="3"/>
        <v>-0.7234659581749715</v>
      </c>
      <c r="R38" s="163">
        <f>'2020'!N38</f>
        <v>3289868.97</v>
      </c>
      <c r="S38" s="164">
        <f t="shared" si="4"/>
        <v>-2006959.4500000002</v>
      </c>
      <c r="T38" s="166">
        <f t="shared" si="5"/>
        <v>-0.6100423659122205</v>
      </c>
    </row>
    <row r="39" spans="1:20">
      <c r="A39" s="150">
        <v>419</v>
      </c>
      <c r="B39" s="506" t="str">
        <f>+VLOOKUP($A39,Master!$D$29:$G$225,4,FALSE)</f>
        <v>Ostali izdaci</v>
      </c>
      <c r="C39" s="507"/>
      <c r="D39" s="507"/>
      <c r="E39" s="507"/>
      <c r="F39" s="507"/>
      <c r="G39" s="163">
        <f>'2021'!S39</f>
        <v>18504049.510000002</v>
      </c>
      <c r="H39" s="163">
        <f>SUM('2021'!G113:N113)</f>
        <v>29774338.637466662</v>
      </c>
      <c r="I39" s="164">
        <f t="shared" si="0"/>
        <v>-11270289.12746666</v>
      </c>
      <c r="J39" s="166">
        <f t="shared" si="1"/>
        <v>-0.37852357577758744</v>
      </c>
      <c r="K39" s="163">
        <f>SUM('2020'!G39:N39)</f>
        <v>30527746.73</v>
      </c>
      <c r="L39" s="164">
        <f t="shared" si="7"/>
        <v>-12023697.219999999</v>
      </c>
      <c r="M39" s="166">
        <f t="shared" si="2"/>
        <v>-0.39386127401876536</v>
      </c>
      <c r="N39" s="163">
        <f>'2021'!N39</f>
        <v>1967072.1</v>
      </c>
      <c r="O39" s="163">
        <f>'2021'!N113</f>
        <v>3908855.7156333341</v>
      </c>
      <c r="P39" s="164">
        <f t="shared" si="6"/>
        <v>-1941783.615633334</v>
      </c>
      <c r="Q39" s="166">
        <f t="shared" si="3"/>
        <v>-0.49676523179590315</v>
      </c>
      <c r="R39" s="163">
        <f>'2020'!N39</f>
        <v>2672727.7999999998</v>
      </c>
      <c r="S39" s="164">
        <f t="shared" si="4"/>
        <v>-705655.69999999972</v>
      </c>
      <c r="T39" s="166">
        <f t="shared" si="5"/>
        <v>-0.26402078805032059</v>
      </c>
    </row>
    <row r="40" spans="1:20">
      <c r="A40" s="150">
        <v>42</v>
      </c>
      <c r="B40" s="522" t="str">
        <f>+VLOOKUP($A40,Master!$D$29:$G$225,4,FALSE)</f>
        <v>Transferi za socijalnu zaštitu</v>
      </c>
      <c r="C40" s="523"/>
      <c r="D40" s="523"/>
      <c r="E40" s="523"/>
      <c r="F40" s="523"/>
      <c r="G40" s="193">
        <f>'2021'!S40</f>
        <v>374985064.55999988</v>
      </c>
      <c r="H40" s="193">
        <f>SUM('2021'!G114:N114)</f>
        <v>378880486.39713329</v>
      </c>
      <c r="I40" s="194">
        <f t="shared" si="0"/>
        <v>-3895421.8371334076</v>
      </c>
      <c r="J40" s="196">
        <f t="shared" si="1"/>
        <v>-1.0281400011322606E-2</v>
      </c>
      <c r="K40" s="193">
        <f>SUM('2020'!G40:N40)</f>
        <v>368484465.89999998</v>
      </c>
      <c r="L40" s="194">
        <f t="shared" si="7"/>
        <v>6500598.659999907</v>
      </c>
      <c r="M40" s="196">
        <f t="shared" si="2"/>
        <v>1.7641445601031203E-2</v>
      </c>
      <c r="N40" s="193">
        <f>'2021'!N40</f>
        <v>48312853.209999993</v>
      </c>
      <c r="O40" s="193">
        <f>'2021'!N114</f>
        <v>48529569.028216675</v>
      </c>
      <c r="P40" s="194">
        <f t="shared" si="6"/>
        <v>-216715.81821668148</v>
      </c>
      <c r="Q40" s="196">
        <f t="shared" si="3"/>
        <v>-4.465644813179237E-3</v>
      </c>
      <c r="R40" s="193">
        <f>'2020'!N40</f>
        <v>46455371.942000002</v>
      </c>
      <c r="S40" s="194">
        <f t="shared" si="4"/>
        <v>1857481.2679999918</v>
      </c>
      <c r="T40" s="196">
        <f t="shared" si="5"/>
        <v>3.9984208291757417E-2</v>
      </c>
    </row>
    <row r="41" spans="1:20">
      <c r="A41" s="150">
        <v>421</v>
      </c>
      <c r="B41" s="506" t="str">
        <f>+VLOOKUP($A41,Master!$D$29:$G$225,4,FALSE)</f>
        <v>Prava iz oblasti socijalne zaštite</v>
      </c>
      <c r="C41" s="507"/>
      <c r="D41" s="507"/>
      <c r="E41" s="507"/>
      <c r="F41" s="507"/>
      <c r="G41" s="163">
        <f>'2021'!S41</f>
        <v>53860383.200000003</v>
      </c>
      <c r="H41" s="163">
        <f>SUM('2021'!G115:N115)</f>
        <v>54185440.640000001</v>
      </c>
      <c r="I41" s="164">
        <f t="shared" si="0"/>
        <v>-325057.43999999762</v>
      </c>
      <c r="J41" s="166">
        <f t="shared" si="1"/>
        <v>-5.9989812052951841E-3</v>
      </c>
      <c r="K41" s="163">
        <f>SUM('2020'!G41:N41)</f>
        <v>52842430.700000003</v>
      </c>
      <c r="L41" s="164">
        <f t="shared" si="7"/>
        <v>1017952.5</v>
      </c>
      <c r="M41" s="166">
        <f t="shared" si="2"/>
        <v>1.9263922694608304E-2</v>
      </c>
      <c r="N41" s="163">
        <f>'2021'!N41</f>
        <v>6922132.7699999996</v>
      </c>
      <c r="O41" s="163">
        <f>'2021'!N115</f>
        <v>7000000</v>
      </c>
      <c r="P41" s="164">
        <f t="shared" si="6"/>
        <v>-77867.230000000447</v>
      </c>
      <c r="Q41" s="166">
        <f t="shared" si="3"/>
        <v>-1.1123890000000025E-2</v>
      </c>
      <c r="R41" s="163">
        <f>'2020'!N41</f>
        <v>7119326.7800000003</v>
      </c>
      <c r="S41" s="164">
        <f t="shared" si="4"/>
        <v>-197194.01000000071</v>
      </c>
      <c r="T41" s="166">
        <f t="shared" si="5"/>
        <v>-2.7698406899086092E-2</v>
      </c>
    </row>
    <row r="42" spans="1:20">
      <c r="A42" s="150">
        <v>422</v>
      </c>
      <c r="B42" s="506" t="str">
        <f>+VLOOKUP($A42,Master!$D$29:$G$225,4,FALSE)</f>
        <v>Sredstva za tehnološke viškove</v>
      </c>
      <c r="C42" s="507"/>
      <c r="D42" s="507"/>
      <c r="E42" s="507"/>
      <c r="F42" s="507"/>
      <c r="G42" s="163">
        <f>'2021'!S42</f>
        <v>14642330.92</v>
      </c>
      <c r="H42" s="163">
        <f>SUM('2021'!G116:N116)</f>
        <v>13234715.908</v>
      </c>
      <c r="I42" s="164">
        <f t="shared" si="0"/>
        <v>1407615.0120000001</v>
      </c>
      <c r="J42" s="166">
        <f t="shared" si="1"/>
        <v>0.10635778068716517</v>
      </c>
      <c r="K42" s="163">
        <f>SUM('2020'!G42:N42)</f>
        <v>10661281.17</v>
      </c>
      <c r="L42" s="164">
        <f t="shared" si="7"/>
        <v>3981049.75</v>
      </c>
      <c r="M42" s="166">
        <f t="shared" si="2"/>
        <v>0.37341194613667628</v>
      </c>
      <c r="N42" s="163">
        <f>'2021'!N42</f>
        <v>3011655.31</v>
      </c>
      <c r="O42" s="163">
        <f>'2021'!N116</f>
        <v>1331215.5080000004</v>
      </c>
      <c r="P42" s="164">
        <f t="shared" si="6"/>
        <v>1680439.8019999997</v>
      </c>
      <c r="Q42" s="166">
        <f t="shared" si="3"/>
        <v>1.2623349051309272</v>
      </c>
      <c r="R42" s="163">
        <f>'2020'!N42</f>
        <v>1389249.83</v>
      </c>
      <c r="S42" s="164">
        <f t="shared" si="4"/>
        <v>1622405.48</v>
      </c>
      <c r="T42" s="166">
        <f t="shared" si="5"/>
        <v>1.1678284531443852</v>
      </c>
    </row>
    <row r="43" spans="1:20">
      <c r="A43" s="150">
        <v>423</v>
      </c>
      <c r="B43" s="506" t="str">
        <f>+VLOOKUP($A43,Master!$D$29:$G$225,4,FALSE)</f>
        <v>Prava iz oblasti penzijskog i invalidskog osiguranja</v>
      </c>
      <c r="C43" s="507"/>
      <c r="D43" s="507"/>
      <c r="E43" s="507"/>
      <c r="F43" s="507"/>
      <c r="G43" s="163">
        <f>'2021'!S43</f>
        <v>287621885.26999998</v>
      </c>
      <c r="H43" s="163">
        <f>SUM('2021'!G117:N117)</f>
        <v>292960957.55259997</v>
      </c>
      <c r="I43" s="164">
        <f t="shared" si="0"/>
        <v>-5339072.2825999856</v>
      </c>
      <c r="J43" s="166">
        <f t="shared" si="1"/>
        <v>-1.8224518131025658E-2</v>
      </c>
      <c r="K43" s="163">
        <f>SUM('2020'!G43:N43)</f>
        <v>284849247.42000002</v>
      </c>
      <c r="L43" s="164">
        <f t="shared" si="7"/>
        <v>2772637.8499999642</v>
      </c>
      <c r="M43" s="166">
        <f t="shared" si="2"/>
        <v>9.7337025641208719E-3</v>
      </c>
      <c r="N43" s="163">
        <f>'2021'!N43</f>
        <v>35676248.939999998</v>
      </c>
      <c r="O43" s="163">
        <f>'2021'!N117</f>
        <v>38123196.594350003</v>
      </c>
      <c r="P43" s="164">
        <f t="shared" si="6"/>
        <v>-2446947.6543500051</v>
      </c>
      <c r="Q43" s="166">
        <f t="shared" si="3"/>
        <v>-6.4185269676799606E-2</v>
      </c>
      <c r="R43" s="163">
        <f>'2020'!N43</f>
        <v>35402272.042000003</v>
      </c>
      <c r="S43" s="164">
        <f t="shared" si="4"/>
        <v>273976.89799999446</v>
      </c>
      <c r="T43" s="166">
        <f t="shared" si="5"/>
        <v>7.7389636934872552E-3</v>
      </c>
    </row>
    <row r="44" spans="1:20">
      <c r="A44" s="150">
        <v>424</v>
      </c>
      <c r="B44" s="506" t="str">
        <f>+VLOOKUP($A44,Master!$D$29:$G$225,4,FALSE)</f>
        <v>Ostala prava iz oblasti zdravstvene zaštite</v>
      </c>
      <c r="C44" s="507"/>
      <c r="D44" s="507"/>
      <c r="E44" s="507"/>
      <c r="F44" s="507"/>
      <c r="G44" s="163">
        <f>'2021'!S44</f>
        <v>11832416.809999999</v>
      </c>
      <c r="H44" s="163">
        <f>SUM('2021'!G118:N118)</f>
        <v>11157486.411599999</v>
      </c>
      <c r="I44" s="164">
        <f t="shared" si="0"/>
        <v>674930.39839999937</v>
      </c>
      <c r="J44" s="166">
        <f t="shared" si="1"/>
        <v>6.0491258828538674E-2</v>
      </c>
      <c r="K44" s="163">
        <f>SUM('2020'!G44:N44)</f>
        <v>13763431.099999998</v>
      </c>
      <c r="L44" s="164">
        <f t="shared" si="7"/>
        <v>-1931014.2899999991</v>
      </c>
      <c r="M44" s="166">
        <f t="shared" si="2"/>
        <v>-0.14030035650049499</v>
      </c>
      <c r="N44" s="163">
        <f>'2021'!N44</f>
        <v>1514594.61</v>
      </c>
      <c r="O44" s="163">
        <f>'2021'!N118</f>
        <v>1035628.3971000001</v>
      </c>
      <c r="P44" s="164">
        <f t="shared" si="6"/>
        <v>478966.21290000004</v>
      </c>
      <c r="Q44" s="166">
        <f t="shared" si="3"/>
        <v>0.46248848934735332</v>
      </c>
      <c r="R44" s="163">
        <f>'2020'!N44</f>
        <v>1699336.28</v>
      </c>
      <c r="S44" s="164">
        <f t="shared" si="4"/>
        <v>-184741.66999999993</v>
      </c>
      <c r="T44" s="166">
        <f t="shared" si="5"/>
        <v>-0.10871401509770617</v>
      </c>
    </row>
    <row r="45" spans="1:20">
      <c r="A45" s="150">
        <v>425</v>
      </c>
      <c r="B45" s="506" t="str">
        <f>+VLOOKUP($A45,Master!$D$29:$G$225,4,FALSE)</f>
        <v>Ostala prava iz zdravstvenog osiguranja</v>
      </c>
      <c r="C45" s="507"/>
      <c r="D45" s="507"/>
      <c r="E45" s="507"/>
      <c r="F45" s="507"/>
      <c r="G45" s="163">
        <f>'2021'!S45</f>
        <v>7028048.3600000003</v>
      </c>
      <c r="H45" s="163">
        <f>SUM('2021'!G119:N119)</f>
        <v>7341885.8849333329</v>
      </c>
      <c r="I45" s="164">
        <f t="shared" si="0"/>
        <v>-313837.52493333258</v>
      </c>
      <c r="J45" s="166">
        <f t="shared" si="1"/>
        <v>-4.2746173102114704E-2</v>
      </c>
      <c r="K45" s="163">
        <f>SUM('2020'!G45:N45)</f>
        <v>6368075.5099999998</v>
      </c>
      <c r="L45" s="164">
        <f t="shared" si="7"/>
        <v>659972.85000000056</v>
      </c>
      <c r="M45" s="166">
        <f t="shared" si="2"/>
        <v>0.10363772366763291</v>
      </c>
      <c r="N45" s="163">
        <f>'2021'!N45</f>
        <v>1188221.58</v>
      </c>
      <c r="O45" s="163">
        <f>'2021'!N119</f>
        <v>1039528.5287666667</v>
      </c>
      <c r="P45" s="164">
        <f t="shared" si="6"/>
        <v>148693.05123333342</v>
      </c>
      <c r="Q45" s="166">
        <f t="shared" si="3"/>
        <v>0.14303893266858969</v>
      </c>
      <c r="R45" s="163">
        <f>'2020'!N45</f>
        <v>845187.01</v>
      </c>
      <c r="S45" s="164">
        <f t="shared" si="4"/>
        <v>343034.57000000007</v>
      </c>
      <c r="T45" s="166">
        <f t="shared" si="5"/>
        <v>0.40586824683924094</v>
      </c>
    </row>
    <row r="46" spans="1:20">
      <c r="A46" s="150">
        <v>43</v>
      </c>
      <c r="B46" s="520" t="str">
        <f>+VLOOKUP($A46,Master!$D$29:$G$225,4,FALSE)</f>
        <v xml:space="preserve">Transferi institucijama, pojedincima, nevladinom i javnom sektoru </v>
      </c>
      <c r="C46" s="521"/>
      <c r="D46" s="521"/>
      <c r="E46" s="521"/>
      <c r="F46" s="521"/>
      <c r="G46" s="175">
        <f>'2021'!S46</f>
        <v>153628084.47999999</v>
      </c>
      <c r="H46" s="175">
        <f>SUM('2021'!G120:N120)</f>
        <v>176209570.08246666</v>
      </c>
      <c r="I46" s="176">
        <f t="shared" si="0"/>
        <v>-22581485.602466673</v>
      </c>
      <c r="J46" s="178">
        <f t="shared" si="1"/>
        <v>-0.12815130070346614</v>
      </c>
      <c r="K46" s="175">
        <f>SUM('2020'!G46:N46)</f>
        <v>188367821.57999998</v>
      </c>
      <c r="L46" s="176">
        <f t="shared" si="7"/>
        <v>-34739737.099999994</v>
      </c>
      <c r="M46" s="178">
        <f t="shared" si="2"/>
        <v>-0.18442500852113952</v>
      </c>
      <c r="N46" s="175">
        <f>'2021'!N46</f>
        <v>16083684.529999999</v>
      </c>
      <c r="O46" s="175">
        <f>'2021'!N120</f>
        <v>20959047.32438333</v>
      </c>
      <c r="P46" s="176">
        <f t="shared" si="6"/>
        <v>-4875362.7943833303</v>
      </c>
      <c r="Q46" s="178">
        <f t="shared" si="3"/>
        <v>-0.23261375953435781</v>
      </c>
      <c r="R46" s="175">
        <f>'2020'!N46</f>
        <v>21486991.629999999</v>
      </c>
      <c r="S46" s="176">
        <f t="shared" si="4"/>
        <v>-5403307.0999999996</v>
      </c>
      <c r="T46" s="178">
        <f t="shared" si="5"/>
        <v>-0.25146875807667446</v>
      </c>
    </row>
    <row r="47" spans="1:20">
      <c r="A47" s="150">
        <v>44</v>
      </c>
      <c r="B47" s="520" t="str">
        <f>+VLOOKUP($A47,Master!$D$29:$G$225,4,FALSE)</f>
        <v>Kapitalni izdaci</v>
      </c>
      <c r="C47" s="521"/>
      <c r="D47" s="521"/>
      <c r="E47" s="521"/>
      <c r="F47" s="521"/>
      <c r="G47" s="175">
        <f>'2021'!S47</f>
        <v>83071296.140000001</v>
      </c>
      <c r="H47" s="175">
        <f>SUM('2021'!G121:N121)</f>
        <v>139262257.66960001</v>
      </c>
      <c r="I47" s="176">
        <f t="shared" si="0"/>
        <v>-56190961.529600009</v>
      </c>
      <c r="J47" s="178">
        <f t="shared" si="1"/>
        <v>-0.40349023827341057</v>
      </c>
      <c r="K47" s="175">
        <f>SUM('2020'!G47:N47)</f>
        <v>129650807.09999999</v>
      </c>
      <c r="L47" s="176">
        <f t="shared" si="7"/>
        <v>-46579510.959999993</v>
      </c>
      <c r="M47" s="178">
        <f t="shared" si="2"/>
        <v>-0.35926896254547103</v>
      </c>
      <c r="N47" s="175">
        <f>'2021'!N47</f>
        <v>7339618.0199999996</v>
      </c>
      <c r="O47" s="175">
        <f>'2021'!N121</f>
        <v>24073116.957600009</v>
      </c>
      <c r="P47" s="176">
        <f t="shared" si="6"/>
        <v>-16733498.937600009</v>
      </c>
      <c r="Q47" s="178">
        <f t="shared" si="3"/>
        <v>-0.69511143767019146</v>
      </c>
      <c r="R47" s="175">
        <f>'2020'!N47</f>
        <v>20481740.649999999</v>
      </c>
      <c r="S47" s="176">
        <f t="shared" si="4"/>
        <v>-13142122.629999999</v>
      </c>
      <c r="T47" s="178">
        <f t="shared" si="5"/>
        <v>-0.64165067093552908</v>
      </c>
    </row>
    <row r="48" spans="1:20">
      <c r="A48" s="150">
        <v>451</v>
      </c>
      <c r="B48" s="524" t="str">
        <f>+VLOOKUP($A48,Master!$D$29:$G$225,4,FALSE)</f>
        <v>Pozajmice i krediti</v>
      </c>
      <c r="C48" s="525"/>
      <c r="D48" s="525"/>
      <c r="E48" s="525"/>
      <c r="F48" s="525"/>
      <c r="G48" s="163">
        <f>'2021'!S48</f>
        <v>828780</v>
      </c>
      <c r="H48" s="163">
        <f>SUM('2021'!G122:N122)</f>
        <v>1198854.7797333333</v>
      </c>
      <c r="I48" s="164">
        <f>G48-H48</f>
        <v>-370074.77973333327</v>
      </c>
      <c r="J48" s="282">
        <f t="shared" si="1"/>
        <v>-0.30869024838492176</v>
      </c>
      <c r="K48" s="163">
        <f>SUM('2020'!G48:N48)</f>
        <v>830591</v>
      </c>
      <c r="L48" s="279">
        <f t="shared" si="7"/>
        <v>-1811</v>
      </c>
      <c r="M48" s="282">
        <f t="shared" si="2"/>
        <v>-2.1803751786378944E-3</v>
      </c>
      <c r="N48" s="163">
        <f>'2021'!N48</f>
        <v>0</v>
      </c>
      <c r="O48" s="163">
        <f>'2021'!N122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'2020'!N48</f>
        <v>10000</v>
      </c>
      <c r="S48" s="279">
        <f t="shared" si="4"/>
        <v>-10000</v>
      </c>
      <c r="T48" s="282">
        <f t="shared" si="5"/>
        <v>-1</v>
      </c>
    </row>
    <row r="49" spans="1:23">
      <c r="A49" s="150">
        <v>47</v>
      </c>
      <c r="B49" s="524" t="str">
        <f>+VLOOKUP($A49,Master!$D$29:$G$225,4,FALSE)</f>
        <v>Rezerve</v>
      </c>
      <c r="C49" s="525"/>
      <c r="D49" s="525"/>
      <c r="E49" s="525"/>
      <c r="F49" s="525"/>
      <c r="G49" s="163">
        <f>'2021'!S49</f>
        <v>56894157.209999993</v>
      </c>
      <c r="H49" s="163">
        <f>SUM('2021'!G123:N123)</f>
        <v>59047199.146666668</v>
      </c>
      <c r="I49" s="164">
        <f t="shared" ref="I49:I50" si="8">G49-H49</f>
        <v>-2153041.9366666749</v>
      </c>
      <c r="J49" s="283">
        <f t="shared" si="1"/>
        <v>-3.6463066289033619E-2</v>
      </c>
      <c r="K49" s="163">
        <f>SUM('2020'!G49:N49)</f>
        <v>86087209.530000001</v>
      </c>
      <c r="L49" s="280">
        <f t="shared" si="7"/>
        <v>-29193052.320000008</v>
      </c>
      <c r="M49" s="283">
        <f t="shared" si="2"/>
        <v>-0.33911021717839163</v>
      </c>
      <c r="N49" s="163">
        <f>'2021'!N49</f>
        <v>1341810.29</v>
      </c>
      <c r="O49" s="163">
        <f>'2021'!N123</f>
        <v>3041462.9633333324</v>
      </c>
      <c r="P49" s="164">
        <f t="shared" si="6"/>
        <v>-1699652.6733333324</v>
      </c>
      <c r="Q49" s="283">
        <f t="shared" si="3"/>
        <v>-0.55882734520317001</v>
      </c>
      <c r="R49" s="163">
        <f>'2020'!N49</f>
        <v>34716650.759999998</v>
      </c>
      <c r="S49" s="280">
        <f t="shared" si="4"/>
        <v>-33374840.469999999</v>
      </c>
      <c r="T49" s="283">
        <f t="shared" si="5"/>
        <v>-0.96134966188771831</v>
      </c>
      <c r="W49" s="345"/>
    </row>
    <row r="50" spans="1:23" ht="15.75" thickBot="1">
      <c r="A50" s="150">
        <v>462</v>
      </c>
      <c r="B50" s="526" t="str">
        <f>+VLOOKUP($A50,Master!$D$29:$G$225,4,FALSE)</f>
        <v>Otplata garancija</v>
      </c>
      <c r="C50" s="527"/>
      <c r="D50" s="527"/>
      <c r="E50" s="527"/>
      <c r="F50" s="527"/>
      <c r="G50" s="163">
        <f>'2021'!S50</f>
        <v>7711252.0800000001</v>
      </c>
      <c r="H50" s="163">
        <f>SUM('2021'!G124:N124)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SUM('2020'!G50:N50)</f>
        <v>0</v>
      </c>
      <c r="L50" s="280">
        <f t="shared" si="7"/>
        <v>7711252.0800000001</v>
      </c>
      <c r="M50" s="284" t="str">
        <f t="shared" si="2"/>
        <v>...</v>
      </c>
      <c r="N50" s="163">
        <f>'2021'!N50</f>
        <v>0</v>
      </c>
      <c r="O50" s="163">
        <f>'2021'!N124</f>
        <v>0</v>
      </c>
      <c r="P50" s="164">
        <f t="shared" si="6"/>
        <v>0</v>
      </c>
      <c r="Q50" s="284" t="str">
        <f t="shared" si="3"/>
        <v>...</v>
      </c>
      <c r="R50" s="163">
        <f>'2020'!N50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6" t="str">
        <f>+VLOOKUP($A51,Master!$D$29:$G$225,4,FALSE)</f>
        <v>Otplata obaveza iz prethodnog perioda</v>
      </c>
      <c r="C51" s="527"/>
      <c r="D51" s="527"/>
      <c r="E51" s="527"/>
      <c r="F51" s="527"/>
      <c r="G51" s="314">
        <f>'2021'!S51</f>
        <v>20140394.709999997</v>
      </c>
      <c r="H51" s="314">
        <f>SUM('2021'!G125:N125)</f>
        <v>6953927.9133333331</v>
      </c>
      <c r="I51" s="281">
        <f>G51-H51</f>
        <v>13186466.796666663</v>
      </c>
      <c r="J51" s="285">
        <f t="shared" si="1"/>
        <v>1.8962616468001023</v>
      </c>
      <c r="K51" s="314">
        <f>SUM('2020'!G51:N51)</f>
        <v>12257094.050000001</v>
      </c>
      <c r="L51" s="287">
        <f t="shared" si="7"/>
        <v>7883300.6599999964</v>
      </c>
      <c r="M51" s="285">
        <f t="shared" si="2"/>
        <v>0.64316228853608215</v>
      </c>
      <c r="N51" s="314">
        <f>'2021'!N51</f>
        <v>732375.88</v>
      </c>
      <c r="O51" s="314">
        <f>'2021'!N125</f>
        <v>869240.98916666664</v>
      </c>
      <c r="P51" s="281">
        <f>N51-O51</f>
        <v>-136865.10916666663</v>
      </c>
      <c r="Q51" s="285">
        <f t="shared" si="3"/>
        <v>-0.1574535840720972</v>
      </c>
      <c r="R51" s="314">
        <f>'2020'!N51</f>
        <v>837443.38</v>
      </c>
      <c r="S51" s="287">
        <f>+N51-R51</f>
        <v>-105067.5</v>
      </c>
      <c r="T51" s="285">
        <f t="shared" si="5"/>
        <v>-0.12546221333793339</v>
      </c>
    </row>
    <row r="52" spans="1:23" ht="15.75" thickBot="1">
      <c r="A52" s="144">
        <v>1005</v>
      </c>
      <c r="B52" s="526" t="str">
        <f>+VLOOKUP($A52,Master!$D$29:$G$227,4,FALSE)</f>
        <v>Neto povećanje obaveza</v>
      </c>
      <c r="C52" s="527"/>
      <c r="D52" s="527"/>
      <c r="E52" s="527"/>
      <c r="F52" s="527"/>
      <c r="G52" s="163">
        <f>'2021'!S52</f>
        <v>0</v>
      </c>
      <c r="H52" s="163">
        <f>SUM('2021'!G126:N126)</f>
        <v>0</v>
      </c>
      <c r="I52" s="281">
        <f>G52-H52</f>
        <v>0</v>
      </c>
      <c r="J52" s="285" t="str">
        <f t="shared" si="1"/>
        <v>...</v>
      </c>
      <c r="K52" s="163">
        <f>SUM('2020'!G52:N52)</f>
        <v>0</v>
      </c>
      <c r="L52" s="287">
        <f t="shared" si="7"/>
        <v>0</v>
      </c>
      <c r="M52" s="285" t="str">
        <f t="shared" si="2"/>
        <v>...</v>
      </c>
      <c r="N52" s="163">
        <f>'2021'!N52</f>
        <v>0</v>
      </c>
      <c r="O52" s="163">
        <f>'2021'!N126</f>
        <v>0</v>
      </c>
      <c r="P52" s="281">
        <f>N52-O52</f>
        <v>0</v>
      </c>
      <c r="Q52" s="285" t="str">
        <f t="shared" si="3"/>
        <v>...</v>
      </c>
      <c r="R52" s="163">
        <f>'2020'!N52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'2021'!S53</f>
        <v>-57411233.159999996</v>
      </c>
      <c r="H53" s="151">
        <f>SUM('2021'!G127:N127)</f>
        <v>-183498121.04707956</v>
      </c>
      <c r="I53" s="321">
        <f>+G53-H53</f>
        <v>126086887.88707957</v>
      </c>
      <c r="J53" s="286">
        <f t="shared" si="1"/>
        <v>-0.68712904070952219</v>
      </c>
      <c r="K53" s="151">
        <f>SUM('2020'!G53:N53)</f>
        <v>-311294392.74000001</v>
      </c>
      <c r="L53" s="288">
        <f t="shared" si="7"/>
        <v>253883159.58000001</v>
      </c>
      <c r="M53" s="286">
        <f t="shared" si="2"/>
        <v>-0.81557254322935679</v>
      </c>
      <c r="N53" s="151">
        <f>'2021'!N53</f>
        <v>61480088.900000006</v>
      </c>
      <c r="O53" s="151">
        <f>'2021'!N127</f>
        <v>21832487.364623666</v>
      </c>
      <c r="P53" s="321">
        <f>N53-O53</f>
        <v>39647601.53537634</v>
      </c>
      <c r="Q53" s="286">
        <f t="shared" si="3"/>
        <v>1.8159910445943712</v>
      </c>
      <c r="R53" s="151">
        <f>'2020'!N53</f>
        <v>-40609649.40199998</v>
      </c>
      <c r="S53" s="288">
        <f t="shared" si="4"/>
        <v>102089738.30199999</v>
      </c>
      <c r="T53" s="286">
        <f t="shared" si="5"/>
        <v>-2.5139280886520576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'2021'!S54</f>
        <v>6641253.030000031</v>
      </c>
      <c r="H54" s="151">
        <f>SUM('2021'!G128:N128)</f>
        <v>-115145899.23566177</v>
      </c>
      <c r="I54" s="206">
        <f t="shared" si="0"/>
        <v>121787152.26566181</v>
      </c>
      <c r="J54" s="208">
        <f t="shared" si="1"/>
        <v>-1.0576768523593516</v>
      </c>
      <c r="K54" s="151">
        <f>SUM('2020'!G54:N54)</f>
        <v>-235147431.08999997</v>
      </c>
      <c r="L54" s="206">
        <f t="shared" si="7"/>
        <v>241788684.12</v>
      </c>
      <c r="M54" s="208">
        <f t="shared" si="2"/>
        <v>-1.0282429325262676</v>
      </c>
      <c r="N54" s="151">
        <f>'2021'!N54</f>
        <v>62629078.620000005</v>
      </c>
      <c r="O54" s="151">
        <f>'2021'!N128</f>
        <v>22954994.523343865</v>
      </c>
      <c r="P54" s="206">
        <f t="shared" si="6"/>
        <v>39674084.096656144</v>
      </c>
      <c r="Q54" s="208">
        <f t="shared" si="3"/>
        <v>1.7283421286077831</v>
      </c>
      <c r="R54" s="151">
        <f>'2020'!N54</f>
        <v>-38835818.221999981</v>
      </c>
      <c r="S54" s="206">
        <f t="shared" si="4"/>
        <v>101464896.84199998</v>
      </c>
      <c r="T54" s="208">
        <f t="shared" si="5"/>
        <v>-2.6126627810952483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2">
        <f>'2021'!S55</f>
        <v>380793462.30000001</v>
      </c>
      <c r="H55" s="492">
        <f>SUM('2021'!G129:N129)</f>
        <v>399872100.89269793</v>
      </c>
      <c r="I55" s="493">
        <f t="shared" si="0"/>
        <v>-19078638.592697918</v>
      </c>
      <c r="J55" s="494">
        <f t="shared" si="1"/>
        <v>-4.7711852240017838E-2</v>
      </c>
      <c r="K55" s="492">
        <f>SUM('2020'!G55:N55)</f>
        <v>513956729.72999996</v>
      </c>
      <c r="L55" s="493">
        <f t="shared" si="7"/>
        <v>-133163267.42999995</v>
      </c>
      <c r="M55" s="494">
        <f t="shared" si="2"/>
        <v>-0.25909431616929202</v>
      </c>
      <c r="N55" s="492">
        <f>'2021'!N55</f>
        <v>4876050.96</v>
      </c>
      <c r="O55" s="492">
        <f>'2021'!N129</f>
        <v>4876912.1279565003</v>
      </c>
      <c r="P55" s="493">
        <f t="shared" si="6"/>
        <v>-861.16795650031418</v>
      </c>
      <c r="Q55" s="494">
        <f t="shared" si="3"/>
        <v>-1.7658057678826555E-4</v>
      </c>
      <c r="R55" s="492">
        <f>'2020'!N55</f>
        <v>34722559.57</v>
      </c>
      <c r="S55" s="493">
        <f t="shared" si="4"/>
        <v>-29846508.609999999</v>
      </c>
      <c r="T55" s="494">
        <f t="shared" si="5"/>
        <v>-0.85957109670529974</v>
      </c>
    </row>
    <row r="56" spans="1:23">
      <c r="A56" s="144">
        <v>4611</v>
      </c>
      <c r="B56" s="524" t="str">
        <f>+VLOOKUP($A56,Master!$D$29:$G$225,4,FALSE)</f>
        <v>Otplata hartija od vrijednosti i kredita rezidentima</v>
      </c>
      <c r="C56" s="525"/>
      <c r="D56" s="525"/>
      <c r="E56" s="525"/>
      <c r="F56" s="525"/>
      <c r="G56" s="163">
        <f>'2021'!S56</f>
        <v>67915543.909999996</v>
      </c>
      <c r="H56" s="163">
        <f>SUM('2021'!G130:N130)</f>
        <v>73318890.100000009</v>
      </c>
      <c r="I56" s="212">
        <f t="shared" si="0"/>
        <v>-5403346.1900000125</v>
      </c>
      <c r="J56" s="214">
        <f t="shared" si="1"/>
        <v>-7.3696508261791194E-2</v>
      </c>
      <c r="K56" s="163">
        <f>SUM('2020'!G56:N56)</f>
        <v>124083871.91</v>
      </c>
      <c r="L56" s="212">
        <f t="shared" si="7"/>
        <v>-56168328</v>
      </c>
      <c r="M56" s="214">
        <f t="shared" si="2"/>
        <v>-0.45266421119369793</v>
      </c>
      <c r="N56" s="163">
        <f>'2021'!N56</f>
        <v>1750047.75</v>
      </c>
      <c r="O56" s="163">
        <f>'2021'!N130</f>
        <v>1750047.75</v>
      </c>
      <c r="P56" s="212">
        <f t="shared" si="6"/>
        <v>0</v>
      </c>
      <c r="Q56" s="214">
        <f t="shared" si="3"/>
        <v>0</v>
      </c>
      <c r="R56" s="163">
        <f>'2020'!N56</f>
        <v>23750000</v>
      </c>
      <c r="S56" s="212">
        <f t="shared" si="4"/>
        <v>-21999952.25</v>
      </c>
      <c r="T56" s="214">
        <f t="shared" si="5"/>
        <v>-0.92631377894736844</v>
      </c>
    </row>
    <row r="57" spans="1:23">
      <c r="A57" s="144">
        <v>4612</v>
      </c>
      <c r="B57" s="524" t="str">
        <f>+VLOOKUP($A57,Master!$D$29:$G$225,4,FALSE)</f>
        <v>Otplata hartija od vrijednosti i kredita nerezidentima</v>
      </c>
      <c r="C57" s="525"/>
      <c r="D57" s="525"/>
      <c r="E57" s="525"/>
      <c r="F57" s="525"/>
      <c r="G57" s="163">
        <f>'2021'!S57</f>
        <v>312877918.38999999</v>
      </c>
      <c r="H57" s="163">
        <f>SUM('2021'!G131:N131)</f>
        <v>326553210.79269791</v>
      </c>
      <c r="I57" s="212">
        <f t="shared" si="0"/>
        <v>-13675292.402697921</v>
      </c>
      <c r="J57" s="214">
        <f t="shared" si="1"/>
        <v>-4.1877684710254659E-2</v>
      </c>
      <c r="K57" s="163">
        <f>SUM('2020'!G57:N57)</f>
        <v>389872857.81999999</v>
      </c>
      <c r="L57" s="212">
        <f t="shared" si="7"/>
        <v>-76994939.430000007</v>
      </c>
      <c r="M57" s="214">
        <f t="shared" si="2"/>
        <v>-0.19748730358025524</v>
      </c>
      <c r="N57" s="163">
        <f>'2021'!N57</f>
        <v>3126003.21</v>
      </c>
      <c r="O57" s="163">
        <f>'2021'!N131</f>
        <v>3126864.3779565003</v>
      </c>
      <c r="P57" s="212">
        <f t="shared" si="6"/>
        <v>-861.16795650031418</v>
      </c>
      <c r="Q57" s="214">
        <f t="shared" si="3"/>
        <v>-2.7540943654968952E-4</v>
      </c>
      <c r="R57" s="163">
        <f>'2020'!N57</f>
        <v>10972559.57</v>
      </c>
      <c r="S57" s="212">
        <f t="shared" si="4"/>
        <v>-7846556.3600000003</v>
      </c>
      <c r="T57" s="214">
        <f t="shared" si="5"/>
        <v>-0.71510720082606949</v>
      </c>
    </row>
    <row r="58" spans="1:23" ht="15.75" thickBot="1">
      <c r="A58" s="144">
        <v>4418</v>
      </c>
      <c r="B58" s="522" t="str">
        <f>+VLOOKUP($A58,Master!$D$29:$G$225,4,FALSE)</f>
        <v>Izdaci za kupovinu hartija od vrijednosti</v>
      </c>
      <c r="C58" s="523"/>
      <c r="D58" s="523"/>
      <c r="E58" s="523"/>
      <c r="F58" s="523"/>
      <c r="G58" s="336">
        <f>'2021'!S58</f>
        <v>0</v>
      </c>
      <c r="H58" s="336">
        <f>SUM('2021'!G132:N132)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SUM('2020'!G58:N58)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'2021'!N58</f>
        <v>0</v>
      </c>
      <c r="O58" s="336">
        <f>'2021'!N132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'2020'!N58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50" t="str">
        <f>+VLOOKUP($A59,Master!$D$29:$G$225,4,FALSE)</f>
        <v>Nedostajuća sredstva</v>
      </c>
      <c r="C59" s="551"/>
      <c r="D59" s="551"/>
      <c r="E59" s="551"/>
      <c r="F59" s="551"/>
      <c r="G59" s="320">
        <f>'2021'!S59</f>
        <v>-438204695.46000004</v>
      </c>
      <c r="H59" s="320">
        <f>SUM('2021'!G133:N133)</f>
        <v>-583907005.93977737</v>
      </c>
      <c r="I59" s="322">
        <f t="shared" si="9"/>
        <v>145702310.47977734</v>
      </c>
      <c r="J59" s="323">
        <f t="shared" si="1"/>
        <v>-0.24952999192957903</v>
      </c>
      <c r="K59" s="320">
        <f>SUM('2020'!G59:N59)</f>
        <v>-825251122.47000003</v>
      </c>
      <c r="L59" s="322">
        <f t="shared" si="10"/>
        <v>387046427.00999999</v>
      </c>
      <c r="M59" s="323">
        <f t="shared" si="2"/>
        <v>-0.46900442358873629</v>
      </c>
      <c r="N59" s="320">
        <f>'2021'!N59</f>
        <v>56604037.940000005</v>
      </c>
      <c r="O59" s="320">
        <f>'2021'!N133</f>
        <v>16955575.236667164</v>
      </c>
      <c r="P59" s="322">
        <f t="shared" si="11"/>
        <v>39648462.703332841</v>
      </c>
      <c r="Q59" s="323" t="str">
        <f t="shared" si="3"/>
        <v>...</v>
      </c>
      <c r="R59" s="320">
        <f>'2020'!N59</f>
        <v>-75332208.971999973</v>
      </c>
      <c r="S59" s="322">
        <f t="shared" si="12"/>
        <v>131936246.91199997</v>
      </c>
      <c r="T59" s="323">
        <f t="shared" si="5"/>
        <v>-1.7513922492441316</v>
      </c>
    </row>
    <row r="60" spans="1:23" ht="15.75" thickBot="1">
      <c r="A60" s="144">
        <v>1003</v>
      </c>
      <c r="B60" s="514" t="str">
        <f>+VLOOKUP($A60,Master!$D$29:$G$225,4,FALSE)</f>
        <v>Finansiranje</v>
      </c>
      <c r="C60" s="515"/>
      <c r="D60" s="515"/>
      <c r="E60" s="515"/>
      <c r="F60" s="515"/>
      <c r="G60" s="151">
        <f>'2021'!S60</f>
        <v>438204695.46000004</v>
      </c>
      <c r="H60" s="151">
        <f>SUM('2021'!G134:N134)</f>
        <v>583907005.93977737</v>
      </c>
      <c r="I60" s="321">
        <f t="shared" si="9"/>
        <v>-145702310.47977734</v>
      </c>
      <c r="J60" s="324">
        <f t="shared" si="1"/>
        <v>-0.24952999192957903</v>
      </c>
      <c r="K60" s="151">
        <f>SUM('2020'!G60:N60)</f>
        <v>825251122.47000003</v>
      </c>
      <c r="L60" s="321">
        <f t="shared" si="10"/>
        <v>-387046427.00999999</v>
      </c>
      <c r="M60" s="324">
        <f t="shared" si="2"/>
        <v>-0.46900442358873629</v>
      </c>
      <c r="N60" s="151">
        <f>'2021'!N60</f>
        <v>-56604037.940000005</v>
      </c>
      <c r="O60" s="151">
        <f>'2021'!N134</f>
        <v>-16955575.236667164</v>
      </c>
      <c r="P60" s="321">
        <f t="shared" si="11"/>
        <v>-39648462.703332841</v>
      </c>
      <c r="Q60" s="324" t="str">
        <f t="shared" si="3"/>
        <v>...</v>
      </c>
      <c r="R60" s="151">
        <f>'2020'!N60</f>
        <v>75332208.971999973</v>
      </c>
      <c r="S60" s="321">
        <f t="shared" si="12"/>
        <v>-131936246.91199997</v>
      </c>
      <c r="T60" s="324">
        <f t="shared" si="5"/>
        <v>-1.7513922492441316</v>
      </c>
    </row>
    <row r="61" spans="1:23">
      <c r="A61" s="144">
        <v>7511</v>
      </c>
      <c r="B61" s="548" t="str">
        <f>+VLOOKUP($A61,Master!$D$29:$G$225,4,FALSE)</f>
        <v>Pozajmice i krediti od domaćih izvora</v>
      </c>
      <c r="C61" s="549"/>
      <c r="D61" s="549"/>
      <c r="E61" s="549"/>
      <c r="F61" s="549"/>
      <c r="G61" s="484">
        <f>'2021'!S61</f>
        <v>0</v>
      </c>
      <c r="H61" s="484">
        <f>SUM('2021'!G135:N135)</f>
        <v>0</v>
      </c>
      <c r="I61" s="212">
        <f t="shared" si="9"/>
        <v>0</v>
      </c>
      <c r="J61" s="214" t="str">
        <f t="shared" si="1"/>
        <v>...</v>
      </c>
      <c r="K61" s="163">
        <f>SUM('2020'!G61:N61)</f>
        <v>124532059.13</v>
      </c>
      <c r="L61" s="212">
        <f t="shared" si="10"/>
        <v>-124532059.13</v>
      </c>
      <c r="M61" s="214">
        <f t="shared" si="2"/>
        <v>-1</v>
      </c>
      <c r="N61" s="163">
        <f>'2021'!N61</f>
        <v>0</v>
      </c>
      <c r="O61" s="163">
        <f>'2021'!N135</f>
        <v>0</v>
      </c>
      <c r="P61" s="212">
        <f t="shared" si="11"/>
        <v>0</v>
      </c>
      <c r="Q61" s="214" t="str">
        <f t="shared" si="3"/>
        <v>...</v>
      </c>
      <c r="R61" s="163">
        <f>'2020'!N61</f>
        <v>11800000</v>
      </c>
      <c r="S61" s="212">
        <f t="shared" si="12"/>
        <v>-11800000</v>
      </c>
      <c r="T61" s="214">
        <f t="shared" si="5"/>
        <v>-1</v>
      </c>
    </row>
    <row r="62" spans="1:23">
      <c r="A62" s="144">
        <v>7512</v>
      </c>
      <c r="B62" s="524" t="str">
        <f>+VLOOKUP($A62,Master!$D$29:$G$225,4,FALSE)</f>
        <v>Pozajmice i krediti od inostranih izvora</v>
      </c>
      <c r="C62" s="525"/>
      <c r="D62" s="525"/>
      <c r="E62" s="525"/>
      <c r="F62" s="525"/>
      <c r="G62" s="163">
        <f>'2021'!S62</f>
        <v>70402358.88000001</v>
      </c>
      <c r="H62" s="163">
        <f>SUM('2021'!G136:N136)</f>
        <v>89400000</v>
      </c>
      <c r="I62" s="212">
        <f t="shared" si="9"/>
        <v>-18997641.11999999</v>
      </c>
      <c r="J62" s="214">
        <f t="shared" si="1"/>
        <v>-0.21250157852348983</v>
      </c>
      <c r="K62" s="163">
        <f>SUM('2020'!G62:N62)</f>
        <v>368793296.91000003</v>
      </c>
      <c r="L62" s="212">
        <f t="shared" si="10"/>
        <v>-298390938.03000003</v>
      </c>
      <c r="M62" s="214">
        <f t="shared" si="2"/>
        <v>-0.80910076330053005</v>
      </c>
      <c r="N62" s="163">
        <f>'2021'!N62</f>
        <v>1567009.93</v>
      </c>
      <c r="O62" s="163">
        <f>'2021'!N136</f>
        <v>18900000</v>
      </c>
      <c r="P62" s="212">
        <f t="shared" si="11"/>
        <v>-17332990.07</v>
      </c>
      <c r="Q62" s="214">
        <f t="shared" si="3"/>
        <v>-0.91708942169312169</v>
      </c>
      <c r="R62" s="163">
        <f>'2020'!N62</f>
        <v>6606851.8499999996</v>
      </c>
      <c r="S62" s="212">
        <f t="shared" si="12"/>
        <v>-5039841.92</v>
      </c>
      <c r="T62" s="214">
        <f t="shared" si="5"/>
        <v>-0.76282048310194817</v>
      </c>
    </row>
    <row r="63" spans="1:23">
      <c r="A63" s="144">
        <v>72</v>
      </c>
      <c r="B63" s="524" t="str">
        <f>+VLOOKUP($A63,Master!$D$29:$G$225,4,FALSE)</f>
        <v>Primici od prodaje imovine</v>
      </c>
      <c r="C63" s="525"/>
      <c r="D63" s="525"/>
      <c r="E63" s="525"/>
      <c r="F63" s="525"/>
      <c r="G63" s="163">
        <f>'2021'!S63</f>
        <v>1060650.8700000001</v>
      </c>
      <c r="H63" s="163">
        <f>SUM('2021'!G137:N137)</f>
        <v>2535188.34</v>
      </c>
      <c r="I63" s="212">
        <f t="shared" si="9"/>
        <v>-1474537.4699999997</v>
      </c>
      <c r="J63" s="214">
        <f t="shared" si="1"/>
        <v>-0.58162837321979788</v>
      </c>
      <c r="K63" s="163">
        <f>SUM('2020'!G63:N63)</f>
        <v>5922653.4100000001</v>
      </c>
      <c r="L63" s="212">
        <f t="shared" si="10"/>
        <v>-4862002.54</v>
      </c>
      <c r="M63" s="214">
        <f t="shared" si="2"/>
        <v>-0.82091626901395875</v>
      </c>
      <c r="N63" s="163">
        <f>'2021'!N63</f>
        <v>207661.26</v>
      </c>
      <c r="O63" s="163">
        <f>'2021'!N137</f>
        <v>866202.91500000004</v>
      </c>
      <c r="P63" s="212">
        <f t="shared" si="11"/>
        <v>-658541.65500000003</v>
      </c>
      <c r="Q63" s="214">
        <f t="shared" si="3"/>
        <v>-0.7602625708088272</v>
      </c>
      <c r="R63" s="163">
        <f>'2020'!N63</f>
        <v>391133.36</v>
      </c>
      <c r="S63" s="212">
        <f t="shared" si="12"/>
        <v>-183472.09999999998</v>
      </c>
      <c r="T63" s="214">
        <f t="shared" si="5"/>
        <v>-0.46907811698802671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366741685.70999998</v>
      </c>
      <c r="H64" s="318">
        <f>SUM('2021'!G138:N138)</f>
        <v>491971817.5997774</v>
      </c>
      <c r="I64" s="226">
        <f t="shared" si="9"/>
        <v>-125230131.88977742</v>
      </c>
      <c r="J64" s="228">
        <f t="shared" si="1"/>
        <v>-0.25454736919839793</v>
      </c>
      <c r="K64" s="318">
        <f>SUM('2020'!G64:N64)</f>
        <v>326003113.01999992</v>
      </c>
      <c r="L64" s="226">
        <f t="shared" si="10"/>
        <v>40738572.690000057</v>
      </c>
      <c r="M64" s="228">
        <f t="shared" si="2"/>
        <v>0.12496375360532452</v>
      </c>
      <c r="N64" s="318">
        <f>'2021'!N64</f>
        <v>-58378709.130000003</v>
      </c>
      <c r="O64" s="318">
        <f>'2021'!N138</f>
        <v>-36721778.151667163</v>
      </c>
      <c r="P64" s="226">
        <f t="shared" si="11"/>
        <v>-21656930.97833284</v>
      </c>
      <c r="Q64" s="228">
        <f t="shared" si="3"/>
        <v>0.58975714326485074</v>
      </c>
      <c r="R64" s="318">
        <f>'2020'!N64</f>
        <v>56534223.761999972</v>
      </c>
      <c r="S64" s="226">
        <f t="shared" si="12"/>
        <v>-114912932.89199997</v>
      </c>
      <c r="T64" s="228">
        <f t="shared" si="5"/>
        <v>-2.0326259961711868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8L0hTRzk0wIrkluu0w+XVFdWuSeF3ecbW6cK59sD4aTBQ/I1e9HjYqZHpLN2/R1w1l7nsoMIUO752behpWNIig==" saltValue="QVHAOzL88weU8rvL/Xdq0g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4" t="str">
        <f>+Master!G251</f>
        <v>Ostvarenje budžeta</v>
      </c>
      <c r="C7" s="535"/>
      <c r="D7" s="535"/>
      <c r="E7" s="535"/>
      <c r="F7" s="535"/>
      <c r="G7" s="543">
        <v>2021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tr">
        <f>+Master!G248</f>
        <v>BDP</v>
      </c>
      <c r="T7" s="236">
        <v>4636600000</v>
      </c>
    </row>
    <row r="8" spans="1:20" ht="16.5" customHeight="1">
      <c r="A8" s="144"/>
      <c r="B8" s="536"/>
      <c r="C8" s="537"/>
      <c r="D8" s="537"/>
      <c r="E8" s="537"/>
      <c r="F8" s="538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3" t="str">
        <f>+Master!G246</f>
        <v>Jan - Dec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2" t="str">
        <f>+VLOOKUP($A10,Master!$D$29:$G$225,4,FALSE)</f>
        <v>Prihodi budžeta</v>
      </c>
      <c r="C10" s="503"/>
      <c r="D10" s="503"/>
      <c r="E10" s="503"/>
      <c r="F10" s="503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136581810.07999998</v>
      </c>
      <c r="L10" s="151">
        <f t="shared" si="1"/>
        <v>158957966.41000003</v>
      </c>
      <c r="M10" s="151">
        <f t="shared" si="1"/>
        <v>194117794.03</v>
      </c>
      <c r="N10" s="151">
        <f t="shared" si="1"/>
        <v>190060932.94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1172239053.3500001</v>
      </c>
      <c r="T10" s="463">
        <f>+S10/$T$7*100</f>
        <v>25.282298523702718</v>
      </c>
    </row>
    <row r="11" spans="1:20">
      <c r="A11" s="150">
        <v>711</v>
      </c>
      <c r="B11" s="504" t="str">
        <f>+VLOOKUP($A11,Master!$D$29:$G$225,4,FALSE)</f>
        <v>Porezi</v>
      </c>
      <c r="C11" s="505"/>
      <c r="D11" s="505"/>
      <c r="E11" s="505"/>
      <c r="F11" s="505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748293159.18000007</v>
      </c>
      <c r="T11" s="464">
        <f t="shared" ref="T11:T64" si="3">+S11/$T$7*100</f>
        <v>16.138833610404177</v>
      </c>
    </row>
    <row r="12" spans="1:20">
      <c r="A12" s="150">
        <v>7111</v>
      </c>
      <c r="B12" s="506" t="str">
        <f>+VLOOKUP($A12,Master!$D$29:$G$225,4,FALSE)</f>
        <v>Porez na dohodak fizičkih lica</v>
      </c>
      <c r="C12" s="507"/>
      <c r="D12" s="507"/>
      <c r="E12" s="507"/>
      <c r="F12" s="50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74345509.86999999</v>
      </c>
      <c r="T12" s="465">
        <f t="shared" si="3"/>
        <v>1.6034488605874992</v>
      </c>
    </row>
    <row r="13" spans="1:20">
      <c r="A13" s="150">
        <v>7112</v>
      </c>
      <c r="B13" s="506" t="str">
        <f>+VLOOKUP($A13,Master!$D$29:$G$225,4,FALSE)</f>
        <v>Porez na dobit pravnih lica</v>
      </c>
      <c r="C13" s="507"/>
      <c r="D13" s="507"/>
      <c r="E13" s="507"/>
      <c r="F13" s="50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66841887.089999996</v>
      </c>
      <c r="T13" s="465">
        <f t="shared" si="3"/>
        <v>1.4416142667040504</v>
      </c>
    </row>
    <row r="14" spans="1:20">
      <c r="A14" s="150">
        <v>7113</v>
      </c>
      <c r="B14" s="506" t="str">
        <f>+VLOOKUP($A14,Master!$D$29:$G$225,4,FALSE)</f>
        <v>Porez na promet nepokretnosti</v>
      </c>
      <c r="C14" s="507"/>
      <c r="D14" s="507"/>
      <c r="E14" s="507"/>
      <c r="F14" s="50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1119222.03</v>
      </c>
      <c r="T14" s="465">
        <f t="shared" si="3"/>
        <v>2.4138852391838848E-2</v>
      </c>
    </row>
    <row r="15" spans="1:20">
      <c r="A15" s="150">
        <v>7114</v>
      </c>
      <c r="B15" s="506" t="str">
        <f>+VLOOKUP($A15,Master!$D$29:$G$225,4,FALSE)</f>
        <v>Porez na dodatu vrijednost</v>
      </c>
      <c r="C15" s="507"/>
      <c r="D15" s="507"/>
      <c r="E15" s="507"/>
      <c r="F15" s="50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427534623.83999997</v>
      </c>
      <c r="T15" s="465">
        <f t="shared" si="3"/>
        <v>9.2208649406892977</v>
      </c>
    </row>
    <row r="16" spans="1:20">
      <c r="A16" s="150">
        <v>7115</v>
      </c>
      <c r="B16" s="506" t="str">
        <f>+VLOOKUP($A16,Master!$D$29:$G$225,4,FALSE)</f>
        <v>Akcize</v>
      </c>
      <c r="C16" s="507"/>
      <c r="D16" s="507"/>
      <c r="E16" s="507"/>
      <c r="F16" s="50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152988570.32999998</v>
      </c>
      <c r="T16" s="465">
        <f t="shared" si="3"/>
        <v>3.299585263555191</v>
      </c>
    </row>
    <row r="17" spans="1:23">
      <c r="A17" s="150">
        <v>7116</v>
      </c>
      <c r="B17" s="506" t="str">
        <f>+VLOOKUP($A17,Master!$D$29:$G$225,4,FALSE)</f>
        <v>Porez na međunarodnu trgovinu i transakcije</v>
      </c>
      <c r="C17" s="507"/>
      <c r="D17" s="507"/>
      <c r="E17" s="507"/>
      <c r="F17" s="50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18169722.689999998</v>
      </c>
      <c r="T17" s="465">
        <f t="shared" si="3"/>
        <v>0.391876001595997</v>
      </c>
    </row>
    <row r="18" spans="1:23">
      <c r="A18" s="150">
        <v>7118</v>
      </c>
      <c r="B18" s="506" t="str">
        <f>+VLOOKUP($A18,Master!$D$29:$G$225,4,FALSE)</f>
        <v>Ostali državni porezi</v>
      </c>
      <c r="C18" s="507"/>
      <c r="D18" s="507"/>
      <c r="E18" s="507"/>
      <c r="F18" s="50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7293623.330000001</v>
      </c>
      <c r="T18" s="465">
        <f t="shared" si="3"/>
        <v>0.15730542488030025</v>
      </c>
    </row>
    <row r="19" spans="1:23">
      <c r="A19" s="150">
        <v>712</v>
      </c>
      <c r="B19" s="510" t="str">
        <f>+VLOOKUP($A19,Master!$D$29:$G$225,4,FALSE)</f>
        <v>Doprinosi</v>
      </c>
      <c r="C19" s="511"/>
      <c r="D19" s="511"/>
      <c r="E19" s="511"/>
      <c r="F19" s="511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0</v>
      </c>
      <c r="P19" s="169">
        <v>0</v>
      </c>
      <c r="Q19" s="169">
        <f t="shared" si="5"/>
        <v>0</v>
      </c>
      <c r="R19" s="169">
        <f t="shared" si="5"/>
        <v>0</v>
      </c>
      <c r="S19" s="243">
        <f t="shared" si="4"/>
        <v>328833310.38</v>
      </c>
      <c r="T19" s="466">
        <f t="shared" si="3"/>
        <v>7.0921216059181296</v>
      </c>
    </row>
    <row r="20" spans="1:23">
      <c r="A20" s="150">
        <v>7121</v>
      </c>
      <c r="B20" s="506" t="str">
        <f>+VLOOKUP($A20,Master!$D$29:$G$225,4,FALSE)</f>
        <v>Doprinosi za penzijsko i invalidsko osiguranje</v>
      </c>
      <c r="C20" s="507"/>
      <c r="D20" s="507"/>
      <c r="E20" s="507"/>
      <c r="F20" s="50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202937811.88000003</v>
      </c>
      <c r="T20" s="465">
        <f t="shared" si="3"/>
        <v>4.3768669257645696</v>
      </c>
    </row>
    <row r="21" spans="1:23">
      <c r="A21" s="150">
        <v>7122</v>
      </c>
      <c r="B21" s="506" t="str">
        <f>+VLOOKUP($A21,Master!$D$29:$G$225,4,FALSE)</f>
        <v>Doprinosi za zdravstveno osiguranje</v>
      </c>
      <c r="C21" s="507"/>
      <c r="D21" s="507"/>
      <c r="E21" s="507"/>
      <c r="F21" s="50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107836536.53</v>
      </c>
      <c r="T21" s="465">
        <f t="shared" si="3"/>
        <v>2.3257675134797049</v>
      </c>
    </row>
    <row r="22" spans="1:23">
      <c r="A22" s="150">
        <v>7123</v>
      </c>
      <c r="B22" s="506" t="str">
        <f>+VLOOKUP($A22,Master!$D$29:$G$225,4,FALSE)</f>
        <v>Doprinosi za osiguranje od nezaposlenosti</v>
      </c>
      <c r="C22" s="507"/>
      <c r="D22" s="507"/>
      <c r="E22" s="507"/>
      <c r="F22" s="50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9792898.7599999998</v>
      </c>
      <c r="T22" s="465">
        <f t="shared" si="3"/>
        <v>0.21120861752145967</v>
      </c>
    </row>
    <row r="23" spans="1:23">
      <c r="A23" s="150">
        <v>7124</v>
      </c>
      <c r="B23" s="506" t="str">
        <f>+VLOOKUP($A23,Master!$D$29:$G$225,4,FALSE)</f>
        <v>Ostali doprinosi</v>
      </c>
      <c r="C23" s="507"/>
      <c r="D23" s="507"/>
      <c r="E23" s="507"/>
      <c r="F23" s="50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8266063.21</v>
      </c>
      <c r="T23" s="465">
        <f t="shared" si="3"/>
        <v>0.17827854915239616</v>
      </c>
      <c r="W23" s="305"/>
    </row>
    <row r="24" spans="1:23">
      <c r="A24" s="150">
        <v>713</v>
      </c>
      <c r="B24" s="508" t="str">
        <f>+VLOOKUP($A24,Master!$D$29:$G$225,4,FALSE)</f>
        <v>Takse</v>
      </c>
      <c r="C24" s="509"/>
      <c r="D24" s="509"/>
      <c r="E24" s="509"/>
      <c r="F24" s="50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1602829.58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8020610.9900000002</v>
      </c>
      <c r="T24" s="466">
        <f t="shared" si="3"/>
        <v>0.17298475154207826</v>
      </c>
      <c r="W24" s="305"/>
    </row>
    <row r="25" spans="1:23">
      <c r="A25" s="150">
        <v>714</v>
      </c>
      <c r="B25" s="508" t="str">
        <f>+VLOOKUP($A25,Master!$D$29:$G$225,4,FALSE)</f>
        <v>Naknade</v>
      </c>
      <c r="C25" s="509"/>
      <c r="D25" s="509"/>
      <c r="E25" s="509"/>
      <c r="F25" s="50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25257787.769999996</v>
      </c>
      <c r="T25" s="466">
        <f t="shared" si="3"/>
        <v>0.54474804317819081</v>
      </c>
    </row>
    <row r="26" spans="1:23">
      <c r="A26" s="150">
        <v>715</v>
      </c>
      <c r="B26" s="508" t="str">
        <f>+VLOOKUP($A26,Master!$D$29:$G$225,4,FALSE)</f>
        <v>Ostali prihodi</v>
      </c>
      <c r="C26" s="509"/>
      <c r="D26" s="509"/>
      <c r="E26" s="509"/>
      <c r="F26" s="509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2279987.17</v>
      </c>
      <c r="M26" s="175">
        <v>30215055.109999999</v>
      </c>
      <c r="N26" s="175">
        <v>2283333.19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44904861.769999996</v>
      </c>
      <c r="T26" s="466">
        <f t="shared" si="3"/>
        <v>0.96848686041495902</v>
      </c>
    </row>
    <row r="27" spans="1:23">
      <c r="A27" s="150">
        <v>73</v>
      </c>
      <c r="B27" s="508" t="str">
        <f>+VLOOKUP($A27,Master!$D$29:$G$225,4,FALSE)</f>
        <v>Primici od otplate kredita i sredstva prenesena iz prethodne godine</v>
      </c>
      <c r="C27" s="509"/>
      <c r="D27" s="509"/>
      <c r="E27" s="509"/>
      <c r="F27" s="50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5641044.6799999997</v>
      </c>
      <c r="T27" s="466">
        <f t="shared" si="3"/>
        <v>0.12166338868998836</v>
      </c>
    </row>
    <row r="28" spans="1:23" ht="13.5" thickBot="1">
      <c r="A28" s="150">
        <v>74</v>
      </c>
      <c r="B28" s="512" t="str">
        <f>+VLOOKUP($A28,Master!$D$29:$G$225,4,FALSE)</f>
        <v>Donacije i transferi</v>
      </c>
      <c r="C28" s="513"/>
      <c r="D28" s="513"/>
      <c r="E28" s="513"/>
      <c r="F28" s="513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1021922.13</v>
      </c>
      <c r="L28" s="175">
        <v>2472793.4900000002</v>
      </c>
      <c r="M28" s="175">
        <v>2393112.7000000002</v>
      </c>
      <c r="N28" s="175">
        <v>787553.87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11288278.58</v>
      </c>
      <c r="T28" s="467">
        <f t="shared" si="3"/>
        <v>0.24346026355519129</v>
      </c>
    </row>
    <row r="29" spans="1:23" ht="13.5" thickBot="1">
      <c r="A29" s="150">
        <v>4</v>
      </c>
      <c r="B29" s="514" t="str">
        <f>+VLOOKUP($A29,Master!$D$29:$G$225,4,FALSE)</f>
        <v>Izdaci budžeta</v>
      </c>
      <c r="C29" s="515"/>
      <c r="D29" s="515"/>
      <c r="E29" s="515"/>
      <c r="F29" s="515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152864964.21000001</v>
      </c>
      <c r="N29" s="151">
        <f t="shared" si="6"/>
        <v>128580844.03999999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1229650286.51</v>
      </c>
      <c r="T29" s="468">
        <f t="shared" si="3"/>
        <v>26.52051689837381</v>
      </c>
    </row>
    <row r="30" spans="1:23">
      <c r="A30" s="150">
        <v>41</v>
      </c>
      <c r="B30" s="518" t="str">
        <f>+VLOOKUP($A30,Master!$D$29:$G$225,4,FALSE)</f>
        <v>Tekući izdaci</v>
      </c>
      <c r="C30" s="519"/>
      <c r="D30" s="519"/>
      <c r="E30" s="519"/>
      <c r="F30" s="519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54770502.110000007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532391257.33000004</v>
      </c>
      <c r="T30" s="464">
        <f t="shared" si="3"/>
        <v>11.482363312125266</v>
      </c>
      <c r="U30" s="242"/>
    </row>
    <row r="31" spans="1:23">
      <c r="A31" s="150">
        <v>411</v>
      </c>
      <c r="B31" s="506" t="str">
        <f>+VLOOKUP($A31,Master!$D$29:$G$225,4,FALSE)</f>
        <v>Bruto zarade i doprinosi na teret poslodavca</v>
      </c>
      <c r="C31" s="507"/>
      <c r="D31" s="507"/>
      <c r="E31" s="507"/>
      <c r="F31" s="50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42439479.950000003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357487139.42000002</v>
      </c>
      <c r="T31" s="465">
        <f t="shared" si="3"/>
        <v>7.7101138640383038</v>
      </c>
      <c r="U31" s="242"/>
    </row>
    <row r="32" spans="1:23">
      <c r="A32" s="150">
        <v>412</v>
      </c>
      <c r="B32" s="506" t="str">
        <f>+VLOOKUP($A32,Master!$D$29:$G$225,4,FALSE)</f>
        <v>Ostala lična primanja</v>
      </c>
      <c r="C32" s="507"/>
      <c r="D32" s="507"/>
      <c r="E32" s="507"/>
      <c r="F32" s="50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6036578.9699999997</v>
      </c>
      <c r="T32" s="465">
        <f t="shared" si="3"/>
        <v>0.13019408553681577</v>
      </c>
      <c r="U32" s="458"/>
    </row>
    <row r="33" spans="1:21">
      <c r="A33" s="150">
        <v>413</v>
      </c>
      <c r="B33" s="506" t="str">
        <f>+VLOOKUP($A33,Master!$D$29:$G$225,4,FALSE)</f>
        <v>Rashodi za materijal</v>
      </c>
      <c r="C33" s="507"/>
      <c r="D33" s="507"/>
      <c r="E33" s="507"/>
      <c r="F33" s="507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16961415.050000001</v>
      </c>
      <c r="T33" s="465">
        <f t="shared" si="3"/>
        <v>0.36581579282232674</v>
      </c>
      <c r="U33" s="458"/>
    </row>
    <row r="34" spans="1:21" s="362" customFormat="1">
      <c r="A34" s="361">
        <v>414</v>
      </c>
      <c r="B34" s="555" t="str">
        <f>+VLOOKUP($A34,Master!$D$29:$G$225,4,FALSE)</f>
        <v>Rashodi za usluge</v>
      </c>
      <c r="C34" s="556"/>
      <c r="D34" s="556"/>
      <c r="E34" s="556"/>
      <c r="F34" s="55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4061567.71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32496852.010000005</v>
      </c>
      <c r="T34" s="465">
        <f t="shared" si="3"/>
        <v>0.70087676336108362</v>
      </c>
      <c r="U34" s="458"/>
    </row>
    <row r="35" spans="1:21">
      <c r="A35" s="150">
        <v>415</v>
      </c>
      <c r="B35" s="506" t="str">
        <f>+VLOOKUP($A35,Master!$D$29:$G$225,4,FALSE)</f>
        <v>Rashodi za tekuće održavanje</v>
      </c>
      <c r="C35" s="507"/>
      <c r="D35" s="507"/>
      <c r="E35" s="507"/>
      <c r="F35" s="50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10915953.23</v>
      </c>
      <c r="T35" s="465">
        <f t="shared" si="3"/>
        <v>0.23543012617003842</v>
      </c>
      <c r="U35" s="458"/>
    </row>
    <row r="36" spans="1:21">
      <c r="A36" s="150">
        <v>416</v>
      </c>
      <c r="B36" s="506" t="str">
        <f>+VLOOKUP($A36,Master!$D$29:$G$225,4,FALSE)</f>
        <v>Kamate</v>
      </c>
      <c r="C36" s="507"/>
      <c r="D36" s="507"/>
      <c r="E36" s="507"/>
      <c r="F36" s="50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1148989.72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64052486.190000005</v>
      </c>
      <c r="T36" s="465">
        <f t="shared" si="3"/>
        <v>1.3814537848854767</v>
      </c>
      <c r="U36" s="458"/>
    </row>
    <row r="37" spans="1:21">
      <c r="A37" s="150">
        <v>417</v>
      </c>
      <c r="B37" s="506" t="str">
        <f>+VLOOKUP($A37,Master!$D$29:$G$225,4,FALSE)</f>
        <v>Renta</v>
      </c>
      <c r="C37" s="507"/>
      <c r="D37" s="507"/>
      <c r="E37" s="507"/>
      <c r="F37" s="50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5606820.0500000007</v>
      </c>
      <c r="T37" s="465">
        <f t="shared" si="3"/>
        <v>0.1209252480265712</v>
      </c>
      <c r="U37" s="458"/>
    </row>
    <row r="38" spans="1:21">
      <c r="A38" s="150">
        <v>418</v>
      </c>
      <c r="B38" s="506" t="str">
        <f>+VLOOKUP($A38,Master!$D$29:$G$225,4,FALSE)</f>
        <v>Subvencije</v>
      </c>
      <c r="C38" s="507"/>
      <c r="D38" s="507"/>
      <c r="E38" s="507"/>
      <c r="F38" s="50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20329962.899999999</v>
      </c>
      <c r="T38" s="465">
        <f t="shared" si="3"/>
        <v>0.43846704266057024</v>
      </c>
      <c r="U38" s="458"/>
    </row>
    <row r="39" spans="1:21" s="362" customFormat="1">
      <c r="A39" s="361">
        <v>419</v>
      </c>
      <c r="B39" s="555" t="str">
        <f>+VLOOKUP($A39,Master!$D$29:$G$225,4,FALSE)</f>
        <v>Ostali izdaci</v>
      </c>
      <c r="C39" s="556"/>
      <c r="D39" s="556"/>
      <c r="E39" s="556"/>
      <c r="F39" s="55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18504049.510000002</v>
      </c>
      <c r="T39" s="465">
        <f t="shared" si="3"/>
        <v>0.39908660462407802</v>
      </c>
      <c r="U39" s="458"/>
    </row>
    <row r="40" spans="1:21">
      <c r="A40" s="150">
        <v>42</v>
      </c>
      <c r="B40" s="522" t="str">
        <f>+VLOOKUP($A40,Master!$D$29:$G$225,4,FALSE)</f>
        <v>Transferi za socijalnu zaštitu</v>
      </c>
      <c r="C40" s="523"/>
      <c r="D40" s="523"/>
      <c r="E40" s="523"/>
      <c r="F40" s="52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374985064.55999988</v>
      </c>
      <c r="T40" s="491">
        <f t="shared" si="3"/>
        <v>8.0875008532114023</v>
      </c>
      <c r="U40" s="242"/>
    </row>
    <row r="41" spans="1:21">
      <c r="A41" s="150">
        <v>421</v>
      </c>
      <c r="B41" s="506" t="str">
        <f>+VLOOKUP($A41,Master!$D$29:$G$225,4,FALSE)</f>
        <v>Prava iz oblasti socijalne zaštite</v>
      </c>
      <c r="C41" s="507"/>
      <c r="D41" s="507"/>
      <c r="E41" s="507"/>
      <c r="F41" s="50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53860383.200000003</v>
      </c>
      <c r="T41" s="465">
        <f t="shared" si="3"/>
        <v>1.1616353189837381</v>
      </c>
      <c r="U41" s="458"/>
    </row>
    <row r="42" spans="1:21">
      <c r="A42" s="150">
        <v>422</v>
      </c>
      <c r="B42" s="506" t="str">
        <f>+VLOOKUP($A42,Master!$D$29:$G$225,4,FALSE)</f>
        <v>Sredstva za tehnološke viškove</v>
      </c>
      <c r="C42" s="507"/>
      <c r="D42" s="507"/>
      <c r="E42" s="507"/>
      <c r="F42" s="50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14642330.92</v>
      </c>
      <c r="T42" s="465">
        <f t="shared" si="3"/>
        <v>0.31579888107665099</v>
      </c>
      <c r="U42" s="458"/>
    </row>
    <row r="43" spans="1:21">
      <c r="A43" s="150">
        <v>423</v>
      </c>
      <c r="B43" s="506" t="str">
        <f>+VLOOKUP($A43,Master!$D$29:$G$225,4,FALSE)</f>
        <v>Prava iz oblasti penzijskog i invalidskog osiguranja</v>
      </c>
      <c r="C43" s="507"/>
      <c r="D43" s="507"/>
      <c r="E43" s="507"/>
      <c r="F43" s="50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287621885.26999998</v>
      </c>
      <c r="T43" s="465">
        <f t="shared" si="3"/>
        <v>6.2032930438252167</v>
      </c>
      <c r="U43" s="458"/>
    </row>
    <row r="44" spans="1:21">
      <c r="A44" s="150">
        <v>424</v>
      </c>
      <c r="B44" s="506" t="str">
        <f>+VLOOKUP($A44,Master!$D$29:$G$225,4,FALSE)</f>
        <v>Ostala prava iz oblasti zdravstvene zaštite</v>
      </c>
      <c r="C44" s="507"/>
      <c r="D44" s="507"/>
      <c r="E44" s="507"/>
      <c r="F44" s="50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11832416.809999999</v>
      </c>
      <c r="T44" s="465">
        <f t="shared" si="3"/>
        <v>0.2551959800284691</v>
      </c>
      <c r="U44" s="458"/>
    </row>
    <row r="45" spans="1:21" s="362" customFormat="1">
      <c r="A45" s="361">
        <v>425</v>
      </c>
      <c r="B45" s="557" t="str">
        <f>+VLOOKUP($A45,Master!$D$29:$G$225,4,FALSE)</f>
        <v>Ostala prava iz zdravstvenog osiguranja</v>
      </c>
      <c r="C45" s="558"/>
      <c r="D45" s="558"/>
      <c r="E45" s="558"/>
      <c r="F45" s="558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7028048.3600000003</v>
      </c>
      <c r="T45" s="465">
        <f t="shared" si="3"/>
        <v>0.15157762929732993</v>
      </c>
      <c r="U45" s="458"/>
    </row>
    <row r="46" spans="1:21">
      <c r="A46" s="150">
        <v>43</v>
      </c>
      <c r="B46" s="520" t="str">
        <f>+VLOOKUP($A46,Master!$D$29:$G$225,4,FALSE)</f>
        <v xml:space="preserve">Transferi institucijama, pojedincima, nevladinom i javnom sektoru </v>
      </c>
      <c r="C46" s="521"/>
      <c r="D46" s="521"/>
      <c r="E46" s="521"/>
      <c r="F46" s="521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153628084.47999999</v>
      </c>
      <c r="T46" s="466">
        <f t="shared" si="3"/>
        <v>3.3133780028469131</v>
      </c>
      <c r="U46" s="482"/>
    </row>
    <row r="47" spans="1:21">
      <c r="A47" s="150">
        <v>44</v>
      </c>
      <c r="B47" s="520" t="str">
        <f>+VLOOKUP($A47,Master!$D$29:$G$225,4,FALSE)</f>
        <v>Kapitalni izdaci</v>
      </c>
      <c r="C47" s="521"/>
      <c r="D47" s="521"/>
      <c r="E47" s="521"/>
      <c r="F47" s="521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13239995.960000001</v>
      </c>
      <c r="N47" s="175">
        <v>7339618.0199999996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83071296.140000001</v>
      </c>
      <c r="T47" s="466">
        <f t="shared" si="3"/>
        <v>1.7916424996764873</v>
      </c>
      <c r="U47" s="482"/>
    </row>
    <row r="48" spans="1:21">
      <c r="A48" s="150">
        <v>451</v>
      </c>
      <c r="B48" s="559" t="str">
        <f>+VLOOKUP($A48,Master!$D$29:$G$225,4,FALSE)</f>
        <v>Pozajmice i krediti</v>
      </c>
      <c r="C48" s="560"/>
      <c r="D48" s="560"/>
      <c r="E48" s="560"/>
      <c r="F48" s="560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64" t="str">
        <f>+VLOOKUP($A49,Master!$D$29:$G$225,4,FALSE)</f>
        <v>Rezerve</v>
      </c>
      <c r="C49" s="565"/>
      <c r="D49" s="565"/>
      <c r="E49" s="565"/>
      <c r="F49" s="56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56894157.209999993</v>
      </c>
      <c r="T49" s="465">
        <f t="shared" si="3"/>
        <v>1.2270663246775653</v>
      </c>
      <c r="U49" s="482"/>
    </row>
    <row r="50" spans="1:21" ht="13.5" thickBot="1">
      <c r="A50" s="150">
        <v>462</v>
      </c>
      <c r="B50" s="526" t="str">
        <f>+VLOOKUP($A50,Master!$D$29:$G$225,4,FALSE)</f>
        <v>Otplata garancija</v>
      </c>
      <c r="C50" s="527"/>
      <c r="D50" s="527"/>
      <c r="E50" s="527"/>
      <c r="F50" s="527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0.16631264461027476</v>
      </c>
      <c r="U50" s="482"/>
    </row>
    <row r="51" spans="1:21" ht="13.5" thickBot="1">
      <c r="A51" s="144">
        <v>4630</v>
      </c>
      <c r="B51" s="566" t="str">
        <f>+VLOOKUP($A51,Master!$D$29:$G$225,4,TRUE)</f>
        <v>Otplata obaveza iz prethodnog perioda</v>
      </c>
      <c r="C51" s="567"/>
      <c r="D51" s="567"/>
      <c r="E51" s="567"/>
      <c r="F51" s="567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1459246.33</v>
      </c>
      <c r="N51" s="459">
        <v>732375.88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20140394.709999997</v>
      </c>
      <c r="T51" s="469">
        <f t="shared" si="3"/>
        <v>0.43437852542811534</v>
      </c>
      <c r="U51" s="482"/>
    </row>
    <row r="52" spans="1:21" ht="13.5" thickBot="1">
      <c r="A52" s="70">
        <v>1005</v>
      </c>
      <c r="B52" s="568" t="str">
        <f>+VLOOKUP($A52,Master!$D$29:$G$227,4,FALSE)</f>
        <v>Neto povećanje obaveza</v>
      </c>
      <c r="C52" s="569"/>
      <c r="D52" s="569"/>
      <c r="E52" s="569"/>
      <c r="F52" s="56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-19589337.230000019</v>
      </c>
      <c r="L53" s="151">
        <f t="shared" si="9"/>
        <v>3002455.6600000262</v>
      </c>
      <c r="M53" s="151">
        <f t="shared" si="9"/>
        <v>41252829.819999993</v>
      </c>
      <c r="N53" s="151">
        <f t="shared" si="9"/>
        <v>61480088.900000006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-57411233.159999996</v>
      </c>
      <c r="T53" s="471">
        <f t="shared" si="3"/>
        <v>-1.2382183746710951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-12889036.390000019</v>
      </c>
      <c r="L54" s="205">
        <f t="shared" si="10"/>
        <v>8292510.0900000259</v>
      </c>
      <c r="M54" s="205">
        <f t="shared" si="10"/>
        <v>45067801.039999992</v>
      </c>
      <c r="N54" s="205">
        <f t="shared" si="10"/>
        <v>62629078.620000005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6641253.030000031</v>
      </c>
      <c r="T54" s="471">
        <f t="shared" si="3"/>
        <v>0.14323541021438191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4876050.96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380793462.30000001</v>
      </c>
      <c r="T55" s="472">
        <f t="shared" si="3"/>
        <v>8.2127736336971058</v>
      </c>
    </row>
    <row r="56" spans="1:21">
      <c r="A56" s="144">
        <v>4611</v>
      </c>
      <c r="B56" s="548" t="str">
        <f>+VLOOKUP($A56,Master!$D$29:$G$225,4,FALSE)</f>
        <v>Otplata hartija od vrijednosti i kredita rezidentima</v>
      </c>
      <c r="C56" s="549"/>
      <c r="D56" s="549"/>
      <c r="E56" s="549"/>
      <c r="F56" s="549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67915543.909999996</v>
      </c>
      <c r="T56" s="473">
        <f t="shared" si="3"/>
        <v>1.4647703901565801</v>
      </c>
    </row>
    <row r="57" spans="1:21" ht="13.5" thickBot="1">
      <c r="A57" s="144">
        <v>4612</v>
      </c>
      <c r="B57" s="524" t="str">
        <f>+VLOOKUP($A57,Master!$D$29:$G$225,4,FALSE)</f>
        <v>Otplata hartija od vrijednosti i kredita nerezidentima</v>
      </c>
      <c r="C57" s="525"/>
      <c r="D57" s="525"/>
      <c r="E57" s="525"/>
      <c r="F57" s="52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3126003.21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312877918.38999999</v>
      </c>
      <c r="T57" s="473">
        <f t="shared" si="3"/>
        <v>6.7480032435405253</v>
      </c>
    </row>
    <row r="58" spans="1:21" ht="13.5" thickBot="1">
      <c r="A58" s="144">
        <v>4418</v>
      </c>
      <c r="B58" s="516" t="str">
        <f>+VLOOKUP($A58,Master!$D$29:$G$225,4,FALSE)</f>
        <v>Izdaci za kupovinu hartija od vrijednosti</v>
      </c>
      <c r="C58" s="517"/>
      <c r="D58" s="517"/>
      <c r="E58" s="517"/>
      <c r="F58" s="517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50" t="str">
        <f>+VLOOKUP($A59,Master!$D$29:$G$225,4,FALSE)</f>
        <v>Nedostajuća sredstva</v>
      </c>
      <c r="C59" s="551"/>
      <c r="D59" s="551"/>
      <c r="E59" s="551"/>
      <c r="F59" s="551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-35872165.150000021</v>
      </c>
      <c r="L59" s="217">
        <f t="shared" si="12"/>
        <v>-12050427.939999975</v>
      </c>
      <c r="M59" s="217">
        <f t="shared" si="12"/>
        <v>15894154.669999991</v>
      </c>
      <c r="N59" s="217">
        <f t="shared" si="12"/>
        <v>56604037.940000005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-438204695.46000004</v>
      </c>
      <c r="T59" s="475">
        <f t="shared" si="3"/>
        <v>-9.4509920083682015</v>
      </c>
    </row>
    <row r="60" spans="1:21" ht="13.5" thickBot="1">
      <c r="A60" s="144">
        <v>1003</v>
      </c>
      <c r="B60" s="514" t="str">
        <f>+VLOOKUP($A60,Master!$D$29:$G$225,4,FALSE)</f>
        <v>Finansiranje</v>
      </c>
      <c r="C60" s="515"/>
      <c r="D60" s="515"/>
      <c r="E60" s="515"/>
      <c r="F60" s="515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35872165.150000021</v>
      </c>
      <c r="L60" s="151">
        <f t="shared" si="13"/>
        <v>12050427.939999975</v>
      </c>
      <c r="M60" s="151">
        <f t="shared" si="13"/>
        <v>-15894154.669999991</v>
      </c>
      <c r="N60" s="151">
        <f t="shared" si="13"/>
        <v>-56604037.940000005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438204695.46000004</v>
      </c>
      <c r="T60" s="476">
        <f t="shared" si="3"/>
        <v>9.4509920083682015</v>
      </c>
    </row>
    <row r="61" spans="1:21">
      <c r="A61" s="144">
        <v>7511</v>
      </c>
      <c r="B61" s="548" t="str">
        <f>+VLOOKUP($A61,Master!$D$29:$G$225,4,FALSE)</f>
        <v>Pozajmice i krediti od domaćih izvora</v>
      </c>
      <c r="C61" s="549"/>
      <c r="D61" s="549"/>
      <c r="E61" s="549"/>
      <c r="F61" s="549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24" t="str">
        <f>+VLOOKUP($A62,Master!$D$29:$G$225,4,FALSE)</f>
        <v>Pozajmice i krediti od inostranih izvora</v>
      </c>
      <c r="C62" s="525"/>
      <c r="D62" s="525"/>
      <c r="E62" s="525"/>
      <c r="F62" s="525"/>
      <c r="G62" s="211">
        <v>8076079.9500000002</v>
      </c>
      <c r="H62" s="211">
        <v>4169340.21</v>
      </c>
      <c r="I62" s="211">
        <v>1548064.41</v>
      </c>
      <c r="J62" s="211">
        <v>15210844.41</v>
      </c>
      <c r="K62" s="211">
        <v>1564528.45</v>
      </c>
      <c r="L62" s="211">
        <v>33570334.609999999</v>
      </c>
      <c r="M62" s="489">
        <v>4696156.91</v>
      </c>
      <c r="N62" s="211">
        <v>1567009.93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70402358.88000001</v>
      </c>
      <c r="T62" s="473">
        <f t="shared" si="3"/>
        <v>1.5184048414786699</v>
      </c>
    </row>
    <row r="63" spans="1:21">
      <c r="A63" s="144">
        <v>72</v>
      </c>
      <c r="B63" s="524" t="str">
        <f>+VLOOKUP($A63,Master!$D$29:$G$225,4,FALSE)</f>
        <v>Primici od prodaje imovine</v>
      </c>
      <c r="C63" s="525"/>
      <c r="D63" s="525"/>
      <c r="E63" s="525"/>
      <c r="F63" s="52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1060650.8700000001</v>
      </c>
      <c r="T63" s="473">
        <f t="shared" si="3"/>
        <v>2.2875617262649358E-2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247553181.30000001</v>
      </c>
      <c r="J64" s="225">
        <f t="shared" si="14"/>
        <v>57741404.129999958</v>
      </c>
      <c r="K64" s="225">
        <f t="shared" si="14"/>
        <v>34010485.130000018</v>
      </c>
      <c r="L64" s="225">
        <f t="shared" si="14"/>
        <v>-21736585.870000027</v>
      </c>
      <c r="M64" s="225">
        <f t="shared" si="14"/>
        <v>-20773737.11999999</v>
      </c>
      <c r="N64" s="225">
        <f t="shared" si="14"/>
        <v>-58378709.130000003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366741685.70999998</v>
      </c>
      <c r="T64" s="477">
        <f t="shared" si="3"/>
        <v>7.9097115496268815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6" t="str">
        <f>+Master!G252</f>
        <v>Plan ostvarenja budžeta</v>
      </c>
      <c r="C81" s="577"/>
      <c r="D81" s="577"/>
      <c r="E81" s="577"/>
      <c r="F81" s="577"/>
      <c r="G81" s="561">
        <v>2021</v>
      </c>
      <c r="H81" s="562"/>
      <c r="I81" s="562"/>
      <c r="J81" s="562"/>
      <c r="K81" s="562"/>
      <c r="L81" s="562"/>
      <c r="M81" s="562"/>
      <c r="N81" s="562"/>
      <c r="O81" s="562"/>
      <c r="P81" s="562"/>
      <c r="Q81" s="562"/>
      <c r="R81" s="563"/>
      <c r="S81" s="107" t="str">
        <f>+S7</f>
        <v>BDP</v>
      </c>
      <c r="T81" s="108">
        <v>4636600000</v>
      </c>
    </row>
    <row r="82" spans="1:21" ht="15.75" customHeight="1">
      <c r="B82" s="578"/>
      <c r="C82" s="579"/>
      <c r="D82" s="579"/>
      <c r="E82" s="579"/>
      <c r="F82" s="580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61" t="str">
        <f>+Master!G246</f>
        <v>Jan - Dec</v>
      </c>
      <c r="T82" s="563">
        <f>+T8</f>
        <v>0</v>
      </c>
    </row>
    <row r="83" spans="1:21" ht="13.5" thickBot="1">
      <c r="B83" s="581"/>
      <c r="C83" s="582"/>
      <c r="D83" s="582"/>
      <c r="E83" s="582"/>
      <c r="F83" s="58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70" t="str">
        <f>+VLOOKUP(LEFT($A84,LEN(A84)-1)*1,Master!$D$29:$G$225,4,FALSE)</f>
        <v>Prihodi budžeta</v>
      </c>
      <c r="C84" s="571"/>
      <c r="D84" s="571"/>
      <c r="E84" s="571"/>
      <c r="F84" s="57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72" t="str">
        <f>+VLOOKUP(LEFT($A85,LEN(A85)-1)*1,Master!$D$29:$G$225,4,FALSE)</f>
        <v>Porezi</v>
      </c>
      <c r="C85" s="573"/>
      <c r="D85" s="573"/>
      <c r="E85" s="573"/>
      <c r="F85" s="57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4" t="str">
        <f>+VLOOKUP(LEFT($A86,LEN(A86)-1)*1,Master!$D$29:$G$228,4,FALSE)</f>
        <v>Porez na dohodak fizičkih lica</v>
      </c>
      <c r="C86" s="575"/>
      <c r="D86" s="575"/>
      <c r="E86" s="575"/>
      <c r="F86" s="575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4" t="str">
        <f>+VLOOKUP(LEFT($A87,LEN(A87)-1)*1,Master!$D$29:$G$228,4,FALSE)</f>
        <v>Porez na dobit pravnih lica</v>
      </c>
      <c r="C87" s="575"/>
      <c r="D87" s="575"/>
      <c r="E87" s="575"/>
      <c r="F87" s="575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4" t="str">
        <f>+VLOOKUP(LEFT($A88,LEN(A88)-1)*1,Master!$D$29:$G$228,4,FALSE)</f>
        <v>Porez na promet nepokretnosti</v>
      </c>
      <c r="C88" s="575"/>
      <c r="D88" s="575"/>
      <c r="E88" s="575"/>
      <c r="F88" s="575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4" t="str">
        <f>+VLOOKUP(LEFT($A89,LEN(A89)-1)*1,Master!$D$29:$G$228,4,FALSE)</f>
        <v>Porez na dodatu vrijednost</v>
      </c>
      <c r="C89" s="575"/>
      <c r="D89" s="575"/>
      <c r="E89" s="575"/>
      <c r="F89" s="575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4" t="str">
        <f>+VLOOKUP(LEFT($A90,LEN(A90)-1)*1,Master!$D$29:$G$228,4,FALSE)</f>
        <v>Akcize</v>
      </c>
      <c r="C90" s="575"/>
      <c r="D90" s="575"/>
      <c r="E90" s="575"/>
      <c r="F90" s="575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4" t="str">
        <f>+VLOOKUP(LEFT($A91,LEN(A91)-1)*1,Master!$D$29:$G$228,4,FALSE)</f>
        <v>Porez na međunarodnu trgovinu i transakcije</v>
      </c>
      <c r="C91" s="575"/>
      <c r="D91" s="575"/>
      <c r="E91" s="575"/>
      <c r="F91" s="575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4" t="str">
        <f>+VLOOKUP(LEFT($A92,LEN(A92)-1)*1,Master!$D$29:$G$228,4,FALSE)</f>
        <v>Ostali državni porezi</v>
      </c>
      <c r="C92" s="575"/>
      <c r="D92" s="575"/>
      <c r="E92" s="575"/>
      <c r="F92" s="575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86" t="str">
        <f>+VLOOKUP(LEFT($A93,LEN(A93)-1)*1,Master!$D$29:$G$228,4,FALSE)</f>
        <v>Doprinosi</v>
      </c>
      <c r="C93" s="587"/>
      <c r="D93" s="587"/>
      <c r="E93" s="587"/>
      <c r="F93" s="587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4" t="str">
        <f>+VLOOKUP(LEFT($A94,LEN(A94)-1)*1,Master!$D$29:$G$228,4,FALSE)</f>
        <v>Doprinosi za penzijsko i invalidsko osiguranje</v>
      </c>
      <c r="C94" s="575"/>
      <c r="D94" s="575"/>
      <c r="E94" s="575"/>
      <c r="F94" s="575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4" t="str">
        <f>+VLOOKUP(LEFT($A95,LEN(A95)-1)*1,Master!$D$29:$G$228,4,FALSE)</f>
        <v>Doprinosi za zdravstveno osiguranje</v>
      </c>
      <c r="C95" s="575"/>
      <c r="D95" s="575"/>
      <c r="E95" s="575"/>
      <c r="F95" s="575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4" t="str">
        <f>+VLOOKUP(LEFT($A96,LEN(A96)-1)*1,Master!$D$29:$G$228,4,FALSE)</f>
        <v>Doprinosi za osiguranje od nezaposlenosti</v>
      </c>
      <c r="C96" s="575"/>
      <c r="D96" s="575"/>
      <c r="E96" s="575"/>
      <c r="F96" s="575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4" t="str">
        <f>+VLOOKUP(LEFT($A97,LEN(A97)-1)*1,Master!$D$29:$G$228,4,FALSE)</f>
        <v>Ostali doprinosi</v>
      </c>
      <c r="C97" s="575"/>
      <c r="D97" s="575"/>
      <c r="E97" s="575"/>
      <c r="F97" s="575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84" t="str">
        <f>+VLOOKUP(LEFT($A98,LEN(A98)-1)*1,Master!$D$29:$G$228,4,FALSE)</f>
        <v>Takse</v>
      </c>
      <c r="C98" s="585"/>
      <c r="D98" s="585"/>
      <c r="E98" s="585"/>
      <c r="F98" s="585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84" t="str">
        <f>+VLOOKUP(LEFT($A99,LEN(A99)-1)*1,Master!$D$29:$G$228,4,FALSE)</f>
        <v>Naknade</v>
      </c>
      <c r="C99" s="585"/>
      <c r="D99" s="585"/>
      <c r="E99" s="585"/>
      <c r="F99" s="585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84" t="str">
        <f>+VLOOKUP(LEFT($A100,LEN(A100)-1)*1,Master!$D$29:$G$228,4,FALSE)</f>
        <v>Ostali prihodi</v>
      </c>
      <c r="C100" s="585"/>
      <c r="D100" s="585"/>
      <c r="E100" s="585"/>
      <c r="F100" s="585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84" t="str">
        <f>+VLOOKUP(LEFT($A101,LEN(A101)-1)*1,Master!$D$29:$G$228,4,FALSE)</f>
        <v>Primici od otplate kredita i sredstva prenesena iz prethodne godine</v>
      </c>
      <c r="C101" s="585"/>
      <c r="D101" s="585"/>
      <c r="E101" s="585"/>
      <c r="F101" s="585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88" t="str">
        <f>+VLOOKUP(LEFT($A102,LEN(A102)-1)*1,Master!$D$29:$G$228,4,FALSE)</f>
        <v>Donacije i transferi</v>
      </c>
      <c r="C102" s="589"/>
      <c r="D102" s="589"/>
      <c r="E102" s="589"/>
      <c r="F102" s="589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90" t="str">
        <f>+VLOOKUP(LEFT($A103,LEN(A103)-1)*1,Master!$D$29:$G$228,4,FALSE)</f>
        <v>Izdaci budžeta</v>
      </c>
      <c r="C103" s="591"/>
      <c r="D103" s="591"/>
      <c r="E103" s="591"/>
      <c r="F103" s="591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2" t="str">
        <f>+VLOOKUP(LEFT($A104,LEN(A104)-1)*1,Master!$D$29:$G$228,4,FALSE)</f>
        <v>Tekući izdaci</v>
      </c>
      <c r="C104" s="593"/>
      <c r="D104" s="593"/>
      <c r="E104" s="593"/>
      <c r="F104" s="593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4" t="str">
        <f>+VLOOKUP(LEFT($A105,LEN(A105)-1)*1,Master!$D$29:$G$228,4,FALSE)</f>
        <v>Bruto zarade i doprinosi na teret poslodavca</v>
      </c>
      <c r="C105" s="575"/>
      <c r="D105" s="575"/>
      <c r="E105" s="575"/>
      <c r="F105" s="575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4" t="str">
        <f>+VLOOKUP(LEFT($A106,LEN(A106)-1)*1,Master!$D$29:$G$228,4,FALSE)</f>
        <v>Ostala lična primanja</v>
      </c>
      <c r="C106" s="575"/>
      <c r="D106" s="575"/>
      <c r="E106" s="575"/>
      <c r="F106" s="575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4" t="str">
        <f>+VLOOKUP(LEFT($A107,LEN(A107)-1)*1,Master!$D$29:$G$228,4,FALSE)</f>
        <v>Rashodi za materijal</v>
      </c>
      <c r="C107" s="575"/>
      <c r="D107" s="575"/>
      <c r="E107" s="575"/>
      <c r="F107" s="575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4" t="str">
        <f>+VLOOKUP(LEFT($A108,LEN(A108)-1)*1,Master!$D$29:$G$228,4,FALSE)</f>
        <v>Rashodi za usluge</v>
      </c>
      <c r="C108" s="575"/>
      <c r="D108" s="575"/>
      <c r="E108" s="575"/>
      <c r="F108" s="575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4" t="str">
        <f>+VLOOKUP(LEFT($A109,LEN(A109)-1)*1,Master!$D$29:$G$228,4,FALSE)</f>
        <v>Rashodi za tekuće održavanje</v>
      </c>
      <c r="C109" s="575"/>
      <c r="D109" s="575"/>
      <c r="E109" s="575"/>
      <c r="F109" s="575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4" t="str">
        <f>+VLOOKUP(LEFT($A110,LEN(A110)-1)*1,Master!$D$29:$G$228,4,FALSE)</f>
        <v>Kamate</v>
      </c>
      <c r="C110" s="575"/>
      <c r="D110" s="575"/>
      <c r="E110" s="575"/>
      <c r="F110" s="575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4" t="str">
        <f>+VLOOKUP(LEFT($A111,LEN(A111)-1)*1,Master!$D$29:$G$228,4,FALSE)</f>
        <v>Renta</v>
      </c>
      <c r="C111" s="575"/>
      <c r="D111" s="575"/>
      <c r="E111" s="575"/>
      <c r="F111" s="575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4" t="str">
        <f>+VLOOKUP(LEFT($A112,LEN(A112)-1)*1,Master!$D$29:$G$228,4,FALSE)</f>
        <v>Subvencije</v>
      </c>
      <c r="C112" s="575"/>
      <c r="D112" s="575"/>
      <c r="E112" s="575"/>
      <c r="F112" s="575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4" t="str">
        <f>+VLOOKUP(LEFT($A113,LEN(A113)-1)*1,Master!$D$29:$G$228,4,FALSE)</f>
        <v>Ostali izdaci</v>
      </c>
      <c r="C113" s="575"/>
      <c r="D113" s="575"/>
      <c r="E113" s="575"/>
      <c r="F113" s="575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98" t="str">
        <f>+VLOOKUP(LEFT($A114,LEN(A114)-1)*1,Master!$D$29:$G$228,4,FALSE)</f>
        <v>Transferi za socijalnu zaštitu</v>
      </c>
      <c r="C114" s="599"/>
      <c r="D114" s="599"/>
      <c r="E114" s="599"/>
      <c r="F114" s="599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4" t="str">
        <f>+VLOOKUP(LEFT($A115,LEN(A115)-1)*1,Master!$D$29:$G$228,4,FALSE)</f>
        <v>Prava iz oblasti socijalne zaštite</v>
      </c>
      <c r="C115" s="575"/>
      <c r="D115" s="575"/>
      <c r="E115" s="575"/>
      <c r="F115" s="575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4" t="str">
        <f>+VLOOKUP(LEFT($A116,LEN(A116)-1)*1,Master!$D$29:$G$228,4,FALSE)</f>
        <v>Sredstva za tehnološke viškove</v>
      </c>
      <c r="C116" s="575"/>
      <c r="D116" s="575"/>
      <c r="E116" s="575"/>
      <c r="F116" s="575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4" t="str">
        <f>+VLOOKUP(LEFT($A117,LEN(A117)-1)*1,Master!$D$29:$G$228,4,FALSE)</f>
        <v>Prava iz oblasti penzijskog i invalidskog osiguranja</v>
      </c>
      <c r="C117" s="575"/>
      <c r="D117" s="575"/>
      <c r="E117" s="575"/>
      <c r="F117" s="575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4" t="str">
        <f>+VLOOKUP(LEFT($A118,LEN(A118)-1)*1,Master!$D$29:$G$228,4,FALSE)</f>
        <v>Ostala prava iz oblasti zdravstvene zaštite</v>
      </c>
      <c r="C118" s="575"/>
      <c r="D118" s="575"/>
      <c r="E118" s="575"/>
      <c r="F118" s="575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4" t="str">
        <f>+VLOOKUP(LEFT($A119,LEN(A119)-1)*1,Master!$D$29:$G$228,4,FALSE)</f>
        <v>Ostala prava iz zdravstvenog osiguranja</v>
      </c>
      <c r="C119" s="575"/>
      <c r="D119" s="575"/>
      <c r="E119" s="575"/>
      <c r="F119" s="575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94" t="str">
        <f>+VLOOKUP(LEFT($A120,LEN(A120)-1)*1,Master!$D$29:$G$228,4,FALSE)</f>
        <v xml:space="preserve">Transferi institucijama, pojedincima, nevladinom i javnom sektoru </v>
      </c>
      <c r="C120" s="595"/>
      <c r="D120" s="595"/>
      <c r="E120" s="595"/>
      <c r="F120" s="595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94" t="str">
        <f>+VLOOKUP(LEFT($A121,LEN(A121)-1)*1,Master!$D$29:$G$228,4,FALSE)</f>
        <v>Kapitalni izdaci</v>
      </c>
      <c r="C121" s="595"/>
      <c r="D121" s="595"/>
      <c r="E121" s="595"/>
      <c r="F121" s="595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96" t="str">
        <f>+VLOOKUP(LEFT($A122,LEN(A122)-1)*1,Master!$D$29:$G$228,4,FALSE)</f>
        <v>Pozajmice i krediti</v>
      </c>
      <c r="C122" s="597"/>
      <c r="D122" s="597"/>
      <c r="E122" s="597"/>
      <c r="F122" s="597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96" t="str">
        <f>+VLOOKUP(LEFT($A123,LEN(A123)-1)*1,Master!$D$29:$G$228,4,FALSE)</f>
        <v>Rezerve</v>
      </c>
      <c r="C123" s="597"/>
      <c r="D123" s="597"/>
      <c r="E123" s="597"/>
      <c r="F123" s="597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96" t="str">
        <f>+VLOOKUP(LEFT($A124,LEN(A124)-1)*1,Master!$D$29:$G$228,4,FALSE)</f>
        <v>Otplata garancija</v>
      </c>
      <c r="C124" s="597"/>
      <c r="D124" s="597"/>
      <c r="E124" s="597"/>
      <c r="F124" s="597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96" t="str">
        <f>+VLOOKUP(LEFT($A125,LEN(A125)-1)*1,Master!$D$29:$G$228,4,FALSE)</f>
        <v>Otplata obaveza iz prethodnog perioda</v>
      </c>
      <c r="C125" s="597"/>
      <c r="D125" s="597"/>
      <c r="E125" s="597"/>
      <c r="F125" s="597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6" t="str">
        <f>+VLOOKUP(LEFT($A126,LEN(A126)-1)*1,Master!$D$29:$G$228,4,FALSE)</f>
        <v>Neto povećanje obaveza</v>
      </c>
      <c r="C126" s="597"/>
      <c r="D126" s="597"/>
      <c r="E126" s="597"/>
      <c r="F126" s="59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604" t="str">
        <f>+VLOOKUP(LEFT($A127,LEN(A127)-1)*1,Master!$D$29:$G$225,4,FALSE)</f>
        <v>Suficit / deficit</v>
      </c>
      <c r="C127" s="605"/>
      <c r="D127" s="605"/>
      <c r="E127" s="605"/>
      <c r="F127" s="605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6" t="str">
        <f>+VLOOKUP(LEFT($A128,LEN(A128)-1)*1,Master!$D$29:$G$225,4,FALSE)</f>
        <v>Primarni suficit/deficit</v>
      </c>
      <c r="C128" s="607"/>
      <c r="D128" s="607"/>
      <c r="E128" s="607"/>
      <c r="F128" s="607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98" t="str">
        <f>+VLOOKUP(LEFT($A129,LEN(A129)-1)*1,Master!$D$29:$G$225,4,FALSE)</f>
        <v>Otplata dugova</v>
      </c>
      <c r="C129" s="599"/>
      <c r="D129" s="599"/>
      <c r="E129" s="599"/>
      <c r="F129" s="599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602" t="str">
        <f>+VLOOKUP(LEFT($A130,LEN(A130)-1)*1,Master!$D$29:$G$225,4,FALSE)</f>
        <v>Otplata hartija od vrijednosti i kredita rezidentima</v>
      </c>
      <c r="C130" s="603"/>
      <c r="D130" s="603"/>
      <c r="E130" s="603"/>
      <c r="F130" s="603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96" t="str">
        <f>+VLOOKUP(LEFT($A131,LEN(A131)-1)*1,Master!$D$29:$G$225,4,FALSE)</f>
        <v>Otplata hartija od vrijednosti i kredita nerezidentima</v>
      </c>
      <c r="C131" s="597"/>
      <c r="D131" s="597"/>
      <c r="E131" s="597"/>
      <c r="F131" s="597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90" t="str">
        <f>+VLOOKUP(LEFT($A132,LEN(A132)-1)*1,Master!$D$29:$G$225,4,FALSE)</f>
        <v>Izdaci za kupovinu hartija od vrijednosti</v>
      </c>
      <c r="C132" s="591"/>
      <c r="D132" s="591"/>
      <c r="E132" s="591"/>
      <c r="F132" s="591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600" t="str">
        <f>+VLOOKUP(LEFT($A133,LEN(A133)-1)*1,Master!$D$29:$G$225,4,FALSE)</f>
        <v>Nedostajuća sredstva</v>
      </c>
      <c r="C133" s="601"/>
      <c r="D133" s="601"/>
      <c r="E133" s="601"/>
      <c r="F133" s="601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90" t="str">
        <f>+VLOOKUP(LEFT($A134,LEN(A134)-1)*1,Master!$D$29:$G$225,4,FALSE)</f>
        <v>Finansiranje</v>
      </c>
      <c r="C134" s="591"/>
      <c r="D134" s="591"/>
      <c r="E134" s="591"/>
      <c r="F134" s="591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602" t="str">
        <f>+VLOOKUP(LEFT($A135,LEN(A135)-1)*1,Master!$D$29:$G$225,4,FALSE)</f>
        <v>Pozajmice i krediti od domaćih izvora</v>
      </c>
      <c r="C135" s="603"/>
      <c r="D135" s="603"/>
      <c r="E135" s="603"/>
      <c r="F135" s="603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96" t="str">
        <f>+VLOOKUP(LEFT($A136,LEN(A136)-1)*1,Master!$D$29:$G$225,4,FALSE)</f>
        <v>Pozajmice i krediti od inostranih izvora</v>
      </c>
      <c r="C136" s="597"/>
      <c r="D136" s="597"/>
      <c r="E136" s="597"/>
      <c r="F136" s="597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96" t="str">
        <f>+VLOOKUP(LEFT($A137,LEN(A137)-1)*1,Master!$D$29:$G$225,4,FALSE)</f>
        <v>Primici od prodaje imovine</v>
      </c>
      <c r="C137" s="597"/>
      <c r="D137" s="597"/>
      <c r="E137" s="597"/>
      <c r="F137" s="597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IJ9VCH39qXRF+RTfTC+IEUazQXasQzinI4uD50Y/lGMGyfHVGm41USE3QKpKq7Wa2RFlBKJmjXkhLumpLM2K8A==" saltValue="4HlqfLXXWcjlB0DXPEu2HA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T5" sqref="T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4" t="str">
        <f>+Master!G251</f>
        <v>Ostvarenje budžeta</v>
      </c>
      <c r="C7" s="535"/>
      <c r="D7" s="535"/>
      <c r="E7" s="535"/>
      <c r="F7" s="535"/>
      <c r="G7" s="543">
        <v>2020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tr">
        <f>+Master!G248</f>
        <v>BDP</v>
      </c>
      <c r="T7" s="236">
        <v>4193200000</v>
      </c>
    </row>
    <row r="8" spans="1:20" ht="16.5" customHeight="1">
      <c r="A8" s="144"/>
      <c r="B8" s="536"/>
      <c r="C8" s="537"/>
      <c r="D8" s="537"/>
      <c r="E8" s="537"/>
      <c r="F8" s="538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3" t="str">
        <f>+Master!G246</f>
        <v>Jan - Dec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2" t="str">
        <f>+VLOOKUP($A10,Master!$D$29:$G$225,4,FALSE)</f>
        <v>Prihodi budžeta</v>
      </c>
      <c r="C10" s="503"/>
      <c r="D10" s="503"/>
      <c r="E10" s="503"/>
      <c r="F10" s="503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04" t="str">
        <f>+VLOOKUP($A11,Master!$D$29:$G$225,4,FALSE)</f>
        <v>Porezi</v>
      </c>
      <c r="C11" s="505"/>
      <c r="D11" s="505"/>
      <c r="E11" s="505"/>
      <c r="F11" s="505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06" t="str">
        <f>+VLOOKUP($A12,Master!$D$29:$G$225,4,FALSE)</f>
        <v>Porez na dohodak fizičkih lica</v>
      </c>
      <c r="C12" s="507"/>
      <c r="D12" s="507"/>
      <c r="E12" s="507"/>
      <c r="F12" s="50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06" t="str">
        <f>+VLOOKUP($A13,Master!$D$29:$G$225,4,FALSE)</f>
        <v>Porez na dobit pravnih lica</v>
      </c>
      <c r="C13" s="507"/>
      <c r="D13" s="507"/>
      <c r="E13" s="507"/>
      <c r="F13" s="50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06" t="str">
        <f>+VLOOKUP($A14,Master!$D$29:$G$225,4,FALSE)</f>
        <v>Porez na promet nepokretnosti</v>
      </c>
      <c r="C14" s="507"/>
      <c r="D14" s="507"/>
      <c r="E14" s="507"/>
      <c r="F14" s="50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06" t="str">
        <f>+VLOOKUP($A15,Master!$D$29:$G$225,4,FALSE)</f>
        <v>Porez na dodatu vrijednost</v>
      </c>
      <c r="C15" s="507"/>
      <c r="D15" s="507"/>
      <c r="E15" s="507"/>
      <c r="F15" s="50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06" t="str">
        <f>+VLOOKUP($A16,Master!$D$29:$G$225,4,FALSE)</f>
        <v>Akcize</v>
      </c>
      <c r="C16" s="507"/>
      <c r="D16" s="507"/>
      <c r="E16" s="507"/>
      <c r="F16" s="50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06" t="str">
        <f>+VLOOKUP($A17,Master!$D$29:$G$225,4,FALSE)</f>
        <v>Porez na međunarodnu trgovinu i transakcije</v>
      </c>
      <c r="C17" s="507"/>
      <c r="D17" s="507"/>
      <c r="E17" s="507"/>
      <c r="F17" s="50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06" t="str">
        <f>+VLOOKUP($A18,Master!$D$29:$G$225,4,FALSE)</f>
        <v>Ostali državni porezi</v>
      </c>
      <c r="C18" s="507"/>
      <c r="D18" s="507"/>
      <c r="E18" s="507"/>
      <c r="F18" s="50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10" t="str">
        <f>+VLOOKUP($A19,Master!$D$29:$G$225,4,FALSE)</f>
        <v>Doprinosi</v>
      </c>
      <c r="C19" s="511"/>
      <c r="D19" s="511"/>
      <c r="E19" s="511"/>
      <c r="F19" s="511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06" t="str">
        <f>+VLOOKUP($A20,Master!$D$29:$G$225,4,FALSE)</f>
        <v>Doprinosi za penzijsko i invalidsko osiguranje</v>
      </c>
      <c r="C20" s="507"/>
      <c r="D20" s="507"/>
      <c r="E20" s="507"/>
      <c r="F20" s="50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06" t="str">
        <f>+VLOOKUP($A21,Master!$D$29:$G$225,4,FALSE)</f>
        <v>Doprinosi za zdravstveno osiguranje</v>
      </c>
      <c r="C21" s="507"/>
      <c r="D21" s="507"/>
      <c r="E21" s="507"/>
      <c r="F21" s="50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06" t="str">
        <f>+VLOOKUP($A22,Master!$D$29:$G$225,4,FALSE)</f>
        <v>Doprinosi za osiguranje od nezaposlenosti</v>
      </c>
      <c r="C22" s="507"/>
      <c r="D22" s="507"/>
      <c r="E22" s="507"/>
      <c r="F22" s="50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06" t="str">
        <f>+VLOOKUP($A23,Master!$D$29:$G$225,4,FALSE)</f>
        <v>Ostali doprinosi</v>
      </c>
      <c r="C23" s="507"/>
      <c r="D23" s="507"/>
      <c r="E23" s="507"/>
      <c r="F23" s="50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08" t="str">
        <f>+VLOOKUP($A24,Master!$D$29:$G$225,4,FALSE)</f>
        <v>Takse</v>
      </c>
      <c r="C24" s="509"/>
      <c r="D24" s="509"/>
      <c r="E24" s="509"/>
      <c r="F24" s="50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08" t="str">
        <f>+VLOOKUP($A25,Master!$D$29:$G$225,4,FALSE)</f>
        <v>Naknade</v>
      </c>
      <c r="C25" s="509"/>
      <c r="D25" s="509"/>
      <c r="E25" s="509"/>
      <c r="F25" s="50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08" t="str">
        <f>+VLOOKUP($A26,Master!$D$29:$G$225,4,FALSE)</f>
        <v>Ostali prihodi</v>
      </c>
      <c r="C26" s="509"/>
      <c r="D26" s="509"/>
      <c r="E26" s="509"/>
      <c r="F26" s="50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08" t="str">
        <f>+VLOOKUP($A27,Master!$D$29:$G$225,4,FALSE)</f>
        <v>Primici od otplate kredita i sredstva prenesena iz prethodne godine</v>
      </c>
      <c r="C27" s="509"/>
      <c r="D27" s="509"/>
      <c r="E27" s="509"/>
      <c r="F27" s="50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12" t="str">
        <f>+VLOOKUP($A28,Master!$D$29:$G$225,4,FALSE)</f>
        <v>Donacije i transferi</v>
      </c>
      <c r="C28" s="513"/>
      <c r="D28" s="513"/>
      <c r="E28" s="513"/>
      <c r="F28" s="513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14" t="str">
        <f>+VLOOKUP($A29,Master!$D$29:$G$225,4,FALSE)</f>
        <v>Izdaci budžeta</v>
      </c>
      <c r="C29" s="515"/>
      <c r="D29" s="515"/>
      <c r="E29" s="515"/>
      <c r="F29" s="515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18" t="str">
        <f>+VLOOKUP($A30,Master!$D$29:$G$225,4,FALSE)</f>
        <v>Tekući izdaci</v>
      </c>
      <c r="C30" s="519"/>
      <c r="D30" s="519"/>
      <c r="E30" s="519"/>
      <c r="F30" s="519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06" t="str">
        <f>+VLOOKUP($A31,Master!$D$29:$G$225,4,FALSE)</f>
        <v>Bruto zarade i doprinosi na teret poslodavca</v>
      </c>
      <c r="C31" s="507"/>
      <c r="D31" s="507"/>
      <c r="E31" s="507"/>
      <c r="F31" s="50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06" t="str">
        <f>+VLOOKUP($A32,Master!$D$29:$G$225,4,FALSE)</f>
        <v>Ostala lična primanja</v>
      </c>
      <c r="C32" s="507"/>
      <c r="D32" s="507"/>
      <c r="E32" s="507"/>
      <c r="F32" s="50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06" t="str">
        <f>+VLOOKUP($A33,Master!$D$29:$G$225,4,FALSE)</f>
        <v>Rashodi za materijal</v>
      </c>
      <c r="C33" s="507"/>
      <c r="D33" s="507"/>
      <c r="E33" s="507"/>
      <c r="F33" s="50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55" t="str">
        <f>+VLOOKUP($A34,Master!$D$29:$G$225,4,FALSE)</f>
        <v>Rashodi za usluge</v>
      </c>
      <c r="C34" s="556"/>
      <c r="D34" s="556"/>
      <c r="E34" s="556"/>
      <c r="F34" s="55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06" t="str">
        <f>+VLOOKUP($A35,Master!$D$29:$G$225,4,FALSE)</f>
        <v>Rashodi za tekuće održavanje</v>
      </c>
      <c r="C35" s="507"/>
      <c r="D35" s="507"/>
      <c r="E35" s="507"/>
      <c r="F35" s="50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06" t="str">
        <f>+VLOOKUP($A36,Master!$D$29:$G$225,4,FALSE)</f>
        <v>Kamate</v>
      </c>
      <c r="C36" s="507"/>
      <c r="D36" s="507"/>
      <c r="E36" s="507"/>
      <c r="F36" s="50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06" t="str">
        <f>+VLOOKUP($A37,Master!$D$29:$G$225,4,FALSE)</f>
        <v>Renta</v>
      </c>
      <c r="C37" s="507"/>
      <c r="D37" s="507"/>
      <c r="E37" s="507"/>
      <c r="F37" s="50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06" t="str">
        <f>+VLOOKUP($A38,Master!$D$29:$G$225,4,FALSE)</f>
        <v>Subvencije</v>
      </c>
      <c r="C38" s="507"/>
      <c r="D38" s="507"/>
      <c r="E38" s="507"/>
      <c r="F38" s="50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55" t="str">
        <f>+VLOOKUP($A39,Master!$D$29:$G$225,4,FALSE)</f>
        <v>Ostali izdaci</v>
      </c>
      <c r="C39" s="556"/>
      <c r="D39" s="556"/>
      <c r="E39" s="556"/>
      <c r="F39" s="55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22" t="str">
        <f>+VLOOKUP($A40,Master!$D$29:$G$225,4,FALSE)</f>
        <v>Transferi za socijalnu zaštitu</v>
      </c>
      <c r="C40" s="523"/>
      <c r="D40" s="523"/>
      <c r="E40" s="523"/>
      <c r="F40" s="52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06" t="str">
        <f>+VLOOKUP($A41,Master!$D$29:$G$225,4,FALSE)</f>
        <v>Prava iz oblasti socijalne zaštite</v>
      </c>
      <c r="C41" s="507"/>
      <c r="D41" s="507"/>
      <c r="E41" s="507"/>
      <c r="F41" s="50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06" t="str">
        <f>+VLOOKUP($A42,Master!$D$29:$G$225,4,FALSE)</f>
        <v>Sredstva za tehnološke viškove</v>
      </c>
      <c r="C42" s="507"/>
      <c r="D42" s="507"/>
      <c r="E42" s="507"/>
      <c r="F42" s="50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06" t="str">
        <f>+VLOOKUP($A43,Master!$D$29:$G$225,4,FALSE)</f>
        <v>Prava iz oblasti penzijskog i invalidskog osiguranja</v>
      </c>
      <c r="C43" s="507"/>
      <c r="D43" s="507"/>
      <c r="E43" s="507"/>
      <c r="F43" s="50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06" t="str">
        <f>+VLOOKUP($A44,Master!$D$29:$G$225,4,FALSE)</f>
        <v>Ostala prava iz oblasti zdravstvene zaštite</v>
      </c>
      <c r="C44" s="507"/>
      <c r="D44" s="507"/>
      <c r="E44" s="507"/>
      <c r="F44" s="50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57" t="str">
        <f>+VLOOKUP($A45,Master!$D$29:$G$225,4,FALSE)</f>
        <v>Ostala prava iz zdravstvenog osiguranja</v>
      </c>
      <c r="C45" s="558"/>
      <c r="D45" s="558"/>
      <c r="E45" s="558"/>
      <c r="F45" s="558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20" t="str">
        <f>+VLOOKUP($A46,Master!$D$29:$G$225,4,FALSE)</f>
        <v xml:space="preserve">Transferi institucijama, pojedincima, nevladinom i javnom sektoru </v>
      </c>
      <c r="C46" s="521"/>
      <c r="D46" s="521"/>
      <c r="E46" s="521"/>
      <c r="F46" s="521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20" t="str">
        <f>+VLOOKUP($A47,Master!$D$29:$G$225,4,FALSE)</f>
        <v>Kapitalni izdaci</v>
      </c>
      <c r="C47" s="521"/>
      <c r="D47" s="521"/>
      <c r="E47" s="521"/>
      <c r="F47" s="521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559" t="str">
        <f>+VLOOKUP($A48,Master!$D$29:$G$225,4,FALSE)</f>
        <v>Pozajmice i krediti</v>
      </c>
      <c r="C48" s="560"/>
      <c r="D48" s="560"/>
      <c r="E48" s="560"/>
      <c r="F48" s="560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64" t="str">
        <f>+VLOOKUP($A49,Master!$D$29:$G$225,4,FALSE)</f>
        <v>Rezerve</v>
      </c>
      <c r="C49" s="565"/>
      <c r="D49" s="565"/>
      <c r="E49" s="565"/>
      <c r="F49" s="56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26" t="str">
        <f>+VLOOKUP($A50,Master!$D$29:$G$225,4,FALSE)</f>
        <v>Otplata garancija</v>
      </c>
      <c r="C50" s="527"/>
      <c r="D50" s="527"/>
      <c r="E50" s="527"/>
      <c r="F50" s="527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66" t="str">
        <f>+VLOOKUP($A51,Master!$D$29:$G$225,4,TRUE)</f>
        <v>Otplata obaveza iz prethodnog perioda</v>
      </c>
      <c r="C51" s="567"/>
      <c r="D51" s="567"/>
      <c r="E51" s="567"/>
      <c r="F51" s="56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68" t="str">
        <f>+VLOOKUP($A52,Master!$D$29:$G$227,4,FALSE)</f>
        <v>Neto povećanje obaveza</v>
      </c>
      <c r="C52" s="569"/>
      <c r="D52" s="569"/>
      <c r="E52" s="569"/>
      <c r="F52" s="56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48" t="str">
        <f>+VLOOKUP($A56,Master!$D$29:$G$225,4,FALSE)</f>
        <v>Otplata hartija od vrijednosti i kredita rezidentima</v>
      </c>
      <c r="C56" s="549"/>
      <c r="D56" s="549"/>
      <c r="E56" s="549"/>
      <c r="F56" s="549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24" t="str">
        <f>+VLOOKUP($A57,Master!$D$29:$G$225,4,FALSE)</f>
        <v>Otplata hartija od vrijednosti i kredita nerezidentima</v>
      </c>
      <c r="C57" s="525"/>
      <c r="D57" s="525"/>
      <c r="E57" s="525"/>
      <c r="F57" s="52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16" t="str">
        <f>+VLOOKUP($A58,Master!$D$29:$G$225,4,FALSE)</f>
        <v>Izdaci za kupovinu hartija od vrijednosti</v>
      </c>
      <c r="C58" s="517"/>
      <c r="D58" s="517"/>
      <c r="E58" s="517"/>
      <c r="F58" s="517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50" t="str">
        <f>+VLOOKUP($A59,Master!$D$29:$G$225,4,FALSE)</f>
        <v>Nedostajuća sredstva</v>
      </c>
      <c r="C59" s="551"/>
      <c r="D59" s="551"/>
      <c r="E59" s="551"/>
      <c r="F59" s="551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14" t="str">
        <f>+VLOOKUP($A60,Master!$D$29:$G$225,4,FALSE)</f>
        <v>Finansiranje</v>
      </c>
      <c r="C60" s="515"/>
      <c r="D60" s="515"/>
      <c r="E60" s="515"/>
      <c r="F60" s="515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48" t="str">
        <f>+VLOOKUP($A61,Master!$D$29:$G$225,4,FALSE)</f>
        <v>Pozajmice i krediti od domaćih izvora</v>
      </c>
      <c r="C61" s="549"/>
      <c r="D61" s="549"/>
      <c r="E61" s="549"/>
      <c r="F61" s="549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24" t="str">
        <f>+VLOOKUP($A62,Master!$D$29:$G$225,4,FALSE)</f>
        <v>Pozajmice i krediti od inostranih izvora</v>
      </c>
      <c r="C62" s="525"/>
      <c r="D62" s="525"/>
      <c r="E62" s="525"/>
      <c r="F62" s="52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24" t="str">
        <f>+VLOOKUP($A63,Master!$D$29:$G$225,4,FALSE)</f>
        <v>Primici od prodaje imovine</v>
      </c>
      <c r="C63" s="525"/>
      <c r="D63" s="525"/>
      <c r="E63" s="525"/>
      <c r="F63" s="52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6" t="str">
        <f>+Master!G252</f>
        <v>Plan ostvarenja budžeta</v>
      </c>
      <c r="C100" s="577"/>
      <c r="D100" s="577"/>
      <c r="E100" s="577"/>
      <c r="F100" s="577"/>
      <c r="G100" s="561">
        <v>2020</v>
      </c>
      <c r="H100" s="562"/>
      <c r="I100" s="562"/>
      <c r="J100" s="562"/>
      <c r="K100" s="562"/>
      <c r="L100" s="562"/>
      <c r="M100" s="562"/>
      <c r="N100" s="562"/>
      <c r="O100" s="562"/>
      <c r="P100" s="562"/>
      <c r="Q100" s="562"/>
      <c r="R100" s="563"/>
      <c r="S100" s="107" t="str">
        <f>+S7</f>
        <v>BDP</v>
      </c>
      <c r="T100" s="108">
        <v>4607300000</v>
      </c>
    </row>
    <row r="101" spans="1:21" ht="15.75" customHeight="1">
      <c r="B101" s="578"/>
      <c r="C101" s="579"/>
      <c r="D101" s="579"/>
      <c r="E101" s="579"/>
      <c r="F101" s="580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1" t="str">
        <f>+Master!G246</f>
        <v>Jan - Dec</v>
      </c>
      <c r="T101" s="563">
        <f>+T8</f>
        <v>0</v>
      </c>
    </row>
    <row r="102" spans="1:21" ht="13.5" thickBot="1">
      <c r="B102" s="581"/>
      <c r="C102" s="582"/>
      <c r="D102" s="582"/>
      <c r="E102" s="582"/>
      <c r="F102" s="58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70" t="str">
        <f>+VLOOKUP(LEFT($A103,LEN(A103)-1)*1,Master!$D$29:$G$225,4,FALSE)</f>
        <v>Prihodi budžeta</v>
      </c>
      <c r="C103" s="571"/>
      <c r="D103" s="571"/>
      <c r="E103" s="571"/>
      <c r="F103" s="57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72" t="str">
        <f>+VLOOKUP(LEFT($A104,LEN(A104)-1)*1,Master!$D$29:$G$225,4,FALSE)</f>
        <v>Porezi</v>
      </c>
      <c r="C104" s="573"/>
      <c r="D104" s="573"/>
      <c r="E104" s="573"/>
      <c r="F104" s="57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4" t="str">
        <f>+VLOOKUP(LEFT($A105,LEN(A105)-1)*1,Master!$D$29:$G$228,4,FALSE)</f>
        <v>Porez na dohodak fizičkih lica</v>
      </c>
      <c r="C105" s="575"/>
      <c r="D105" s="575"/>
      <c r="E105" s="575"/>
      <c r="F105" s="575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4" t="str">
        <f>+VLOOKUP(LEFT($A106,LEN(A106)-1)*1,Master!$D$29:$G$228,4,FALSE)</f>
        <v>Porez na dobit pravnih lica</v>
      </c>
      <c r="C106" s="575"/>
      <c r="D106" s="575"/>
      <c r="E106" s="575"/>
      <c r="F106" s="575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4" t="str">
        <f>+VLOOKUP(LEFT($A107,LEN(A107)-1)*1,Master!$D$29:$G$228,4,FALSE)</f>
        <v>Porez na promet nepokretnosti</v>
      </c>
      <c r="C107" s="575"/>
      <c r="D107" s="575"/>
      <c r="E107" s="575"/>
      <c r="F107" s="575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4" t="str">
        <f>+VLOOKUP(LEFT($A108,LEN(A108)-1)*1,Master!$D$29:$G$228,4,FALSE)</f>
        <v>Porez na dodatu vrijednost</v>
      </c>
      <c r="C108" s="575"/>
      <c r="D108" s="575"/>
      <c r="E108" s="575"/>
      <c r="F108" s="575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4" t="str">
        <f>+VLOOKUP(LEFT($A109,LEN(A109)-1)*1,Master!$D$29:$G$228,4,FALSE)</f>
        <v>Akcize</v>
      </c>
      <c r="C109" s="575"/>
      <c r="D109" s="575"/>
      <c r="E109" s="575"/>
      <c r="F109" s="575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4" t="str">
        <f>+VLOOKUP(LEFT($A110,LEN(A110)-1)*1,Master!$D$29:$G$228,4,FALSE)</f>
        <v>Porez na međunarodnu trgovinu i transakcije</v>
      </c>
      <c r="C110" s="575"/>
      <c r="D110" s="575"/>
      <c r="E110" s="575"/>
      <c r="F110" s="575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4" t="str">
        <f>+VLOOKUP(LEFT($A111,LEN(A111)-1)*1,Master!$D$29:$G$228,4,FALSE)</f>
        <v>Ostali državni porezi</v>
      </c>
      <c r="C111" s="575"/>
      <c r="D111" s="575"/>
      <c r="E111" s="575"/>
      <c r="F111" s="575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86" t="str">
        <f>+VLOOKUP(LEFT($A112,LEN(A112)-1)*1,Master!$D$29:$G$228,4,FALSE)</f>
        <v>Doprinosi</v>
      </c>
      <c r="C112" s="587"/>
      <c r="D112" s="587"/>
      <c r="E112" s="587"/>
      <c r="F112" s="587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4" t="str">
        <f>+VLOOKUP(LEFT($A113,LEN(A113)-1)*1,Master!$D$29:$G$228,4,FALSE)</f>
        <v>Doprinosi za penzijsko i invalidsko osiguranje</v>
      </c>
      <c r="C113" s="575"/>
      <c r="D113" s="575"/>
      <c r="E113" s="575"/>
      <c r="F113" s="575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4" t="str">
        <f>+VLOOKUP(LEFT($A114,LEN(A114)-1)*1,Master!$D$29:$G$228,4,FALSE)</f>
        <v>Doprinosi za zdravstveno osiguranje</v>
      </c>
      <c r="C114" s="575"/>
      <c r="D114" s="575"/>
      <c r="E114" s="575"/>
      <c r="F114" s="575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4" t="str">
        <f>+VLOOKUP(LEFT($A115,LEN(A115)-1)*1,Master!$D$29:$G$228,4,FALSE)</f>
        <v>Doprinosi za osiguranje od nezaposlenosti</v>
      </c>
      <c r="C115" s="575"/>
      <c r="D115" s="575"/>
      <c r="E115" s="575"/>
      <c r="F115" s="575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4" t="str">
        <f>+VLOOKUP(LEFT($A116,LEN(A116)-1)*1,Master!$D$29:$G$228,4,FALSE)</f>
        <v>Ostali doprinosi</v>
      </c>
      <c r="C116" s="575"/>
      <c r="D116" s="575"/>
      <c r="E116" s="575"/>
      <c r="F116" s="575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84" t="str">
        <f>+VLOOKUP(LEFT($A117,LEN(A117)-1)*1,Master!$D$29:$G$228,4,FALSE)</f>
        <v>Takse</v>
      </c>
      <c r="C117" s="585"/>
      <c r="D117" s="585"/>
      <c r="E117" s="585"/>
      <c r="F117" s="585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84" t="str">
        <f>+VLOOKUP(LEFT($A118,LEN(A118)-1)*1,Master!$D$29:$G$228,4,FALSE)</f>
        <v>Naknade</v>
      </c>
      <c r="C118" s="585"/>
      <c r="D118" s="585"/>
      <c r="E118" s="585"/>
      <c r="F118" s="585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84" t="str">
        <f>+VLOOKUP(LEFT($A119,LEN(A119)-1)*1,Master!$D$29:$G$228,4,FALSE)</f>
        <v>Ostali prihodi</v>
      </c>
      <c r="C119" s="585"/>
      <c r="D119" s="585"/>
      <c r="E119" s="585"/>
      <c r="F119" s="585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84" t="str">
        <f>+VLOOKUP(LEFT($A120,LEN(A120)-1)*1,Master!$D$29:$G$228,4,FALSE)</f>
        <v>Primici od otplate kredita i sredstva prenesena iz prethodne godine</v>
      </c>
      <c r="C120" s="585"/>
      <c r="D120" s="585"/>
      <c r="E120" s="585"/>
      <c r="F120" s="585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88" t="str">
        <f>+VLOOKUP(LEFT($A121,LEN(A121)-1)*1,Master!$D$29:$G$228,4,FALSE)</f>
        <v>Donacije i transferi</v>
      </c>
      <c r="C121" s="589"/>
      <c r="D121" s="589"/>
      <c r="E121" s="589"/>
      <c r="F121" s="589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90" t="str">
        <f>+VLOOKUP(LEFT($A122,LEN(A122)-1)*1,Master!$D$29:$G$228,4,FALSE)</f>
        <v>Izdaci budžeta</v>
      </c>
      <c r="C122" s="591"/>
      <c r="D122" s="591"/>
      <c r="E122" s="591"/>
      <c r="F122" s="59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92" t="str">
        <f>+VLOOKUP(LEFT($A123,LEN(A123)-1)*1,Master!$D$29:$G$228,4,FALSE)</f>
        <v>Tekući izdaci</v>
      </c>
      <c r="C123" s="593"/>
      <c r="D123" s="593"/>
      <c r="E123" s="593"/>
      <c r="F123" s="59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4" t="str">
        <f>+VLOOKUP(LEFT($A124,LEN(A124)-1)*1,Master!$D$29:$G$228,4,FALSE)</f>
        <v>Bruto zarade i doprinosi na teret poslodavca</v>
      </c>
      <c r="C124" s="575"/>
      <c r="D124" s="575"/>
      <c r="E124" s="575"/>
      <c r="F124" s="575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4" t="str">
        <f>+VLOOKUP(LEFT($A125,LEN(A125)-1)*1,Master!$D$29:$G$228,4,FALSE)</f>
        <v>Ostala lična primanja</v>
      </c>
      <c r="C125" s="575"/>
      <c r="D125" s="575"/>
      <c r="E125" s="575"/>
      <c r="F125" s="575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4" t="str">
        <f>+VLOOKUP(LEFT($A126,LEN(A126)-1)*1,Master!$D$29:$G$228,4,FALSE)</f>
        <v>Rashodi za materijal</v>
      </c>
      <c r="C126" s="575"/>
      <c r="D126" s="575"/>
      <c r="E126" s="575"/>
      <c r="F126" s="575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4" t="str">
        <f>+VLOOKUP(LEFT($A127,LEN(A127)-1)*1,Master!$D$29:$G$228,4,FALSE)</f>
        <v>Rashodi za usluge</v>
      </c>
      <c r="C127" s="575"/>
      <c r="D127" s="575"/>
      <c r="E127" s="575"/>
      <c r="F127" s="575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4" t="str">
        <f>+VLOOKUP(LEFT($A128,LEN(A128)-1)*1,Master!$D$29:$G$228,4,FALSE)</f>
        <v>Rashodi za tekuće održavanje</v>
      </c>
      <c r="C128" s="575"/>
      <c r="D128" s="575"/>
      <c r="E128" s="575"/>
      <c r="F128" s="575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4" t="str">
        <f>+VLOOKUP(LEFT($A129,LEN(A129)-1)*1,Master!$D$29:$G$228,4,FALSE)</f>
        <v>Kamate</v>
      </c>
      <c r="C129" s="575"/>
      <c r="D129" s="575"/>
      <c r="E129" s="575"/>
      <c r="F129" s="575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4" t="str">
        <f>+VLOOKUP(LEFT($A130,LEN(A130)-1)*1,Master!$D$29:$G$228,4,FALSE)</f>
        <v>Renta</v>
      </c>
      <c r="C130" s="575"/>
      <c r="D130" s="575"/>
      <c r="E130" s="575"/>
      <c r="F130" s="575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4" t="str">
        <f>+VLOOKUP(LEFT($A131,LEN(A131)-1)*1,Master!$D$29:$G$228,4,FALSE)</f>
        <v>Subvencije</v>
      </c>
      <c r="C131" s="575"/>
      <c r="D131" s="575"/>
      <c r="E131" s="575"/>
      <c r="F131" s="575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4" t="str">
        <f>+VLOOKUP(LEFT($A132,LEN(A132)-1)*1,Master!$D$29:$G$228,4,FALSE)</f>
        <v>Ostali izdaci</v>
      </c>
      <c r="C132" s="575"/>
      <c r="D132" s="575"/>
      <c r="E132" s="575"/>
      <c r="F132" s="575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98" t="str">
        <f>+VLOOKUP(LEFT($A133,LEN(A133)-1)*1,Master!$D$29:$G$228,4,FALSE)</f>
        <v>Transferi za socijalnu zaštitu</v>
      </c>
      <c r="C133" s="599"/>
      <c r="D133" s="599"/>
      <c r="E133" s="599"/>
      <c r="F133" s="599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4" t="str">
        <f>+VLOOKUP(LEFT($A134,LEN(A134)-1)*1,Master!$D$29:$G$228,4,FALSE)</f>
        <v>Prava iz oblasti socijalne zaštite</v>
      </c>
      <c r="C134" s="575"/>
      <c r="D134" s="575"/>
      <c r="E134" s="575"/>
      <c r="F134" s="575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4" t="str">
        <f>+VLOOKUP(LEFT($A135,LEN(A135)-1)*1,Master!$D$29:$G$228,4,FALSE)</f>
        <v>Sredstva za tehnološke viškove</v>
      </c>
      <c r="C135" s="575"/>
      <c r="D135" s="575"/>
      <c r="E135" s="575"/>
      <c r="F135" s="575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4" t="str">
        <f>+VLOOKUP(LEFT($A136,LEN(A136)-1)*1,Master!$D$29:$G$228,4,FALSE)</f>
        <v>Prava iz oblasti penzijskog i invalidskog osiguranja</v>
      </c>
      <c r="C136" s="575"/>
      <c r="D136" s="575"/>
      <c r="E136" s="575"/>
      <c r="F136" s="575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4" t="str">
        <f>+VLOOKUP(LEFT($A137,LEN(A137)-1)*1,Master!$D$29:$G$228,4,FALSE)</f>
        <v>Ostala prava iz oblasti zdravstvene zaštite</v>
      </c>
      <c r="C137" s="575"/>
      <c r="D137" s="575"/>
      <c r="E137" s="575"/>
      <c r="F137" s="575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4" t="str">
        <f>+VLOOKUP(LEFT($A138,LEN(A138)-1)*1,Master!$D$29:$G$228,4,FALSE)</f>
        <v>Ostala prava iz zdravstvenog osiguranja</v>
      </c>
      <c r="C138" s="575"/>
      <c r="D138" s="575"/>
      <c r="E138" s="575"/>
      <c r="F138" s="575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94" t="str">
        <f>+VLOOKUP(LEFT($A139,LEN(A139)-1)*1,Master!$D$29:$G$228,4,FALSE)</f>
        <v xml:space="preserve">Transferi institucijama, pojedincima, nevladinom i javnom sektoru </v>
      </c>
      <c r="C139" s="595"/>
      <c r="D139" s="595"/>
      <c r="E139" s="595"/>
      <c r="F139" s="595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94" t="str">
        <f>+VLOOKUP(LEFT($A140,LEN(A140)-1)*1,Master!$D$29:$G$228,4,FALSE)</f>
        <v>Kapitalni izdaci</v>
      </c>
      <c r="C140" s="595"/>
      <c r="D140" s="595"/>
      <c r="E140" s="595"/>
      <c r="F140" s="595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96" t="str">
        <f>+VLOOKUP(LEFT($A141,LEN(A141)-1)*1,Master!$D$29:$G$228,4,FALSE)</f>
        <v>Pozajmice i krediti</v>
      </c>
      <c r="C141" s="597"/>
      <c r="D141" s="597"/>
      <c r="E141" s="597"/>
      <c r="F141" s="597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96" t="str">
        <f>+VLOOKUP(LEFT($A142,LEN(A142)-1)*1,Master!$D$29:$G$228,4,FALSE)</f>
        <v>Rezerve</v>
      </c>
      <c r="C142" s="597"/>
      <c r="D142" s="597"/>
      <c r="E142" s="597"/>
      <c r="F142" s="597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96" t="str">
        <f>+VLOOKUP(LEFT($A143,LEN(A143)-1)*1,Master!$D$29:$G$228,4,FALSE)</f>
        <v>Otplata garancija</v>
      </c>
      <c r="C143" s="597"/>
      <c r="D143" s="597"/>
      <c r="E143" s="597"/>
      <c r="F143" s="597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96" t="str">
        <f>+VLOOKUP(LEFT($A144,LEN(A144)-1)*1,Master!$D$29:$G$228,4,FALSE)</f>
        <v>Otplata obaveza iz prethodnog perioda</v>
      </c>
      <c r="C144" s="597"/>
      <c r="D144" s="597"/>
      <c r="E144" s="597"/>
      <c r="F144" s="597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6" t="str">
        <f>+VLOOKUP(LEFT($A145,LEN(A145)-1)*1,Master!$D$29:$G$228,4,FALSE)</f>
        <v>Neto povećanje obaveza</v>
      </c>
      <c r="C145" s="597"/>
      <c r="D145" s="597"/>
      <c r="E145" s="597"/>
      <c r="F145" s="597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604" t="str">
        <f>+VLOOKUP(LEFT($A146,LEN(A146)-1)*1,Master!$D$29:$G$225,4,FALSE)</f>
        <v>Suficit / deficit</v>
      </c>
      <c r="C146" s="605"/>
      <c r="D146" s="605"/>
      <c r="E146" s="605"/>
      <c r="F146" s="605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6" t="str">
        <f>+VLOOKUP(LEFT($A147,LEN(A147)-1)*1,Master!$D$29:$G$225,4,FALSE)</f>
        <v>Primarni suficit/deficit</v>
      </c>
      <c r="C147" s="607"/>
      <c r="D147" s="607"/>
      <c r="E147" s="607"/>
      <c r="F147" s="607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98" t="str">
        <f>+VLOOKUP(LEFT($A148,LEN(A148)-1)*1,Master!$D$29:$G$225,4,FALSE)</f>
        <v>Otplata dugova</v>
      </c>
      <c r="C148" s="599"/>
      <c r="D148" s="599"/>
      <c r="E148" s="599"/>
      <c r="F148" s="599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602" t="str">
        <f>+VLOOKUP(LEFT($A149,LEN(A149)-1)*1,Master!$D$29:$G$225,4,FALSE)</f>
        <v>Otplata hartija od vrijednosti i kredita rezidentima</v>
      </c>
      <c r="C149" s="603"/>
      <c r="D149" s="603"/>
      <c r="E149" s="603"/>
      <c r="F149" s="603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96" t="str">
        <f>+VLOOKUP(LEFT($A150,LEN(A150)-1)*1,Master!$D$29:$G$225,4,FALSE)</f>
        <v>Otplata hartija od vrijednosti i kredita nerezidentima</v>
      </c>
      <c r="C150" s="597"/>
      <c r="D150" s="597"/>
      <c r="E150" s="597"/>
      <c r="F150" s="597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90" t="str">
        <f>+VLOOKUP(LEFT($A151,LEN(A151)-1)*1,Master!$D$29:$G$225,4,FALSE)</f>
        <v>Izdaci za kupovinu hartija od vrijednosti</v>
      </c>
      <c r="C151" s="591"/>
      <c r="D151" s="591"/>
      <c r="E151" s="591"/>
      <c r="F151" s="59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00" t="str">
        <f>+VLOOKUP(LEFT($A152,LEN(A152)-1)*1,Master!$D$29:$G$225,4,FALSE)</f>
        <v>Nedostajuća sredstva</v>
      </c>
      <c r="C152" s="601"/>
      <c r="D152" s="601"/>
      <c r="E152" s="601"/>
      <c r="F152" s="601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90" t="str">
        <f>+VLOOKUP(LEFT($A153,LEN(A153)-1)*1,Master!$D$29:$G$225,4,FALSE)</f>
        <v>Finansiranje</v>
      </c>
      <c r="C153" s="591"/>
      <c r="D153" s="591"/>
      <c r="E153" s="591"/>
      <c r="F153" s="591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602" t="str">
        <f>+VLOOKUP(LEFT($A154,LEN(A154)-1)*1,Master!$D$29:$G$225,4,FALSE)</f>
        <v>Pozajmice i krediti od domaćih izvora</v>
      </c>
      <c r="C154" s="603"/>
      <c r="D154" s="603"/>
      <c r="E154" s="603"/>
      <c r="F154" s="603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96" t="str">
        <f>+VLOOKUP(LEFT($A155,LEN(A155)-1)*1,Master!$D$29:$G$225,4,FALSE)</f>
        <v>Pozajmice i krediti od inostranih izvora</v>
      </c>
      <c r="C155" s="597"/>
      <c r="D155" s="597"/>
      <c r="E155" s="597"/>
      <c r="F155" s="597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96" t="str">
        <f>+VLOOKUP(LEFT($A156,LEN(A156)-1)*1,Master!$D$29:$G$225,4,FALSE)</f>
        <v>Primici od prodaje imovine</v>
      </c>
      <c r="C156" s="597"/>
      <c r="D156" s="597"/>
      <c r="E156" s="597"/>
      <c r="F156" s="597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I1" zoomScaleNormal="100" workbookViewId="0">
      <pane ySplit="1" topLeftCell="A2" activePane="bottomLeft" state="frozen"/>
      <selection pane="bottomLeft" activeCell="N15" sqref="N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4" t="s">
        <v>554</v>
      </c>
      <c r="C7" s="535"/>
      <c r="D7" s="535"/>
      <c r="E7" s="535"/>
      <c r="F7" s="535"/>
      <c r="G7" s="543">
        <v>2019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">
        <v>419</v>
      </c>
      <c r="T7" s="236">
        <v>4951000000</v>
      </c>
    </row>
    <row r="8" spans="1:20" ht="16.5" customHeight="1">
      <c r="A8" s="144"/>
      <c r="B8" s="536"/>
      <c r="C8" s="537"/>
      <c r="D8" s="537"/>
      <c r="E8" s="537"/>
      <c r="F8" s="53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3" t="s">
        <v>809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4" t="s">
        <v>681</v>
      </c>
      <c r="C10" s="515"/>
      <c r="D10" s="515"/>
      <c r="E10" s="515"/>
      <c r="F10" s="515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04" t="s">
        <v>21</v>
      </c>
      <c r="C11" s="505"/>
      <c r="D11" s="505"/>
      <c r="E11" s="505"/>
      <c r="F11" s="505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06" t="s">
        <v>23</v>
      </c>
      <c r="C12" s="507"/>
      <c r="D12" s="507"/>
      <c r="E12" s="507"/>
      <c r="F12" s="50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06" t="s">
        <v>25</v>
      </c>
      <c r="C13" s="507"/>
      <c r="D13" s="507"/>
      <c r="E13" s="507"/>
      <c r="F13" s="50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06" t="s">
        <v>27</v>
      </c>
      <c r="C14" s="507"/>
      <c r="D14" s="507"/>
      <c r="E14" s="507"/>
      <c r="F14" s="50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06" t="s">
        <v>29</v>
      </c>
      <c r="C15" s="507"/>
      <c r="D15" s="507"/>
      <c r="E15" s="507"/>
      <c r="F15" s="50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06" t="s">
        <v>31</v>
      </c>
      <c r="C16" s="507"/>
      <c r="D16" s="507"/>
      <c r="E16" s="507"/>
      <c r="F16" s="50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06" t="s">
        <v>33</v>
      </c>
      <c r="C17" s="507"/>
      <c r="D17" s="507"/>
      <c r="E17" s="507"/>
      <c r="F17" s="50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06" t="s">
        <v>722</v>
      </c>
      <c r="C18" s="507"/>
      <c r="D18" s="507"/>
      <c r="E18" s="507"/>
      <c r="F18" s="50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10" t="s">
        <v>37</v>
      </c>
      <c r="C19" s="511"/>
      <c r="D19" s="511"/>
      <c r="E19" s="511"/>
      <c r="F19" s="511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06" t="s">
        <v>39</v>
      </c>
      <c r="C20" s="507"/>
      <c r="D20" s="507"/>
      <c r="E20" s="507"/>
      <c r="F20" s="50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06" t="s">
        <v>41</v>
      </c>
      <c r="C21" s="507"/>
      <c r="D21" s="507"/>
      <c r="E21" s="507"/>
      <c r="F21" s="50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06" t="s">
        <v>43</v>
      </c>
      <c r="C22" s="507"/>
      <c r="D22" s="507"/>
      <c r="E22" s="507"/>
      <c r="F22" s="50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06" t="s">
        <v>45</v>
      </c>
      <c r="C23" s="507"/>
      <c r="D23" s="507"/>
      <c r="E23" s="507"/>
      <c r="F23" s="50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08" t="s">
        <v>47</v>
      </c>
      <c r="C24" s="509"/>
      <c r="D24" s="509"/>
      <c r="E24" s="509"/>
      <c r="F24" s="50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08" t="s">
        <v>61</v>
      </c>
      <c r="C25" s="509"/>
      <c r="D25" s="509"/>
      <c r="E25" s="509"/>
      <c r="F25" s="50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08" t="s">
        <v>81</v>
      </c>
      <c r="C26" s="509"/>
      <c r="D26" s="509"/>
      <c r="E26" s="509"/>
      <c r="F26" s="50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08" t="s">
        <v>99</v>
      </c>
      <c r="C27" s="509"/>
      <c r="D27" s="509"/>
      <c r="E27" s="509"/>
      <c r="F27" s="50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12" t="s">
        <v>105</v>
      </c>
      <c r="C28" s="513"/>
      <c r="D28" s="513"/>
      <c r="E28" s="513"/>
      <c r="F28" s="513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14" t="s">
        <v>802</v>
      </c>
      <c r="C29" s="515"/>
      <c r="D29" s="515"/>
      <c r="E29" s="515"/>
      <c r="F29" s="515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16" t="s">
        <v>120</v>
      </c>
      <c r="C30" s="517"/>
      <c r="D30" s="517"/>
      <c r="E30" s="517"/>
      <c r="F30" s="517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06" t="s">
        <v>122</v>
      </c>
      <c r="C31" s="507"/>
      <c r="D31" s="507"/>
      <c r="E31" s="507"/>
      <c r="F31" s="50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06" t="s">
        <v>133</v>
      </c>
      <c r="C32" s="507"/>
      <c r="D32" s="507"/>
      <c r="E32" s="507"/>
      <c r="F32" s="50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06" t="s">
        <v>148</v>
      </c>
      <c r="C33" s="507"/>
      <c r="D33" s="507"/>
      <c r="E33" s="507"/>
      <c r="F33" s="50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06" t="s">
        <v>162</v>
      </c>
      <c r="C34" s="507"/>
      <c r="D34" s="507"/>
      <c r="E34" s="507"/>
      <c r="F34" s="50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55" t="s">
        <v>182</v>
      </c>
      <c r="C35" s="556"/>
      <c r="D35" s="556"/>
      <c r="E35" s="556"/>
      <c r="F35" s="55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06" t="s">
        <v>190</v>
      </c>
      <c r="C36" s="507"/>
      <c r="D36" s="507"/>
      <c r="E36" s="507"/>
      <c r="F36" s="50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06" t="s">
        <v>196</v>
      </c>
      <c r="C37" s="507"/>
      <c r="D37" s="507"/>
      <c r="E37" s="507"/>
      <c r="F37" s="50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06" t="s">
        <v>204</v>
      </c>
      <c r="C38" s="507"/>
      <c r="D38" s="507"/>
      <c r="E38" s="507"/>
      <c r="F38" s="50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06" t="s">
        <v>212</v>
      </c>
      <c r="C39" s="507"/>
      <c r="D39" s="507"/>
      <c r="E39" s="507"/>
      <c r="F39" s="50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22" t="s">
        <v>230</v>
      </c>
      <c r="C40" s="523"/>
      <c r="D40" s="523"/>
      <c r="E40" s="523"/>
      <c r="F40" s="52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06" t="s">
        <v>232</v>
      </c>
      <c r="C41" s="507"/>
      <c r="D41" s="507"/>
      <c r="E41" s="507"/>
      <c r="F41" s="50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06" t="s">
        <v>248</v>
      </c>
      <c r="C42" s="507"/>
      <c r="D42" s="507"/>
      <c r="E42" s="507"/>
      <c r="F42" s="50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06" t="s">
        <v>259</v>
      </c>
      <c r="C43" s="507"/>
      <c r="D43" s="507"/>
      <c r="E43" s="507"/>
      <c r="F43" s="50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06" t="s">
        <v>274</v>
      </c>
      <c r="C44" s="507"/>
      <c r="D44" s="507"/>
      <c r="E44" s="507"/>
      <c r="F44" s="50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06" t="s">
        <v>278</v>
      </c>
      <c r="C45" s="507"/>
      <c r="D45" s="507"/>
      <c r="E45" s="507"/>
      <c r="F45" s="50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20" t="s">
        <v>286</v>
      </c>
      <c r="C46" s="521"/>
      <c r="D46" s="521"/>
      <c r="E46" s="521"/>
      <c r="F46" s="521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20" t="s">
        <v>320</v>
      </c>
      <c r="C47" s="521"/>
      <c r="D47" s="521"/>
      <c r="E47" s="521"/>
      <c r="F47" s="521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59" t="s">
        <v>113</v>
      </c>
      <c r="C48" s="560"/>
      <c r="D48" s="560"/>
      <c r="E48" s="560"/>
      <c r="F48" s="560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64" t="s">
        <v>366</v>
      </c>
      <c r="C49" s="565"/>
      <c r="D49" s="565"/>
      <c r="E49" s="565"/>
      <c r="F49" s="56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6" t="s">
        <v>359</v>
      </c>
      <c r="C50" s="527"/>
      <c r="D50" s="527"/>
      <c r="E50" s="527"/>
      <c r="F50" s="527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66" t="s">
        <v>795</v>
      </c>
      <c r="C51" s="567"/>
      <c r="D51" s="567"/>
      <c r="E51" s="567"/>
      <c r="F51" s="56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68" t="s">
        <v>685</v>
      </c>
      <c r="C52" s="569"/>
      <c r="D52" s="569"/>
      <c r="E52" s="569"/>
      <c r="F52" s="56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48" t="s">
        <v>355</v>
      </c>
      <c r="C56" s="549"/>
      <c r="D56" s="549"/>
      <c r="E56" s="549"/>
      <c r="F56" s="549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24" t="s">
        <v>357</v>
      </c>
      <c r="C57" s="525"/>
      <c r="D57" s="525"/>
      <c r="E57" s="525"/>
      <c r="F57" s="52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50" t="s">
        <v>543</v>
      </c>
      <c r="C59" s="551"/>
      <c r="D59" s="551"/>
      <c r="E59" s="551"/>
      <c r="F59" s="551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14" t="s">
        <v>544</v>
      </c>
      <c r="C60" s="515"/>
      <c r="D60" s="515"/>
      <c r="E60" s="515"/>
      <c r="F60" s="515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48" t="s">
        <v>114</v>
      </c>
      <c r="C61" s="549"/>
      <c r="D61" s="549"/>
      <c r="E61" s="549"/>
      <c r="F61" s="549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24" t="s">
        <v>116</v>
      </c>
      <c r="C62" s="525"/>
      <c r="D62" s="525"/>
      <c r="E62" s="525"/>
      <c r="F62" s="52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24" t="s">
        <v>93</v>
      </c>
      <c r="C63" s="525"/>
      <c r="D63" s="525"/>
      <c r="E63" s="525"/>
      <c r="F63" s="52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6" t="s">
        <v>552</v>
      </c>
      <c r="C100" s="577"/>
      <c r="D100" s="577"/>
      <c r="E100" s="577"/>
      <c r="F100" s="577"/>
      <c r="G100" s="561">
        <v>2019</v>
      </c>
      <c r="H100" s="562"/>
      <c r="I100" s="562"/>
      <c r="J100" s="562"/>
      <c r="K100" s="562"/>
      <c r="L100" s="562"/>
      <c r="M100" s="562"/>
      <c r="N100" s="562"/>
      <c r="O100" s="562"/>
      <c r="P100" s="562"/>
      <c r="Q100" s="562"/>
      <c r="R100" s="563"/>
      <c r="S100" s="107" t="str">
        <f>+S7</f>
        <v>BDP</v>
      </c>
      <c r="T100" s="108">
        <f>+T7</f>
        <v>4951000000</v>
      </c>
    </row>
    <row r="101" spans="1:21" ht="15.75" customHeight="1">
      <c r="B101" s="578"/>
      <c r="C101" s="579"/>
      <c r="D101" s="579"/>
      <c r="E101" s="579"/>
      <c r="F101" s="580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1" t="s">
        <v>809</v>
      </c>
      <c r="T101" s="563">
        <f>+T8</f>
        <v>0</v>
      </c>
    </row>
    <row r="102" spans="1:21" ht="13.5" thickBot="1">
      <c r="B102" s="581"/>
      <c r="C102" s="582"/>
      <c r="D102" s="582"/>
      <c r="E102" s="582"/>
      <c r="F102" s="58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70" t="s">
        <v>681</v>
      </c>
      <c r="C103" s="571"/>
      <c r="D103" s="571"/>
      <c r="E103" s="571"/>
      <c r="F103" s="57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72" t="s">
        <v>21</v>
      </c>
      <c r="C104" s="573"/>
      <c r="D104" s="573"/>
      <c r="E104" s="573"/>
      <c r="F104" s="57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4" t="s">
        <v>23</v>
      </c>
      <c r="C105" s="575"/>
      <c r="D105" s="575"/>
      <c r="E105" s="575"/>
      <c r="F105" s="575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4" t="s">
        <v>25</v>
      </c>
      <c r="C106" s="575"/>
      <c r="D106" s="575"/>
      <c r="E106" s="575"/>
      <c r="F106" s="575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4" t="s">
        <v>27</v>
      </c>
      <c r="C107" s="575"/>
      <c r="D107" s="575"/>
      <c r="E107" s="575"/>
      <c r="F107" s="575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4" t="s">
        <v>29</v>
      </c>
      <c r="C108" s="575"/>
      <c r="D108" s="575"/>
      <c r="E108" s="575"/>
      <c r="F108" s="575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4" t="s">
        <v>31</v>
      </c>
      <c r="C109" s="575"/>
      <c r="D109" s="575"/>
      <c r="E109" s="575"/>
      <c r="F109" s="575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4" t="s">
        <v>33</v>
      </c>
      <c r="C110" s="575"/>
      <c r="D110" s="575"/>
      <c r="E110" s="575"/>
      <c r="F110" s="575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4" t="s">
        <v>722</v>
      </c>
      <c r="C111" s="575"/>
      <c r="D111" s="575"/>
      <c r="E111" s="575"/>
      <c r="F111" s="575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86" t="s">
        <v>37</v>
      </c>
      <c r="C112" s="587"/>
      <c r="D112" s="587"/>
      <c r="E112" s="587"/>
      <c r="F112" s="587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4" t="s">
        <v>39</v>
      </c>
      <c r="C113" s="575"/>
      <c r="D113" s="575"/>
      <c r="E113" s="575"/>
      <c r="F113" s="575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4" t="s">
        <v>41</v>
      </c>
      <c r="C114" s="575"/>
      <c r="D114" s="575"/>
      <c r="E114" s="575"/>
      <c r="F114" s="575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4" t="s">
        <v>43</v>
      </c>
      <c r="C115" s="575"/>
      <c r="D115" s="575"/>
      <c r="E115" s="575"/>
      <c r="F115" s="575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4" t="s">
        <v>45</v>
      </c>
      <c r="C116" s="575"/>
      <c r="D116" s="575"/>
      <c r="E116" s="575"/>
      <c r="F116" s="575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84" t="s">
        <v>47</v>
      </c>
      <c r="C117" s="585"/>
      <c r="D117" s="585"/>
      <c r="E117" s="585"/>
      <c r="F117" s="585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84" t="s">
        <v>61</v>
      </c>
      <c r="C118" s="585"/>
      <c r="D118" s="585"/>
      <c r="E118" s="585"/>
      <c r="F118" s="585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84" t="s">
        <v>81</v>
      </c>
      <c r="C119" s="585"/>
      <c r="D119" s="585"/>
      <c r="E119" s="585"/>
      <c r="F119" s="585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84" t="s">
        <v>99</v>
      </c>
      <c r="C120" s="585"/>
      <c r="D120" s="585"/>
      <c r="E120" s="585"/>
      <c r="F120" s="585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88" t="s">
        <v>105</v>
      </c>
      <c r="C121" s="589"/>
      <c r="D121" s="589"/>
      <c r="E121" s="589"/>
      <c r="F121" s="589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90" t="s">
        <v>811</v>
      </c>
      <c r="C122" s="591"/>
      <c r="D122" s="591"/>
      <c r="E122" s="591"/>
      <c r="F122" s="591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0" t="s">
        <v>774</v>
      </c>
      <c r="C123" s="611"/>
      <c r="D123" s="611"/>
      <c r="E123" s="611"/>
      <c r="F123" s="611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92" t="e">
        <v>#REF!</v>
      </c>
      <c r="C124" s="593"/>
      <c r="D124" s="593"/>
      <c r="E124" s="593"/>
      <c r="F124" s="59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4" t="s">
        <v>122</v>
      </c>
      <c r="C125" s="575"/>
      <c r="D125" s="575"/>
      <c r="E125" s="575"/>
      <c r="F125" s="575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4" t="s">
        <v>133</v>
      </c>
      <c r="C126" s="575"/>
      <c r="D126" s="575"/>
      <c r="E126" s="575"/>
      <c r="F126" s="575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4" t="s">
        <v>148</v>
      </c>
      <c r="C127" s="575"/>
      <c r="D127" s="575"/>
      <c r="E127" s="575"/>
      <c r="F127" s="575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4" t="s">
        <v>162</v>
      </c>
      <c r="C128" s="575"/>
      <c r="D128" s="575"/>
      <c r="E128" s="575"/>
      <c r="F128" s="575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4" t="s">
        <v>182</v>
      </c>
      <c r="C129" s="575"/>
      <c r="D129" s="575"/>
      <c r="E129" s="575"/>
      <c r="F129" s="575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4" t="s">
        <v>190</v>
      </c>
      <c r="C130" s="575"/>
      <c r="D130" s="575"/>
      <c r="E130" s="575"/>
      <c r="F130" s="575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4" t="s">
        <v>196</v>
      </c>
      <c r="C131" s="575"/>
      <c r="D131" s="575"/>
      <c r="E131" s="575"/>
      <c r="F131" s="575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4" t="s">
        <v>204</v>
      </c>
      <c r="C132" s="575"/>
      <c r="D132" s="575"/>
      <c r="E132" s="575"/>
      <c r="F132" s="575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4" t="s">
        <v>212</v>
      </c>
      <c r="C133" s="575"/>
      <c r="D133" s="575"/>
      <c r="E133" s="575"/>
      <c r="F133" s="575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4" t="e">
        <v>#REF!</v>
      </c>
      <c r="C134" s="575"/>
      <c r="D134" s="575"/>
      <c r="E134" s="575"/>
      <c r="F134" s="575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8" t="s">
        <v>230</v>
      </c>
      <c r="C135" s="599"/>
      <c r="D135" s="599"/>
      <c r="E135" s="599"/>
      <c r="F135" s="599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4" t="s">
        <v>232</v>
      </c>
      <c r="C136" s="575"/>
      <c r="D136" s="575"/>
      <c r="E136" s="575"/>
      <c r="F136" s="575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4" t="s">
        <v>248</v>
      </c>
      <c r="C137" s="575"/>
      <c r="D137" s="575"/>
      <c r="E137" s="575"/>
      <c r="F137" s="575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4" t="s">
        <v>259</v>
      </c>
      <c r="C138" s="575"/>
      <c r="D138" s="575"/>
      <c r="E138" s="575"/>
      <c r="F138" s="575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4" t="s">
        <v>274</v>
      </c>
      <c r="C139" s="575"/>
      <c r="D139" s="575"/>
      <c r="E139" s="575"/>
      <c r="F139" s="575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4" t="s">
        <v>278</v>
      </c>
      <c r="C140" s="575"/>
      <c r="D140" s="575"/>
      <c r="E140" s="575"/>
      <c r="F140" s="575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94" t="s">
        <v>286</v>
      </c>
      <c r="C141" s="595"/>
      <c r="D141" s="595"/>
      <c r="E141" s="595"/>
      <c r="F141" s="595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94" t="s">
        <v>812</v>
      </c>
      <c r="C142" s="595"/>
      <c r="D142" s="595"/>
      <c r="E142" s="595"/>
      <c r="F142" s="595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6" t="s">
        <v>113</v>
      </c>
      <c r="C143" s="597"/>
      <c r="D143" s="597"/>
      <c r="E143" s="597"/>
      <c r="F143" s="597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96" t="s">
        <v>366</v>
      </c>
      <c r="C144" s="597"/>
      <c r="D144" s="597"/>
      <c r="E144" s="597"/>
      <c r="F144" s="597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96" t="s">
        <v>359</v>
      </c>
      <c r="C145" s="597"/>
      <c r="D145" s="597"/>
      <c r="E145" s="597"/>
      <c r="F145" s="597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96" t="s">
        <v>365</v>
      </c>
      <c r="C146" s="597"/>
      <c r="D146" s="597"/>
      <c r="E146" s="597"/>
      <c r="F146" s="597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2" t="s">
        <v>686</v>
      </c>
      <c r="C147" s="613"/>
      <c r="D147" s="613"/>
      <c r="E147" s="613"/>
      <c r="F147" s="613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604" t="s">
        <v>545</v>
      </c>
      <c r="C148" s="605"/>
      <c r="D148" s="605"/>
      <c r="E148" s="605"/>
      <c r="F148" s="605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606" t="s">
        <v>813</v>
      </c>
      <c r="C149" s="607"/>
      <c r="D149" s="607"/>
      <c r="E149" s="607"/>
      <c r="F149" s="607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98" t="s">
        <v>352</v>
      </c>
      <c r="C150" s="599"/>
      <c r="D150" s="599"/>
      <c r="E150" s="599"/>
      <c r="F150" s="599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602" t="s">
        <v>355</v>
      </c>
      <c r="C151" s="603"/>
      <c r="D151" s="603"/>
      <c r="E151" s="603"/>
      <c r="F151" s="603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96" t="s">
        <v>357</v>
      </c>
      <c r="C152" s="597"/>
      <c r="D152" s="597"/>
      <c r="E152" s="597"/>
      <c r="F152" s="597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600" t="s">
        <v>543</v>
      </c>
      <c r="C154" s="601"/>
      <c r="D154" s="601"/>
      <c r="E154" s="601"/>
      <c r="F154" s="601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90" t="s">
        <v>544</v>
      </c>
      <c r="C155" s="591"/>
      <c r="D155" s="591"/>
      <c r="E155" s="591"/>
      <c r="F155" s="591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602" t="s">
        <v>114</v>
      </c>
      <c r="C156" s="603"/>
      <c r="D156" s="603"/>
      <c r="E156" s="603"/>
      <c r="F156" s="603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96" t="s">
        <v>116</v>
      </c>
      <c r="C157" s="597"/>
      <c r="D157" s="597"/>
      <c r="E157" s="597"/>
      <c r="F157" s="597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96" t="s">
        <v>93</v>
      </c>
      <c r="C158" s="597"/>
      <c r="D158" s="597"/>
      <c r="E158" s="597"/>
      <c r="F158" s="597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32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4" t="s">
        <v>554</v>
      </c>
      <c r="C7" s="535"/>
      <c r="D7" s="535"/>
      <c r="E7" s="535"/>
      <c r="F7" s="535"/>
      <c r="G7" s="543">
        <v>2018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">
        <v>419</v>
      </c>
      <c r="T7" s="236">
        <v>4663130000</v>
      </c>
    </row>
    <row r="8" spans="1:20" ht="16.5" customHeight="1">
      <c r="A8" s="144"/>
      <c r="B8" s="536"/>
      <c r="C8" s="537"/>
      <c r="D8" s="537"/>
      <c r="E8" s="537"/>
      <c r="F8" s="53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3" t="s">
        <v>809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2" t="s">
        <v>681</v>
      </c>
      <c r="C10" s="503"/>
      <c r="D10" s="503"/>
      <c r="E10" s="503"/>
      <c r="F10" s="503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04" t="s">
        <v>21</v>
      </c>
      <c r="C11" s="505"/>
      <c r="D11" s="505"/>
      <c r="E11" s="505"/>
      <c r="F11" s="505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06" t="s">
        <v>23</v>
      </c>
      <c r="C12" s="507"/>
      <c r="D12" s="507"/>
      <c r="E12" s="507"/>
      <c r="F12" s="50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06" t="s">
        <v>25</v>
      </c>
      <c r="C13" s="507"/>
      <c r="D13" s="507"/>
      <c r="E13" s="507"/>
      <c r="F13" s="50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06" t="s">
        <v>27</v>
      </c>
      <c r="C14" s="507"/>
      <c r="D14" s="507"/>
      <c r="E14" s="507"/>
      <c r="F14" s="50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06" t="s">
        <v>29</v>
      </c>
      <c r="C15" s="507"/>
      <c r="D15" s="507"/>
      <c r="E15" s="507"/>
      <c r="F15" s="50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06" t="s">
        <v>31</v>
      </c>
      <c r="C16" s="507"/>
      <c r="D16" s="507"/>
      <c r="E16" s="507"/>
      <c r="F16" s="50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06" t="s">
        <v>33</v>
      </c>
      <c r="C17" s="507"/>
      <c r="D17" s="507"/>
      <c r="E17" s="507"/>
      <c r="F17" s="50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06" t="s">
        <v>722</v>
      </c>
      <c r="C18" s="507"/>
      <c r="D18" s="507"/>
      <c r="E18" s="507"/>
      <c r="F18" s="50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10" t="s">
        <v>37</v>
      </c>
      <c r="C19" s="511"/>
      <c r="D19" s="511"/>
      <c r="E19" s="511"/>
      <c r="F19" s="511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06" t="s">
        <v>39</v>
      </c>
      <c r="C20" s="507"/>
      <c r="D20" s="507"/>
      <c r="E20" s="507"/>
      <c r="F20" s="50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06" t="s">
        <v>41</v>
      </c>
      <c r="C21" s="507"/>
      <c r="D21" s="507"/>
      <c r="E21" s="507"/>
      <c r="F21" s="50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06" t="s">
        <v>43</v>
      </c>
      <c r="C22" s="507"/>
      <c r="D22" s="507"/>
      <c r="E22" s="507"/>
      <c r="F22" s="50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06" t="s">
        <v>45</v>
      </c>
      <c r="C23" s="507"/>
      <c r="D23" s="507"/>
      <c r="E23" s="507"/>
      <c r="F23" s="50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08" t="s">
        <v>47</v>
      </c>
      <c r="C24" s="509"/>
      <c r="D24" s="509"/>
      <c r="E24" s="509"/>
      <c r="F24" s="50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08" t="s">
        <v>61</v>
      </c>
      <c r="C25" s="509"/>
      <c r="D25" s="509"/>
      <c r="E25" s="509"/>
      <c r="F25" s="50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08" t="s">
        <v>81</v>
      </c>
      <c r="C26" s="509"/>
      <c r="D26" s="509"/>
      <c r="E26" s="509"/>
      <c r="F26" s="50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08" t="s">
        <v>99</v>
      </c>
      <c r="C27" s="509"/>
      <c r="D27" s="509"/>
      <c r="E27" s="509"/>
      <c r="F27" s="50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12" t="s">
        <v>105</v>
      </c>
      <c r="C28" s="513"/>
      <c r="D28" s="513"/>
      <c r="E28" s="513"/>
      <c r="F28" s="513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14" t="s">
        <v>802</v>
      </c>
      <c r="C29" s="515"/>
      <c r="D29" s="515"/>
      <c r="E29" s="515"/>
      <c r="F29" s="515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16" t="s">
        <v>774</v>
      </c>
      <c r="C30" s="517"/>
      <c r="D30" s="517"/>
      <c r="E30" s="517"/>
      <c r="F30" s="517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18" t="s">
        <v>120</v>
      </c>
      <c r="C31" s="519"/>
      <c r="D31" s="519"/>
      <c r="E31" s="519"/>
      <c r="F31" s="519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06" t="s">
        <v>122</v>
      </c>
      <c r="C32" s="507"/>
      <c r="D32" s="507"/>
      <c r="E32" s="507"/>
      <c r="F32" s="50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06" t="s">
        <v>133</v>
      </c>
      <c r="C33" s="507"/>
      <c r="D33" s="507"/>
      <c r="E33" s="507"/>
      <c r="F33" s="50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06" t="s">
        <v>148</v>
      </c>
      <c r="C34" s="507"/>
      <c r="D34" s="507"/>
      <c r="E34" s="507"/>
      <c r="F34" s="50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06" t="s">
        <v>162</v>
      </c>
      <c r="C35" s="507"/>
      <c r="D35" s="507"/>
      <c r="E35" s="507"/>
      <c r="F35" s="50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06" t="s">
        <v>182</v>
      </c>
      <c r="C36" s="507"/>
      <c r="D36" s="507"/>
      <c r="E36" s="507"/>
      <c r="F36" s="50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06" t="s">
        <v>190</v>
      </c>
      <c r="C37" s="507"/>
      <c r="D37" s="507"/>
      <c r="E37" s="507"/>
      <c r="F37" s="50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06" t="s">
        <v>196</v>
      </c>
      <c r="C38" s="507"/>
      <c r="D38" s="507"/>
      <c r="E38" s="507"/>
      <c r="F38" s="50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06" t="s">
        <v>204</v>
      </c>
      <c r="C39" s="507"/>
      <c r="D39" s="507"/>
      <c r="E39" s="507"/>
      <c r="F39" s="50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06" t="s">
        <v>212</v>
      </c>
      <c r="C40" s="507"/>
      <c r="D40" s="507"/>
      <c r="E40" s="507"/>
      <c r="F40" s="50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06" t="s">
        <v>803</v>
      </c>
      <c r="C41" s="507"/>
      <c r="D41" s="507"/>
      <c r="E41" s="507"/>
      <c r="F41" s="50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22" t="s">
        <v>230</v>
      </c>
      <c r="C42" s="523"/>
      <c r="D42" s="523"/>
      <c r="E42" s="523"/>
      <c r="F42" s="52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06" t="s">
        <v>232</v>
      </c>
      <c r="C43" s="507"/>
      <c r="D43" s="507"/>
      <c r="E43" s="507"/>
      <c r="F43" s="50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06" t="s">
        <v>248</v>
      </c>
      <c r="C44" s="507"/>
      <c r="D44" s="507"/>
      <c r="E44" s="507"/>
      <c r="F44" s="50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06" t="s">
        <v>259</v>
      </c>
      <c r="C45" s="507"/>
      <c r="D45" s="507"/>
      <c r="E45" s="507"/>
      <c r="F45" s="50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06" t="s">
        <v>274</v>
      </c>
      <c r="C46" s="507"/>
      <c r="D46" s="507"/>
      <c r="E46" s="507"/>
      <c r="F46" s="50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4" t="s">
        <v>278</v>
      </c>
      <c r="C47" s="615"/>
      <c r="D47" s="615"/>
      <c r="E47" s="615"/>
      <c r="F47" s="615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20" t="s">
        <v>286</v>
      </c>
      <c r="C48" s="521"/>
      <c r="D48" s="521"/>
      <c r="E48" s="521"/>
      <c r="F48" s="521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20" t="s">
        <v>320</v>
      </c>
      <c r="C49" s="521"/>
      <c r="D49" s="521"/>
      <c r="E49" s="521"/>
      <c r="F49" s="521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59" t="s">
        <v>113</v>
      </c>
      <c r="C50" s="560"/>
      <c r="D50" s="560"/>
      <c r="E50" s="560"/>
      <c r="F50" s="560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24" t="s">
        <v>366</v>
      </c>
      <c r="C51" s="525"/>
      <c r="D51" s="525"/>
      <c r="E51" s="525"/>
      <c r="F51" s="52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6" t="s">
        <v>359</v>
      </c>
      <c r="C52" s="527"/>
      <c r="D52" s="527"/>
      <c r="E52" s="527"/>
      <c r="F52" s="527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66" t="s">
        <v>795</v>
      </c>
      <c r="C53" s="567"/>
      <c r="D53" s="567"/>
      <c r="E53" s="567"/>
      <c r="F53" s="56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68" t="s">
        <v>685</v>
      </c>
      <c r="C54" s="569"/>
      <c r="D54" s="569"/>
      <c r="E54" s="569"/>
      <c r="F54" s="56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48" t="s">
        <v>355</v>
      </c>
      <c r="C59" s="549"/>
      <c r="D59" s="549"/>
      <c r="E59" s="549"/>
      <c r="F59" s="549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24" t="s">
        <v>357</v>
      </c>
      <c r="C60" s="525"/>
      <c r="D60" s="525"/>
      <c r="E60" s="525"/>
      <c r="F60" s="52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6" t="s">
        <v>336</v>
      </c>
      <c r="C61" s="617"/>
      <c r="D61" s="617"/>
      <c r="E61" s="617"/>
      <c r="F61" s="617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50" t="s">
        <v>543</v>
      </c>
      <c r="C62" s="551"/>
      <c r="D62" s="551"/>
      <c r="E62" s="551"/>
      <c r="F62" s="551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14" t="s">
        <v>544</v>
      </c>
      <c r="C63" s="515"/>
      <c r="D63" s="515"/>
      <c r="E63" s="515"/>
      <c r="F63" s="515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48" t="s">
        <v>114</v>
      </c>
      <c r="C64" s="549"/>
      <c r="D64" s="549"/>
      <c r="E64" s="549"/>
      <c r="F64" s="549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24" t="s">
        <v>116</v>
      </c>
      <c r="C65" s="525"/>
      <c r="D65" s="525"/>
      <c r="E65" s="525"/>
      <c r="F65" s="52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24" t="s">
        <v>93</v>
      </c>
      <c r="C66" s="525"/>
      <c r="D66" s="525"/>
      <c r="E66" s="525"/>
      <c r="F66" s="52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6" t="s">
        <v>552</v>
      </c>
      <c r="C103" s="577"/>
      <c r="D103" s="577"/>
      <c r="E103" s="577"/>
      <c r="F103" s="577"/>
      <c r="G103" s="561">
        <v>2018</v>
      </c>
      <c r="H103" s="562"/>
      <c r="I103" s="562"/>
      <c r="J103" s="562"/>
      <c r="K103" s="562"/>
      <c r="L103" s="562"/>
      <c r="M103" s="562"/>
      <c r="N103" s="562"/>
      <c r="O103" s="562"/>
      <c r="P103" s="562"/>
      <c r="Q103" s="562"/>
      <c r="R103" s="563"/>
      <c r="S103" s="107" t="str">
        <f>+S7</f>
        <v>BDP</v>
      </c>
      <c r="T103" s="108">
        <f>+T7</f>
        <v>4663130000</v>
      </c>
    </row>
    <row r="104" spans="1:21" ht="15.75" customHeight="1">
      <c r="B104" s="578"/>
      <c r="C104" s="579"/>
      <c r="D104" s="579"/>
      <c r="E104" s="579"/>
      <c r="F104" s="580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1" t="s">
        <v>809</v>
      </c>
      <c r="T104" s="563">
        <f>+T8</f>
        <v>0</v>
      </c>
    </row>
    <row r="105" spans="1:21" ht="13.5" thickBot="1">
      <c r="B105" s="581"/>
      <c r="C105" s="582"/>
      <c r="D105" s="582"/>
      <c r="E105" s="582"/>
      <c r="F105" s="583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70" t="s">
        <v>681</v>
      </c>
      <c r="C106" s="571"/>
      <c r="D106" s="571"/>
      <c r="E106" s="571"/>
      <c r="F106" s="57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72" t="s">
        <v>21</v>
      </c>
      <c r="C107" s="573"/>
      <c r="D107" s="573"/>
      <c r="E107" s="573"/>
      <c r="F107" s="57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4" t="s">
        <v>23</v>
      </c>
      <c r="C108" s="575"/>
      <c r="D108" s="575"/>
      <c r="E108" s="575"/>
      <c r="F108" s="575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4" t="s">
        <v>25</v>
      </c>
      <c r="C109" s="575"/>
      <c r="D109" s="575"/>
      <c r="E109" s="575"/>
      <c r="F109" s="575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4" t="s">
        <v>27</v>
      </c>
      <c r="C110" s="575"/>
      <c r="D110" s="575"/>
      <c r="E110" s="575"/>
      <c r="F110" s="575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4" t="s">
        <v>29</v>
      </c>
      <c r="C111" s="575"/>
      <c r="D111" s="575"/>
      <c r="E111" s="575"/>
      <c r="F111" s="575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4" t="s">
        <v>31</v>
      </c>
      <c r="C112" s="575"/>
      <c r="D112" s="575"/>
      <c r="E112" s="575"/>
      <c r="F112" s="575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4" t="s">
        <v>33</v>
      </c>
      <c r="C113" s="575"/>
      <c r="D113" s="575"/>
      <c r="E113" s="575"/>
      <c r="F113" s="575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4" t="s">
        <v>722</v>
      </c>
      <c r="C114" s="575"/>
      <c r="D114" s="575"/>
      <c r="E114" s="575"/>
      <c r="F114" s="575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86" t="s">
        <v>37</v>
      </c>
      <c r="C115" s="587"/>
      <c r="D115" s="587"/>
      <c r="E115" s="587"/>
      <c r="F115" s="587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4" t="s">
        <v>39</v>
      </c>
      <c r="C116" s="575"/>
      <c r="D116" s="575"/>
      <c r="E116" s="575"/>
      <c r="F116" s="575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4" t="s">
        <v>41</v>
      </c>
      <c r="C117" s="575"/>
      <c r="D117" s="575"/>
      <c r="E117" s="575"/>
      <c r="F117" s="575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4" t="s">
        <v>43</v>
      </c>
      <c r="C118" s="575"/>
      <c r="D118" s="575"/>
      <c r="E118" s="575"/>
      <c r="F118" s="575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4" t="s">
        <v>45</v>
      </c>
      <c r="C119" s="575"/>
      <c r="D119" s="575"/>
      <c r="E119" s="575"/>
      <c r="F119" s="575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84" t="s">
        <v>47</v>
      </c>
      <c r="C120" s="585"/>
      <c r="D120" s="585"/>
      <c r="E120" s="585"/>
      <c r="F120" s="585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84" t="s">
        <v>61</v>
      </c>
      <c r="C121" s="585"/>
      <c r="D121" s="585"/>
      <c r="E121" s="585"/>
      <c r="F121" s="585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84" t="s">
        <v>81</v>
      </c>
      <c r="C122" s="585"/>
      <c r="D122" s="585"/>
      <c r="E122" s="585"/>
      <c r="F122" s="585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84" t="s">
        <v>99</v>
      </c>
      <c r="C123" s="585"/>
      <c r="D123" s="585"/>
      <c r="E123" s="585"/>
      <c r="F123" s="585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88" t="s">
        <v>105</v>
      </c>
      <c r="C124" s="589"/>
      <c r="D124" s="589"/>
      <c r="E124" s="589"/>
      <c r="F124" s="589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90" t="s">
        <v>811</v>
      </c>
      <c r="C125" s="591"/>
      <c r="D125" s="591"/>
      <c r="E125" s="591"/>
      <c r="F125" s="59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0" t="s">
        <v>774</v>
      </c>
      <c r="C126" s="611"/>
      <c r="D126" s="611"/>
      <c r="E126" s="611"/>
      <c r="F126" s="611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92" t="s">
        <v>120</v>
      </c>
      <c r="C127" s="593"/>
      <c r="D127" s="593"/>
      <c r="E127" s="593"/>
      <c r="F127" s="59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4" t="s">
        <v>122</v>
      </c>
      <c r="C128" s="575"/>
      <c r="D128" s="575"/>
      <c r="E128" s="575"/>
      <c r="F128" s="575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4" t="s">
        <v>133</v>
      </c>
      <c r="C129" s="575"/>
      <c r="D129" s="575"/>
      <c r="E129" s="575"/>
      <c r="F129" s="575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4" t="s">
        <v>148</v>
      </c>
      <c r="C130" s="575"/>
      <c r="D130" s="575"/>
      <c r="E130" s="575"/>
      <c r="F130" s="575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4" t="s">
        <v>162</v>
      </c>
      <c r="C131" s="575"/>
      <c r="D131" s="575"/>
      <c r="E131" s="575"/>
      <c r="F131" s="575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4" t="s">
        <v>182</v>
      </c>
      <c r="C132" s="575"/>
      <c r="D132" s="575"/>
      <c r="E132" s="575"/>
      <c r="F132" s="575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4" t="s">
        <v>190</v>
      </c>
      <c r="C133" s="575"/>
      <c r="D133" s="575"/>
      <c r="E133" s="575"/>
      <c r="F133" s="575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4" t="s">
        <v>196</v>
      </c>
      <c r="C134" s="575"/>
      <c r="D134" s="575"/>
      <c r="E134" s="575"/>
      <c r="F134" s="575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4" t="s">
        <v>204</v>
      </c>
      <c r="C135" s="575"/>
      <c r="D135" s="575"/>
      <c r="E135" s="575"/>
      <c r="F135" s="575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4" t="s">
        <v>212</v>
      </c>
      <c r="C136" s="575"/>
      <c r="D136" s="575"/>
      <c r="E136" s="575"/>
      <c r="F136" s="575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4" t="s">
        <v>803</v>
      </c>
      <c r="C137" s="575"/>
      <c r="D137" s="575"/>
      <c r="E137" s="575"/>
      <c r="F137" s="575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98" t="s">
        <v>230</v>
      </c>
      <c r="C138" s="599"/>
      <c r="D138" s="599"/>
      <c r="E138" s="599"/>
      <c r="F138" s="599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4" t="s">
        <v>232</v>
      </c>
      <c r="C139" s="575"/>
      <c r="D139" s="575"/>
      <c r="E139" s="575"/>
      <c r="F139" s="575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4" t="s">
        <v>248</v>
      </c>
      <c r="C140" s="575"/>
      <c r="D140" s="575"/>
      <c r="E140" s="575"/>
      <c r="F140" s="575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4" t="s">
        <v>259</v>
      </c>
      <c r="C141" s="575"/>
      <c r="D141" s="575"/>
      <c r="E141" s="575"/>
      <c r="F141" s="575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4" t="s">
        <v>274</v>
      </c>
      <c r="C142" s="575"/>
      <c r="D142" s="575"/>
      <c r="E142" s="575"/>
      <c r="F142" s="575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4" t="s">
        <v>278</v>
      </c>
      <c r="C143" s="575"/>
      <c r="D143" s="575"/>
      <c r="E143" s="575"/>
      <c r="F143" s="575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94" t="s">
        <v>286</v>
      </c>
      <c r="C144" s="595"/>
      <c r="D144" s="595"/>
      <c r="E144" s="595"/>
      <c r="F144" s="595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94" t="s">
        <v>812</v>
      </c>
      <c r="C145" s="595"/>
      <c r="D145" s="595"/>
      <c r="E145" s="595"/>
      <c r="F145" s="595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96" t="s">
        <v>113</v>
      </c>
      <c r="C146" s="597"/>
      <c r="D146" s="597"/>
      <c r="E146" s="597"/>
      <c r="F146" s="597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96" t="s">
        <v>366</v>
      </c>
      <c r="C147" s="597"/>
      <c r="D147" s="597"/>
      <c r="E147" s="597"/>
      <c r="F147" s="597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96" t="s">
        <v>359</v>
      </c>
      <c r="C148" s="597"/>
      <c r="D148" s="597"/>
      <c r="E148" s="597"/>
      <c r="F148" s="597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604" t="s">
        <v>545</v>
      </c>
      <c r="C150" s="605"/>
      <c r="D150" s="605"/>
      <c r="E150" s="605"/>
      <c r="F150" s="605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606" t="s">
        <v>813</v>
      </c>
      <c r="C151" s="607"/>
      <c r="D151" s="607"/>
      <c r="E151" s="607"/>
      <c r="F151" s="607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98" t="s">
        <v>352</v>
      </c>
      <c r="C152" s="599"/>
      <c r="D152" s="599"/>
      <c r="E152" s="599"/>
      <c r="F152" s="599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602" t="s">
        <v>355</v>
      </c>
      <c r="C153" s="603"/>
      <c r="D153" s="603"/>
      <c r="E153" s="603"/>
      <c r="F153" s="603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96" t="s">
        <v>357</v>
      </c>
      <c r="C154" s="597"/>
      <c r="D154" s="597"/>
      <c r="E154" s="597"/>
      <c r="F154" s="597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96" t="s">
        <v>365</v>
      </c>
      <c r="C155" s="597"/>
      <c r="D155" s="597"/>
      <c r="E155" s="597"/>
      <c r="F155" s="597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00" t="s">
        <v>543</v>
      </c>
      <c r="C157" s="601"/>
      <c r="D157" s="601"/>
      <c r="E157" s="601"/>
      <c r="F157" s="601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90" t="s">
        <v>544</v>
      </c>
      <c r="C158" s="591"/>
      <c r="D158" s="591"/>
      <c r="E158" s="591"/>
      <c r="F158" s="59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602" t="s">
        <v>114</v>
      </c>
      <c r="C159" s="603"/>
      <c r="D159" s="603"/>
      <c r="E159" s="603"/>
      <c r="F159" s="603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96" t="s">
        <v>116</v>
      </c>
      <c r="C160" s="597"/>
      <c r="D160" s="597"/>
      <c r="E160" s="597"/>
      <c r="F160" s="597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96" t="s">
        <v>93</v>
      </c>
      <c r="C161" s="597"/>
      <c r="D161" s="597"/>
      <c r="E161" s="597"/>
      <c r="F161" s="597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9">
        <v>2006</v>
      </c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20"/>
      <c r="R6" s="619">
        <v>2007</v>
      </c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20"/>
      <c r="AD6" s="619">
        <v>2008</v>
      </c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20"/>
      <c r="AP6" s="619">
        <v>2009</v>
      </c>
      <c r="AQ6" s="618"/>
      <c r="AR6" s="618"/>
      <c r="AS6" s="618"/>
      <c r="AT6" s="618"/>
      <c r="AU6" s="618"/>
      <c r="AV6" s="618"/>
      <c r="AW6" s="618"/>
      <c r="AX6" s="618"/>
      <c r="AY6" s="618"/>
      <c r="AZ6" s="618"/>
      <c r="BA6" s="620"/>
      <c r="BB6" s="619">
        <v>2010</v>
      </c>
      <c r="BC6" s="618"/>
      <c r="BD6" s="618"/>
      <c r="BE6" s="618"/>
      <c r="BF6" s="618"/>
      <c r="BG6" s="618"/>
      <c r="BH6" s="618"/>
      <c r="BI6" s="618"/>
      <c r="BJ6" s="618"/>
      <c r="BK6" s="618"/>
      <c r="BL6" s="618"/>
      <c r="BM6" s="620"/>
      <c r="BN6" s="619">
        <v>2011</v>
      </c>
      <c r="BO6" s="618"/>
      <c r="BP6" s="618"/>
      <c r="BQ6" s="618"/>
      <c r="BR6" s="618"/>
      <c r="BS6" s="618"/>
      <c r="BT6" s="618"/>
      <c r="BU6" s="618"/>
      <c r="BV6" s="618"/>
      <c r="BW6" s="618"/>
      <c r="BX6" s="618"/>
      <c r="BY6" s="620"/>
      <c r="BZ6" s="618">
        <v>2012</v>
      </c>
      <c r="CA6" s="618"/>
      <c r="CB6" s="618"/>
      <c r="CC6" s="618"/>
      <c r="CD6" s="618"/>
      <c r="CE6" s="618"/>
      <c r="CF6" s="618"/>
      <c r="CG6" s="618"/>
      <c r="CH6" s="618"/>
      <c r="CI6" s="618"/>
      <c r="CJ6" s="618"/>
      <c r="CK6" s="618"/>
      <c r="CL6" s="619">
        <v>2013</v>
      </c>
      <c r="CM6" s="618"/>
      <c r="CN6" s="618"/>
      <c r="CO6" s="618"/>
      <c r="CP6" s="618"/>
      <c r="CQ6" s="618"/>
      <c r="CR6" s="618"/>
      <c r="CS6" s="618"/>
      <c r="CT6" s="618"/>
      <c r="CU6" s="618"/>
      <c r="CV6" s="618"/>
      <c r="CW6" s="620"/>
      <c r="CX6" s="619">
        <v>2014</v>
      </c>
      <c r="CY6" s="618"/>
      <c r="CZ6" s="618"/>
      <c r="DA6" s="618"/>
      <c r="DB6" s="618"/>
      <c r="DC6" s="618"/>
      <c r="DD6" s="618"/>
      <c r="DE6" s="618"/>
      <c r="DF6" s="618"/>
      <c r="DG6" s="618"/>
      <c r="DH6" s="618"/>
      <c r="DI6" s="620"/>
      <c r="DJ6" s="619">
        <v>2015</v>
      </c>
      <c r="DK6" s="618"/>
      <c r="DL6" s="618"/>
      <c r="DM6" s="618"/>
      <c r="DN6" s="618"/>
      <c r="DO6" s="618"/>
      <c r="DP6" s="618"/>
      <c r="DQ6" s="618"/>
      <c r="DR6" s="618"/>
      <c r="DS6" s="618"/>
      <c r="DT6" s="618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9">
        <v>2006</v>
      </c>
      <c r="G214" s="618"/>
      <c r="H214" s="618"/>
      <c r="I214" s="618"/>
      <c r="J214" s="618"/>
      <c r="K214" s="618"/>
      <c r="L214" s="618"/>
      <c r="M214" s="618"/>
      <c r="N214" s="618"/>
      <c r="O214" s="618"/>
      <c r="P214" s="618"/>
      <c r="Q214" s="620"/>
      <c r="R214" s="619">
        <v>2007</v>
      </c>
      <c r="S214" s="618"/>
      <c r="T214" s="618"/>
      <c r="U214" s="618"/>
      <c r="V214" s="618"/>
      <c r="W214" s="618"/>
      <c r="X214" s="618"/>
      <c r="Y214" s="618"/>
      <c r="Z214" s="618"/>
      <c r="AA214" s="618"/>
      <c r="AB214" s="618"/>
      <c r="AC214" s="620"/>
      <c r="AD214" s="619">
        <v>2008</v>
      </c>
      <c r="AE214" s="618"/>
      <c r="AF214" s="618"/>
      <c r="AG214" s="618"/>
      <c r="AH214" s="618"/>
      <c r="AI214" s="618"/>
      <c r="AJ214" s="618"/>
      <c r="AK214" s="618"/>
      <c r="AL214" s="618"/>
      <c r="AM214" s="618"/>
      <c r="AN214" s="618"/>
      <c r="AO214" s="620"/>
      <c r="AP214" s="619">
        <v>2009</v>
      </c>
      <c r="AQ214" s="618"/>
      <c r="AR214" s="618"/>
      <c r="AS214" s="618"/>
      <c r="AT214" s="618"/>
      <c r="AU214" s="618"/>
      <c r="AV214" s="618"/>
      <c r="AW214" s="618"/>
      <c r="AX214" s="618"/>
      <c r="AY214" s="618"/>
      <c r="AZ214" s="618"/>
      <c r="BA214" s="620"/>
      <c r="BB214" s="619">
        <v>2010</v>
      </c>
      <c r="BC214" s="618"/>
      <c r="BD214" s="618"/>
      <c r="BE214" s="618"/>
      <c r="BF214" s="618"/>
      <c r="BG214" s="618"/>
      <c r="BH214" s="618"/>
      <c r="BI214" s="618"/>
      <c r="BJ214" s="618"/>
      <c r="BK214" s="618"/>
      <c r="BL214" s="618"/>
      <c r="BM214" s="620"/>
      <c r="BN214" s="619">
        <v>2011</v>
      </c>
      <c r="BO214" s="618"/>
      <c r="BP214" s="618"/>
      <c r="BQ214" s="618"/>
      <c r="BR214" s="618"/>
      <c r="BS214" s="618"/>
      <c r="BT214" s="618"/>
      <c r="BU214" s="618"/>
      <c r="BV214" s="618"/>
      <c r="BW214" s="618"/>
      <c r="BX214" s="618"/>
      <c r="BY214" s="620"/>
      <c r="BZ214" s="618">
        <v>2012</v>
      </c>
      <c r="CA214" s="618"/>
      <c r="CB214" s="618"/>
      <c r="CC214" s="618"/>
      <c r="CD214" s="618"/>
      <c r="CE214" s="618"/>
      <c r="CF214" s="618"/>
      <c r="CG214" s="618"/>
      <c r="CH214" s="618"/>
      <c r="CI214" s="618"/>
      <c r="CJ214" s="618"/>
      <c r="CK214" s="618"/>
      <c r="CL214" s="619">
        <v>2013</v>
      </c>
      <c r="CM214" s="618"/>
      <c r="CN214" s="618"/>
      <c r="CO214" s="618"/>
      <c r="CP214" s="618"/>
      <c r="CQ214" s="618"/>
      <c r="CR214" s="618"/>
      <c r="CS214" s="618"/>
      <c r="CT214" s="618"/>
      <c r="CU214" s="618"/>
      <c r="CV214" s="618"/>
      <c r="CW214" s="620"/>
      <c r="CX214" s="619">
        <v>2014</v>
      </c>
      <c r="CY214" s="618"/>
      <c r="CZ214" s="618"/>
      <c r="DA214" s="618"/>
      <c r="DB214" s="618"/>
      <c r="DC214" s="618"/>
      <c r="DD214" s="618"/>
      <c r="DE214" s="618"/>
      <c r="DF214" s="618"/>
      <c r="DG214" s="618"/>
      <c r="DH214" s="618"/>
      <c r="DI214" s="620"/>
      <c r="DJ214" s="619">
        <v>2015</v>
      </c>
      <c r="DK214" s="618"/>
      <c r="DL214" s="618"/>
      <c r="DM214" s="618"/>
      <c r="DN214" s="618"/>
      <c r="DO214" s="618"/>
      <c r="DP214" s="618"/>
      <c r="DQ214" s="618"/>
      <c r="DR214" s="618"/>
      <c r="DS214" s="618"/>
      <c r="DT214" s="618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Avgust</v>
      </c>
    </row>
    <row r="245" spans="4:7">
      <c r="D245" s="49"/>
      <c r="E245" s="9"/>
      <c r="F245" s="10"/>
      <c r="G245" s="52" t="str">
        <f>+CONCATENATE("Jan - ",LEFT(G244,3))</f>
        <v>Jan - Avg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Avg</v>
      </c>
      <c r="F253" s="10" t="str">
        <f>+CONCATENATE("Analytics for period ",G245)</f>
        <v>Analytics for period Jan - Avg</v>
      </c>
      <c r="G253" s="52" t="str">
        <f>+IF(ISBLANK(IF($B$2=1,E253,F253)),"",IF($B$2=1,E253,F253))</f>
        <v>Analitika za period Jan - Avg</v>
      </c>
    </row>
    <row r="254" spans="4:7">
      <c r="D254" s="46"/>
      <c r="E254" s="9" t="str">
        <f>+CONCATENATE("Analitika za period ",G244)</f>
        <v>Analitika za period Avgust</v>
      </c>
      <c r="F254" s="10" t="str">
        <f>+CONCATENATE("Analytics for period ",G244)</f>
        <v>Analytics for period Avgust</v>
      </c>
      <c r="G254" s="52" t="str">
        <f>+IF(ISBLANK(IF($B$2=1,E254,F254)),"",IF($B$2=1,E254,F254))</f>
        <v>Analitika za period Avgust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Avgust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Avgust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Avgust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Avgust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Avgust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Avgust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2021-10-04T09:28:57Z</dcterms:modified>
</cp:coreProperties>
</file>