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AppData\Local\Microsoft\Windows\Temporary Internet Files\Content.Outlook\BPHVB0TN\"/>
    </mc:Choice>
  </mc:AlternateContent>
  <workbookProtection workbookAlgorithmName="SHA-512" workbookHashValue="Lc7/OZ9/txt6MkKs2RRODRafTjFCs3kewDw53jLTe4+M45KANBrAx3k3T06Px+DxkEe1QjeH0ifXVSocR6KkSg==" workbookSaltValue="CCN9jJlFTX5oS+AuJ+OjFw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N10" i="11"/>
  <c r="G5" i="22" l="1"/>
  <c r="H5" i="22"/>
  <c r="I5" i="22"/>
  <c r="J5" i="22"/>
  <c r="K5" i="22"/>
  <c r="L5" i="22"/>
  <c r="M5" i="22"/>
  <c r="P10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11" s="1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N40" i="11" s="1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N30" i="11" s="1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T26" i="22" l="1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N29" i="11" s="1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P127" i="22" l="1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N54" i="11" s="1"/>
  <c r="J53" i="22"/>
  <c r="N54" i="22"/>
  <c r="A145" i="19"/>
  <c r="A144" i="19"/>
  <c r="A151" i="19"/>
  <c r="A157" i="19"/>
  <c r="A152" i="19"/>
  <c r="A153" i="19"/>
  <c r="O59" i="22" l="1"/>
  <c r="N53" i="11"/>
  <c r="N59" i="22"/>
  <c r="G128" i="22"/>
  <c r="L133" i="22"/>
  <c r="Q128" i="22"/>
  <c r="M133" i="22"/>
  <c r="M59" i="22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O64" i="22" l="1"/>
  <c r="N59" i="11"/>
  <c r="N64" i="22"/>
  <c r="G12" i="1"/>
  <c r="H12" i="1" s="1"/>
  <c r="L10" i="1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O60" i="22" l="1"/>
  <c r="N60" i="11" s="1"/>
  <c r="N64" i="11"/>
  <c r="N60" i="22"/>
  <c r="Q59" i="11"/>
  <c r="M134" i="22"/>
  <c r="G54" i="11"/>
  <c r="M60" i="22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<sst xmlns="http://schemas.openxmlformats.org/spreadsheetml/2006/main" count="1728" uniqueCount="828">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</sst>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septembar 2021. godine iznosili su 1.344,5 mil. € ili 29,0%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7,1 mil. € ili 0,5% od planiranih. U odnosu na isti period prethodne godine prihodi su veći za 178,6 mil. € ili 15,3%.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septembar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1.409,2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30,4%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89,6 mil. € ili 6,0% u odnosu na isti period prethodne godine. U odnosu na planirane, izdaci su manji za 101,5 mil. € ili 6,7%. U periodu januar - septembar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64,7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108,6 mil. € ili 62,7% manje od planiranog, odnosno za 268,2 mil. € ili 80,6%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2021-09</v>
      </c>
      <c r="O6" s="143" t="str">
        <f>+CONCATENATE(N6,"p")</f>
        <v>2021-09p</v>
      </c>
      <c r="P6" s="130"/>
      <c r="Q6" s="130"/>
      <c r="R6" s="143" t="str">
        <f>+IF(Master!B3-10&gt;=0,CONCATENATE(Master!B4-1,"-",Master!B3),CONCATENATE(Master!B4-1,"-0",Master!B3))</f>
        <v>2020-09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Sep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Septembar 2020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6" sqref="H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Septembar</v>
      </c>
      <c r="E11" s="135"/>
      <c r="F11" s="135"/>
      <c r="G11" s="137" t="str">
        <f>+Master!G273</f>
        <v>Prihodi za period Januar - Septembar</v>
      </c>
      <c r="H11" s="135"/>
      <c r="I11" s="135"/>
      <c r="J11" s="135"/>
      <c r="K11" s="136"/>
    </row>
    <row r="12" spans="3:11">
      <c r="C12" s="134"/>
      <c r="D12" s="138">
        <f>+'Analitika - 2021'!N10</f>
        <v>172242018.37</v>
      </c>
      <c r="E12" s="456">
        <f>+D12/'2021'!T7</f>
        <v>3.7148345419057066E-2</v>
      </c>
      <c r="F12" s="135"/>
      <c r="G12" s="138">
        <f>+'Analitika - 2021'!G10</f>
        <v>1344528414.7200003</v>
      </c>
      <c r="H12" s="456">
        <f>+G12/'2021'!T7</f>
        <v>0.28998154137083215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Septembar</v>
      </c>
      <c r="E15" s="135"/>
      <c r="F15" s="135"/>
      <c r="G15" s="137" t="str">
        <f>+Master!G274</f>
        <v>Rashodi za period Januar - Septembar</v>
      </c>
      <c r="H15" s="135"/>
      <c r="I15" s="135"/>
      <c r="J15" s="135"/>
      <c r="K15" s="136"/>
    </row>
    <row r="16" spans="3:11">
      <c r="C16" s="134"/>
      <c r="D16" s="138">
        <f>+'Analitika - 2021'!N29</f>
        <v>178840676.53</v>
      </c>
      <c r="E16" s="456">
        <f>+D16/'2021'!T7</f>
        <v>3.8571512860716903E-2</v>
      </c>
      <c r="F16" s="135"/>
      <c r="G16" s="138">
        <f>+'Analitika - 2021'!G29</f>
        <v>1409205724.49</v>
      </c>
      <c r="H16" s="456">
        <f>+G16/'2021'!T7</f>
        <v>0.30393083821981626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Septembar</v>
      </c>
      <c r="E19" s="135"/>
      <c r="F19" s="135"/>
      <c r="G19" s="137" t="str">
        <f>+Master!G275</f>
        <v>Suficit/Deficit za period Januar - Septembar</v>
      </c>
      <c r="H19" s="135"/>
      <c r="I19" s="135"/>
      <c r="J19" s="135"/>
      <c r="K19" s="136"/>
    </row>
    <row r="20" spans="3:12">
      <c r="C20" s="134"/>
      <c r="D20" s="138">
        <f>+'Analitika - 2021'!N53</f>
        <v>-6598658.1599999964</v>
      </c>
      <c r="E20" s="456">
        <f>+D20/'2021'!T7</f>
        <v>-1.4231674416598362E-3</v>
      </c>
      <c r="F20" s="135"/>
      <c r="G20" s="138">
        <f>+'Analitika - 2021'!G53</f>
        <v>-64677309.770000011</v>
      </c>
      <c r="H20" s="456">
        <f>+G20/'2021'!T7</f>
        <v>-1.3949296848984171E-2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68bvWtqmYlI7BrfATBrlWh8QGfsF1TIBF+hCfinIqvKidBgdyohOmI22jKjQN4x4C5bghf5D0PsyJd9QMDH0pA==" saltValue="EWSHZll4M5X5oHT8FTwJR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H10" sqref="H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  <c r="P2" s="36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  <c r="P4" s="1">
        <v>0</v>
      </c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2021-09</v>
      </c>
      <c r="O6" s="143" t="str">
        <f>+CONCATENATE(N6,"p")</f>
        <v>2021-09p</v>
      </c>
      <c r="P6" s="130"/>
      <c r="Q6" s="130"/>
      <c r="R6" s="143" t="str">
        <f>+IF(Master!B3-10&gt;=0,CONCATENATE(Master!B4-1,"-",Master!B3),CONCATENATE(Master!B4-1,"-0",Master!B3))</f>
        <v>2020-09</v>
      </c>
      <c r="S6" s="130"/>
      <c r="T6" s="130"/>
    </row>
    <row r="7" spans="1:20">
      <c r="A7" s="144"/>
      <c r="B7" s="506" t="str">
        <f>+Master!G253</f>
        <v>Analitika za period Jan - Sep</v>
      </c>
      <c r="C7" s="507"/>
      <c r="D7" s="507"/>
      <c r="E7" s="507"/>
      <c r="F7" s="507"/>
      <c r="G7" s="515" t="str">
        <f>+Master!G245</f>
        <v>Jan - Sep</v>
      </c>
      <c r="H7" s="516"/>
      <c r="I7" s="516"/>
      <c r="J7" s="516"/>
      <c r="K7" s="516"/>
      <c r="L7" s="516"/>
      <c r="M7" s="517"/>
      <c r="N7" s="518" t="str">
        <f>+Master!G244</f>
        <v>Septembar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Sep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Septembar 2020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'2021'!S10</f>
        <v>1344528414.7200003</v>
      </c>
      <c r="H10" s="151">
        <f>SUM('2021'!G84:O84)</f>
        <v>1337385739.8890536</v>
      </c>
      <c r="I10" s="152">
        <f>+G10-H10</f>
        <v>7142674.8309466839</v>
      </c>
      <c r="J10" s="154">
        <f>IF(+IF(ISERROR(G10/H10),"…",G10/H10-1)&gt;200%,"...",IF(ISERROR(G10/H10),"…",G10/H10-1))</f>
        <v>5.3407738828883389E-3</v>
      </c>
      <c r="K10" s="151">
        <f>SUM('2020'!G10:O10)</f>
        <v>1165940583.8200002</v>
      </c>
      <c r="L10" s="152">
        <f>+G10-K10</f>
        <v>178587830.9000001</v>
      </c>
      <c r="M10" s="154">
        <f>IF(+IF(ISERROR(G10/K10),"…",G10/K10-1)&gt;200%,"...",IF(ISERROR(G10/K10),"…",G10/K10-1))</f>
        <v>0.15317061038812829</v>
      </c>
      <c r="N10" s="151">
        <f>'2021'!O10</f>
        <v>172242018.37</v>
      </c>
      <c r="O10" s="151">
        <f>'2021'!O84</f>
        <v>170362474.13164854</v>
      </c>
      <c r="P10" s="152">
        <f>+N10-O10</f>
        <v>1879544.2383514643</v>
      </c>
      <c r="Q10" s="154">
        <f>IF(+IF(ISERROR(N10/O10),"…",N10/O10-1)&gt;200%,"...",IF(ISERROR(N10/O10),"…",N10/O10-1))</f>
        <v>1.1032618820145945E-2</v>
      </c>
      <c r="R10" s="151">
        <f>'2020'!O10</f>
        <v>142573225.66999999</v>
      </c>
      <c r="S10" s="152">
        <f>+N10-R10</f>
        <v>29668792.700000018</v>
      </c>
      <c r="T10" s="154">
        <f>IF(+IF(ISERROR(N10/R10),"…",N10/R10-1)&gt;200%,"...",IF(ISERROR(N10/R10),"…",N10/R10-1))</f>
        <v>0.20809512137062414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'2021'!S11</f>
        <v>861310070.56000006</v>
      </c>
      <c r="H11" s="277">
        <f>SUM('2021'!G85:O85)</f>
        <v>815274898.27652812</v>
      </c>
      <c r="I11" s="158">
        <f t="shared" ref="I11:I57" si="0">+G11-H11</f>
        <v>46035172.283471942</v>
      </c>
      <c r="J11" s="160">
        <f t="shared" ref="J11:J64" si="1">IF(+IF(ISERROR(G11/H11-1),"…",G11/H11-1)&gt;200%,"...",IF(ISERROR(G11/H11-1),"…",G11/H11-1))</f>
        <v>5.6465828128388518E-2</v>
      </c>
      <c r="K11" s="277">
        <f>SUM('2020'!G11:O11)</f>
        <v>723223862.83999991</v>
      </c>
      <c r="L11" s="158">
        <f>+G11-K11</f>
        <v>138086207.72000015</v>
      </c>
      <c r="M11" s="160">
        <f t="shared" ref="M11:M64" si="2">IF(+IF(ISERROR(G11/K11),"…",G11/K11-1)&gt;200%,"...",IF(ISERROR(G11/K11),"…",G11/K11-1))</f>
        <v>0.19093148721303899</v>
      </c>
      <c r="N11" s="277">
        <f>'2021'!O11</f>
        <v>113016911.38000001</v>
      </c>
      <c r="O11" s="277">
        <f>'2021'!O85</f>
        <v>110067248.32933852</v>
      </c>
      <c r="P11" s="158">
        <f>+N11-O11</f>
        <v>2949663.0506614894</v>
      </c>
      <c r="Q11" s="160">
        <f t="shared" ref="Q11:Q64" si="3">IF(+IF(ISERROR(N11/O11),"…",N11/O11-1)&gt;200%,"...",IF(ISERROR(N11/O11),"…",N11/O11-1))</f>
        <v>2.6798735277142827E-2</v>
      </c>
      <c r="R11" s="277">
        <f>'2020'!O11</f>
        <v>80764606.50999999</v>
      </c>
      <c r="S11" s="158">
        <f t="shared" ref="S11:S57" si="4">+N11-R11</f>
        <v>32252304.87000002</v>
      </c>
      <c r="T11" s="160">
        <f t="shared" ref="T11:T64" si="5">IF(+IF(ISERROR(N11/R11),"…",N11/R11-1)&gt;200%,"...",IF(ISERROR(N11/R11),"…",N11/R11-1))</f>
        <v>0.39933711391272175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'2021'!S12</f>
        <v>85841899.279999986</v>
      </c>
      <c r="H12" s="163">
        <f>SUM('2021'!G86:O86)</f>
        <v>101331624.92237556</v>
      </c>
      <c r="I12" s="164">
        <f t="shared" si="0"/>
        <v>-15489725.642375574</v>
      </c>
      <c r="J12" s="166">
        <f t="shared" si="1"/>
        <v>-0.15286171177301633</v>
      </c>
      <c r="K12" s="163">
        <f>SUM('2020'!G12:O12)</f>
        <v>82727815.840000004</v>
      </c>
      <c r="L12" s="164">
        <f>+G12-K12</f>
        <v>3114083.4399999827</v>
      </c>
      <c r="M12" s="166">
        <f t="shared" si="2"/>
        <v>3.7642519730277657E-2</v>
      </c>
      <c r="N12" s="163">
        <f>'2021'!O12</f>
        <v>11496389.41</v>
      </c>
      <c r="O12" s="163">
        <f>'2021'!O86</f>
        <v>14758460.999158014</v>
      </c>
      <c r="P12" s="164">
        <f t="shared" ref="P12:P57" si="6">+N12-O12</f>
        <v>-3262071.5891580135</v>
      </c>
      <c r="Q12" s="166">
        <f t="shared" si="3"/>
        <v>-0.22103060673766173</v>
      </c>
      <c r="R12" s="163">
        <f>'2020'!O12</f>
        <v>10038474.75</v>
      </c>
      <c r="S12" s="164">
        <f t="shared" si="4"/>
        <v>1457914.6600000001</v>
      </c>
      <c r="T12" s="166">
        <f t="shared" si="5"/>
        <v>0.14523268686809221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'2021'!S13</f>
        <v>69932707.189999998</v>
      </c>
      <c r="H13" s="163">
        <f>SUM('2021'!G87:O87)</f>
        <v>54802619.223931126</v>
      </c>
      <c r="I13" s="164">
        <f t="shared" si="0"/>
        <v>15130087.966068871</v>
      </c>
      <c r="J13" s="166">
        <f t="shared" si="1"/>
        <v>0.27608330003800052</v>
      </c>
      <c r="K13" s="163">
        <f>SUM('2020'!G13:O13)</f>
        <v>73634813.209999993</v>
      </c>
      <c r="L13" s="164">
        <f t="shared" ref="L13:L57" si="7">+G13-K13</f>
        <v>-3702106.0199999958</v>
      </c>
      <c r="M13" s="166">
        <f t="shared" si="2"/>
        <v>-5.0276572433774147E-2</v>
      </c>
      <c r="N13" s="163">
        <f>'2021'!O13</f>
        <v>3090820.1</v>
      </c>
      <c r="O13" s="163">
        <f>'2021'!O87</f>
        <v>1996774.5784048268</v>
      </c>
      <c r="P13" s="164">
        <f t="shared" si="6"/>
        <v>1094045.5215951733</v>
      </c>
      <c r="Q13" s="166">
        <f t="shared" si="3"/>
        <v>0.54790637532514008</v>
      </c>
      <c r="R13" s="163">
        <f>'2020'!O13</f>
        <v>3946291.24</v>
      </c>
      <c r="S13" s="164">
        <f t="shared" si="4"/>
        <v>-855471.14000000013</v>
      </c>
      <c r="T13" s="166">
        <f t="shared" si="5"/>
        <v>-0.21677851125858616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'2021'!S14</f>
        <v>1306081.24</v>
      </c>
      <c r="H14" s="163">
        <f>SUM('2021'!G88:O88)</f>
        <v>1128031.9974546391</v>
      </c>
      <c r="I14" s="164">
        <f t="shared" si="0"/>
        <v>178049.24254536093</v>
      </c>
      <c r="J14" s="166">
        <f t="shared" si="1"/>
        <v>0.1578405957872846</v>
      </c>
      <c r="K14" s="163">
        <f>SUM('2020'!G14:O14)</f>
        <v>1092509.47</v>
      </c>
      <c r="L14" s="164">
        <f t="shared" si="7"/>
        <v>213571.77000000002</v>
      </c>
      <c r="M14" s="166">
        <f t="shared" si="2"/>
        <v>0.19548733980310495</v>
      </c>
      <c r="N14" s="163">
        <f>'2021'!O14</f>
        <v>186859.21</v>
      </c>
      <c r="O14" s="163">
        <f>'2021'!O88</f>
        <v>99547.758167691019</v>
      </c>
      <c r="P14" s="164">
        <f t="shared" si="6"/>
        <v>87311.451832308972</v>
      </c>
      <c r="Q14" s="166">
        <f t="shared" si="3"/>
        <v>0.8770810457150664</v>
      </c>
      <c r="R14" s="163">
        <f>'2020'!O14</f>
        <v>136583.79</v>
      </c>
      <c r="S14" s="164">
        <f t="shared" si="4"/>
        <v>50275.419999999984</v>
      </c>
      <c r="T14" s="166">
        <f t="shared" si="5"/>
        <v>0.36809214329167461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'2021'!S15</f>
        <v>493556109.44</v>
      </c>
      <c r="H15" s="163">
        <f>SUM('2021'!G89:O89)</f>
        <v>454847577.1782403</v>
      </c>
      <c r="I15" s="164">
        <f t="shared" si="0"/>
        <v>38708532.261759698</v>
      </c>
      <c r="J15" s="166">
        <f t="shared" si="1"/>
        <v>8.5102206110226453E-2</v>
      </c>
      <c r="K15" s="163">
        <f>SUM('2020'!G15:O15)</f>
        <v>388867550.09000003</v>
      </c>
      <c r="L15" s="164">
        <f t="shared" si="7"/>
        <v>104688559.34999996</v>
      </c>
      <c r="M15" s="166">
        <f t="shared" si="2"/>
        <v>0.26921392470462169</v>
      </c>
      <c r="N15" s="163">
        <f>'2021'!O15</f>
        <v>66021485.600000001</v>
      </c>
      <c r="O15" s="163">
        <f>'2021'!O89</f>
        <v>61478153.0051938</v>
      </c>
      <c r="P15" s="164">
        <f t="shared" si="6"/>
        <v>4543332.5948062018</v>
      </c>
      <c r="Q15" s="166">
        <f t="shared" si="3"/>
        <v>7.3901579223148994E-2</v>
      </c>
      <c r="R15" s="163">
        <f>'2020'!O15</f>
        <v>44008916.039999999</v>
      </c>
      <c r="S15" s="164">
        <f t="shared" si="4"/>
        <v>22012569.560000002</v>
      </c>
      <c r="T15" s="166">
        <f t="shared" si="5"/>
        <v>0.50018431583256051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'2021'!S16</f>
        <v>181545151.65999997</v>
      </c>
      <c r="H16" s="163">
        <f>SUM('2021'!G90:O90)</f>
        <v>176207099.51983941</v>
      </c>
      <c r="I16" s="164">
        <f t="shared" si="0"/>
        <v>5338052.1401605606</v>
      </c>
      <c r="J16" s="166">
        <f t="shared" si="1"/>
        <v>3.0294194471770064E-2</v>
      </c>
      <c r="K16" s="163">
        <f>SUM('2020'!G16:O16)</f>
        <v>152676294.86000001</v>
      </c>
      <c r="L16" s="164">
        <f t="shared" si="7"/>
        <v>28868856.799999952</v>
      </c>
      <c r="M16" s="166">
        <f t="shared" si="2"/>
        <v>0.18908539027929594</v>
      </c>
      <c r="N16" s="163">
        <f>'2021'!O16</f>
        <v>28556581.329999998</v>
      </c>
      <c r="O16" s="163">
        <f>'2021'!O90</f>
        <v>28530633.155062504</v>
      </c>
      <c r="P16" s="164">
        <f t="shared" si="6"/>
        <v>25948.174937494099</v>
      </c>
      <c r="Q16" s="166">
        <f t="shared" si="3"/>
        <v>9.0948472108798306E-4</v>
      </c>
      <c r="R16" s="163">
        <f>'2020'!O16</f>
        <v>19832898.530000001</v>
      </c>
      <c r="S16" s="164">
        <f t="shared" si="4"/>
        <v>8723682.799999997</v>
      </c>
      <c r="T16" s="166">
        <f t="shared" si="5"/>
        <v>0.43985919591149125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'2021'!S17</f>
        <v>20834357.139999997</v>
      </c>
      <c r="H17" s="163">
        <f>SUM('2021'!G91:O91)</f>
        <v>18826165.356375244</v>
      </c>
      <c r="I17" s="164">
        <f t="shared" si="0"/>
        <v>2008191.7836247534</v>
      </c>
      <c r="J17" s="166">
        <f t="shared" si="1"/>
        <v>0.106670250983677</v>
      </c>
      <c r="K17" s="163">
        <f>SUM('2020'!G17:O17)</f>
        <v>16857479.009999998</v>
      </c>
      <c r="L17" s="164">
        <f t="shared" si="7"/>
        <v>3976878.129999999</v>
      </c>
      <c r="M17" s="166">
        <f t="shared" si="2"/>
        <v>0.23591179485621083</v>
      </c>
      <c r="N17" s="163">
        <f>'2021'!O17</f>
        <v>2664634.4500000002</v>
      </c>
      <c r="O17" s="163">
        <f>'2021'!O91</f>
        <v>2187151.8456419916</v>
      </c>
      <c r="P17" s="164">
        <f t="shared" si="6"/>
        <v>477482.6043580086</v>
      </c>
      <c r="Q17" s="166">
        <f t="shared" si="3"/>
        <v>0.21831250779840294</v>
      </c>
      <c r="R17" s="163">
        <f>'2020'!O17</f>
        <v>1871913.59</v>
      </c>
      <c r="S17" s="164">
        <f t="shared" si="4"/>
        <v>792720.8600000001</v>
      </c>
      <c r="T17" s="166">
        <f t="shared" si="5"/>
        <v>0.42348154542753225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'2021'!S18</f>
        <v>8293764.6100000013</v>
      </c>
      <c r="H18" s="163">
        <f>SUM('2021'!G92:O92)</f>
        <v>8131780.0783117972</v>
      </c>
      <c r="I18" s="164">
        <f t="shared" si="0"/>
        <v>161984.53168820404</v>
      </c>
      <c r="J18" s="166">
        <f t="shared" si="1"/>
        <v>1.9919935134526279E-2</v>
      </c>
      <c r="K18" s="163">
        <f>SUM('2020'!G18:O18)</f>
        <v>7367400.3600000003</v>
      </c>
      <c r="L18" s="164">
        <f t="shared" si="7"/>
        <v>926364.25000000093</v>
      </c>
      <c r="M18" s="166">
        <f t="shared" si="2"/>
        <v>0.12573828008988519</v>
      </c>
      <c r="N18" s="163">
        <f>'2021'!O18</f>
        <v>1000141.28</v>
      </c>
      <c r="O18" s="163">
        <f>'2021'!O92</f>
        <v>1016526.9877097136</v>
      </c>
      <c r="P18" s="164">
        <f t="shared" si="6"/>
        <v>-16385.707709713606</v>
      </c>
      <c r="Q18" s="166">
        <f t="shared" si="3"/>
        <v>-1.6119304167842574E-2</v>
      </c>
      <c r="R18" s="163">
        <f>'2020'!O18</f>
        <v>929528.57</v>
      </c>
      <c r="S18" s="164">
        <f t="shared" si="4"/>
        <v>70612.710000000079</v>
      </c>
      <c r="T18" s="166">
        <f t="shared" si="5"/>
        <v>7.5966153466374919E-2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'2021'!S19</f>
        <v>376336390.82999998</v>
      </c>
      <c r="H19" s="169">
        <f>SUM('2021'!G93:O93)</f>
        <v>391957667.49927634</v>
      </c>
      <c r="I19" s="170">
        <f t="shared" si="0"/>
        <v>-15621276.669276357</v>
      </c>
      <c r="J19" s="172">
        <f t="shared" si="1"/>
        <v>-3.9854499515066144E-2</v>
      </c>
      <c r="K19" s="169">
        <f>SUM('2020'!G19:O19)</f>
        <v>359840727.81999999</v>
      </c>
      <c r="L19" s="170">
        <f t="shared" si="7"/>
        <v>16495663.00999999</v>
      </c>
      <c r="M19" s="172">
        <f t="shared" si="2"/>
        <v>4.5841567489968815E-2</v>
      </c>
      <c r="N19" s="169">
        <f>'2021'!O19</f>
        <v>47503080.450000003</v>
      </c>
      <c r="O19" s="169">
        <f>'2021'!O93</f>
        <v>47350397.796793722</v>
      </c>
      <c r="P19" s="170">
        <f t="shared" si="6"/>
        <v>152682.65320628136</v>
      </c>
      <c r="Q19" s="172">
        <f t="shared" si="3"/>
        <v>3.2245273600768343E-3</v>
      </c>
      <c r="R19" s="169">
        <f>'2020'!O19</f>
        <v>42439853.439999998</v>
      </c>
      <c r="S19" s="170">
        <f t="shared" si="4"/>
        <v>5063227.0100000054</v>
      </c>
      <c r="T19" s="172">
        <f t="shared" si="5"/>
        <v>0.11930359319355843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'2021'!S20</f>
        <v>232181157.38000003</v>
      </c>
      <c r="H20" s="163">
        <f>SUM('2021'!G94:O94)</f>
        <v>240685756.59929746</v>
      </c>
      <c r="I20" s="164">
        <f t="shared" si="0"/>
        <v>-8504599.2192974389</v>
      </c>
      <c r="J20" s="166">
        <f t="shared" si="1"/>
        <v>-3.5334867087528643E-2</v>
      </c>
      <c r="K20" s="163">
        <f>SUM('2020'!G20:O20)</f>
        <v>223660686.28999999</v>
      </c>
      <c r="L20" s="164">
        <f t="shared" si="7"/>
        <v>8520471.0900000334</v>
      </c>
      <c r="M20" s="166">
        <f t="shared" si="2"/>
        <v>3.8095524212745868E-2</v>
      </c>
      <c r="N20" s="163">
        <f>'2021'!O20</f>
        <v>29243345.5</v>
      </c>
      <c r="O20" s="163">
        <f>'2021'!O94</f>
        <v>29909657.816668883</v>
      </c>
      <c r="P20" s="164">
        <f t="shared" si="6"/>
        <v>-666312.31666888297</v>
      </c>
      <c r="Q20" s="166">
        <f t="shared" si="3"/>
        <v>-2.2277497146675596E-2</v>
      </c>
      <c r="R20" s="163">
        <f>'2020'!O20</f>
        <v>26148502.84</v>
      </c>
      <c r="S20" s="164">
        <f t="shared" si="4"/>
        <v>3094842.66</v>
      </c>
      <c r="T20" s="166">
        <f t="shared" si="5"/>
        <v>0.11835639994140479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'2021'!S21</f>
        <v>123513506.99000001</v>
      </c>
      <c r="H21" s="163">
        <f>SUM('2021'!G95:O95)</f>
        <v>129589567.11945789</v>
      </c>
      <c r="I21" s="164">
        <f t="shared" si="0"/>
        <v>-6076060.1294578761</v>
      </c>
      <c r="J21" s="166">
        <f t="shared" si="1"/>
        <v>-4.6886954440220174E-2</v>
      </c>
      <c r="K21" s="163">
        <f>SUM('2020'!G21:O21)</f>
        <v>116602557.88</v>
      </c>
      <c r="L21" s="164">
        <f t="shared" si="7"/>
        <v>6910949.1100000143</v>
      </c>
      <c r="M21" s="166">
        <f t="shared" si="2"/>
        <v>5.9269275354253637E-2</v>
      </c>
      <c r="N21" s="163">
        <f>'2021'!O21</f>
        <v>15676970.460000001</v>
      </c>
      <c r="O21" s="163">
        <f>'2021'!O95</f>
        <v>14769394.052825982</v>
      </c>
      <c r="P21" s="164">
        <f t="shared" si="6"/>
        <v>907576.40717401914</v>
      </c>
      <c r="Q21" s="166">
        <f t="shared" si="3"/>
        <v>6.1449806534233709E-2</v>
      </c>
      <c r="R21" s="163">
        <f>'2020'!O21</f>
        <v>14002830.41</v>
      </c>
      <c r="S21" s="164">
        <f t="shared" si="4"/>
        <v>1674140.0500000007</v>
      </c>
      <c r="T21" s="166">
        <f t="shared" si="5"/>
        <v>0.11955726099520758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'2021'!S22</f>
        <v>11173917.140000001</v>
      </c>
      <c r="H22" s="163">
        <f>SUM('2021'!G96:O96)</f>
        <v>11736152.559272366</v>
      </c>
      <c r="I22" s="164">
        <f t="shared" si="0"/>
        <v>-562235.41927236505</v>
      </c>
      <c r="J22" s="166">
        <f t="shared" si="1"/>
        <v>-4.7906280736625284E-2</v>
      </c>
      <c r="K22" s="163">
        <f>SUM('2020'!G22:O22)</f>
        <v>10616496.130000003</v>
      </c>
      <c r="L22" s="164">
        <f t="shared" si="7"/>
        <v>557421.00999999791</v>
      </c>
      <c r="M22" s="166">
        <f t="shared" si="2"/>
        <v>5.2505177148310045E-2</v>
      </c>
      <c r="N22" s="163">
        <f>'2021'!O22</f>
        <v>1381018.38</v>
      </c>
      <c r="O22" s="163">
        <f>'2021'!O96</f>
        <v>1466444.6919858432</v>
      </c>
      <c r="P22" s="164">
        <f t="shared" si="6"/>
        <v>-85426.311985843349</v>
      </c>
      <c r="Q22" s="166">
        <f t="shared" si="3"/>
        <v>-5.8254029253677508E-2</v>
      </c>
      <c r="R22" s="163">
        <f>'2020'!O22</f>
        <v>1223746.3700000001</v>
      </c>
      <c r="S22" s="164">
        <f t="shared" si="4"/>
        <v>157272.00999999978</v>
      </c>
      <c r="T22" s="166">
        <f t="shared" si="5"/>
        <v>0.12851683474247988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'2021'!S23</f>
        <v>9467809.3200000003</v>
      </c>
      <c r="H23" s="163">
        <f>SUM('2021'!G97:O97)</f>
        <v>9946191.2212486565</v>
      </c>
      <c r="I23" s="164">
        <f t="shared" si="0"/>
        <v>-478381.90124865621</v>
      </c>
      <c r="J23" s="166">
        <f t="shared" si="1"/>
        <v>-4.8096994176691443E-2</v>
      </c>
      <c r="K23" s="163">
        <f>SUM('2020'!G23:O23)</f>
        <v>8960987.5199999996</v>
      </c>
      <c r="L23" s="164">
        <f t="shared" si="7"/>
        <v>506821.80000000075</v>
      </c>
      <c r="M23" s="166">
        <f t="shared" si="2"/>
        <v>5.6558699459052564E-2</v>
      </c>
      <c r="N23" s="163">
        <f>'2021'!O23</f>
        <v>1201746.1100000001</v>
      </c>
      <c r="O23" s="163">
        <f>'2021'!O97</f>
        <v>1204901.235313016</v>
      </c>
      <c r="P23" s="164">
        <f t="shared" si="6"/>
        <v>-3155.1253130158875</v>
      </c>
      <c r="Q23" s="166">
        <f t="shared" si="3"/>
        <v>-2.618575880367735E-3</v>
      </c>
      <c r="R23" s="163">
        <f>'2020'!O23</f>
        <v>1064773.82</v>
      </c>
      <c r="S23" s="164">
        <f t="shared" si="4"/>
        <v>136972.29000000004</v>
      </c>
      <c r="T23" s="166">
        <f t="shared" si="5"/>
        <v>0.12863979882600796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'2021'!S24</f>
        <v>9304436.4100000001</v>
      </c>
      <c r="H24" s="175">
        <f>SUM('2021'!G98:O98)</f>
        <v>9779515.7485937327</v>
      </c>
      <c r="I24" s="176">
        <f t="shared" si="0"/>
        <v>-475079.33859373257</v>
      </c>
      <c r="J24" s="178">
        <f t="shared" si="1"/>
        <v>-4.8579024852232311E-2</v>
      </c>
      <c r="K24" s="175">
        <f>SUM('2020'!G24:O24)</f>
        <v>7445659.7199999997</v>
      </c>
      <c r="L24" s="176">
        <f t="shared" si="7"/>
        <v>1858776.6900000004</v>
      </c>
      <c r="M24" s="178">
        <f t="shared" si="2"/>
        <v>0.24964566739560867</v>
      </c>
      <c r="N24" s="175">
        <f>'2021'!O24</f>
        <v>1238779.54</v>
      </c>
      <c r="O24" s="175">
        <f>'2021'!O98</f>
        <v>1287945.220314126</v>
      </c>
      <c r="P24" s="176">
        <f t="shared" si="6"/>
        <v>-49165.680314125959</v>
      </c>
      <c r="Q24" s="178">
        <f t="shared" si="3"/>
        <v>-3.8173735605101733E-2</v>
      </c>
      <c r="R24" s="175">
        <f>'2020'!O24</f>
        <v>1210136.0899999999</v>
      </c>
      <c r="S24" s="176">
        <f t="shared" si="4"/>
        <v>28643.450000000186</v>
      </c>
      <c r="T24" s="178">
        <f t="shared" si="5"/>
        <v>2.3669610580740796E-2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'2021'!S25</f>
        <v>29180509.689999998</v>
      </c>
      <c r="H25" s="175">
        <f>SUM('2021'!G99:O99)</f>
        <v>24908660.482447717</v>
      </c>
      <c r="I25" s="176">
        <f t="shared" si="0"/>
        <v>4271849.2075522803</v>
      </c>
      <c r="J25" s="178">
        <f t="shared" si="1"/>
        <v>0.17150055943644604</v>
      </c>
      <c r="K25" s="175">
        <f>SUM('2020'!G25:O25)</f>
        <v>19024131.440000001</v>
      </c>
      <c r="L25" s="176">
        <f t="shared" si="7"/>
        <v>10156378.249999996</v>
      </c>
      <c r="M25" s="178">
        <f t="shared" si="2"/>
        <v>0.53386817064590231</v>
      </c>
      <c r="N25" s="175">
        <f>'2021'!O25</f>
        <v>3922721.92</v>
      </c>
      <c r="O25" s="175">
        <f>'2021'!O99</f>
        <v>4917603.3211925691</v>
      </c>
      <c r="P25" s="176">
        <f t="shared" si="6"/>
        <v>-994881.40119256917</v>
      </c>
      <c r="Q25" s="178">
        <f t="shared" si="3"/>
        <v>-0.20231021825308604</v>
      </c>
      <c r="R25" s="175">
        <f>'2020'!O25</f>
        <v>2242559.5</v>
      </c>
      <c r="S25" s="176">
        <f t="shared" si="4"/>
        <v>1680162.42</v>
      </c>
      <c r="T25" s="178">
        <f t="shared" si="5"/>
        <v>0.74921642881716188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'2021'!S26</f>
        <v>46776383.399999999</v>
      </c>
      <c r="H26" s="175">
        <f>SUM('2021'!G100:O100)</f>
        <v>58907245.096870333</v>
      </c>
      <c r="I26" s="176">
        <f t="shared" si="0"/>
        <v>-12130861.696870334</v>
      </c>
      <c r="J26" s="178">
        <f t="shared" si="1"/>
        <v>-0.20593157389930006</v>
      </c>
      <c r="K26" s="175">
        <f>SUM('2020'!G26:O26)</f>
        <v>30357511.199999996</v>
      </c>
      <c r="L26" s="176">
        <f t="shared" si="7"/>
        <v>16418872.200000003</v>
      </c>
      <c r="M26" s="178">
        <f t="shared" si="2"/>
        <v>0.54085040410032059</v>
      </c>
      <c r="N26" s="175">
        <f>'2021'!O26</f>
        <v>1871519.69</v>
      </c>
      <c r="O26" s="175">
        <f>'2021'!O100</f>
        <v>1839149.1255743168</v>
      </c>
      <c r="P26" s="176">
        <f t="shared" si="6"/>
        <v>32370.564425683115</v>
      </c>
      <c r="Q26" s="178">
        <f t="shared" si="3"/>
        <v>1.7600837243458844E-2</v>
      </c>
      <c r="R26" s="175">
        <f>'2020'!O26</f>
        <v>11550447.479999999</v>
      </c>
      <c r="S26" s="176">
        <f t="shared" si="4"/>
        <v>-9678927.7899999991</v>
      </c>
      <c r="T26" s="178">
        <f t="shared" si="5"/>
        <v>-0.83796994071090314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'2021'!S27</f>
        <v>5902964.8300000001</v>
      </c>
      <c r="H27" s="175">
        <f>SUM('2021'!G101:O101)</f>
        <v>5385566.8718645815</v>
      </c>
      <c r="I27" s="176">
        <f t="shared" si="0"/>
        <v>517397.95813541859</v>
      </c>
      <c r="J27" s="178">
        <f t="shared" si="1"/>
        <v>9.607121598255941E-2</v>
      </c>
      <c r="K27" s="175">
        <f>SUM('2020'!G27:O27)</f>
        <v>4952900.55</v>
      </c>
      <c r="L27" s="176">
        <f t="shared" si="7"/>
        <v>950064.28000000026</v>
      </c>
      <c r="M27" s="178">
        <f t="shared" si="2"/>
        <v>0.19181977720105858</v>
      </c>
      <c r="N27" s="175">
        <f>'2021'!O27</f>
        <v>261920.15</v>
      </c>
      <c r="O27" s="175">
        <f>'2021'!O101</f>
        <v>211530.08298020152</v>
      </c>
      <c r="P27" s="176">
        <f t="shared" si="6"/>
        <v>50390.067019798473</v>
      </c>
      <c r="Q27" s="178">
        <f t="shared" si="3"/>
        <v>0.23821702478372697</v>
      </c>
      <c r="R27" s="175">
        <f>'2020'!O27</f>
        <v>139421.26999999999</v>
      </c>
      <c r="S27" s="176">
        <f t="shared" si="4"/>
        <v>122498.88</v>
      </c>
      <c r="T27" s="178">
        <f t="shared" si="5"/>
        <v>0.87862404351932821</v>
      </c>
    </row>
    <row r="28" spans="1:20" ht="15.7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'2021'!S28</f>
        <v>15717659</v>
      </c>
      <c r="H28" s="175">
        <f>SUM('2021'!G102:O102)</f>
        <v>31172185.913472705</v>
      </c>
      <c r="I28" s="176">
        <f t="shared" si="0"/>
        <v>-15454526.913472705</v>
      </c>
      <c r="J28" s="178">
        <f t="shared" si="1"/>
        <v>-0.49577937705014186</v>
      </c>
      <c r="K28" s="175">
        <f>SUM('2020'!G28:O28)</f>
        <v>21095790.25</v>
      </c>
      <c r="L28" s="176">
        <f t="shared" si="7"/>
        <v>-5378131.25</v>
      </c>
      <c r="M28" s="178">
        <f t="shared" si="2"/>
        <v>-0.25493860084241216</v>
      </c>
      <c r="N28" s="175">
        <f>'2021'!O28</f>
        <v>4427085.24</v>
      </c>
      <c r="O28" s="175">
        <f>'2021'!O102</f>
        <v>4688600.2554550832</v>
      </c>
      <c r="P28" s="176">
        <f t="shared" si="6"/>
        <v>-261515.01545508299</v>
      </c>
      <c r="Q28" s="178">
        <f t="shared" si="3"/>
        <v>-5.5776777973514768E-2</v>
      </c>
      <c r="R28" s="175">
        <f>'2020'!O28</f>
        <v>4226201.38</v>
      </c>
      <c r="S28" s="176">
        <f t="shared" si="4"/>
        <v>200883.86000000034</v>
      </c>
      <c r="T28" s="178">
        <f t="shared" si="5"/>
        <v>4.7532959728483259E-2</v>
      </c>
    </row>
    <row r="29" spans="1:20" ht="15.7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'2021'!S29</f>
        <v>1409205724.49</v>
      </c>
      <c r="H29" s="151">
        <f>SUM('2021'!G103:O103)</f>
        <v>1510697120.9699409</v>
      </c>
      <c r="I29" s="152">
        <f t="shared" si="0"/>
        <v>-101491396.47994089</v>
      </c>
      <c r="J29" s="154">
        <f t="shared" si="1"/>
        <v>-6.7181829548187966E-2</v>
      </c>
      <c r="K29" s="151">
        <f>SUM('2020'!G29:O29)</f>
        <v>1498854861.4799998</v>
      </c>
      <c r="L29" s="152">
        <f t="shared" si="7"/>
        <v>-89649136.989999771</v>
      </c>
      <c r="M29" s="154">
        <f t="shared" si="2"/>
        <v>-5.9811753154990877E-2</v>
      </c>
      <c r="N29" s="151">
        <f>'2021'!O29</f>
        <v>178840676.53</v>
      </c>
      <c r="O29" s="151">
        <f>'2021'!O103</f>
        <v>160175734.16545662</v>
      </c>
      <c r="P29" s="152">
        <f t="shared" si="6"/>
        <v>18664942.364543378</v>
      </c>
      <c r="Q29" s="154">
        <f t="shared" si="3"/>
        <v>0.11652790269257052</v>
      </c>
      <c r="R29" s="151">
        <f>'2020'!O29</f>
        <v>164193110.59</v>
      </c>
      <c r="S29" s="152">
        <f t="shared" si="4"/>
        <v>14647565.939999998</v>
      </c>
      <c r="T29" s="154">
        <f t="shared" si="5"/>
        <v>8.9209382095061462E-2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'2021'!S30</f>
        <v>611493582.08000004</v>
      </c>
      <c r="H30" s="313">
        <f>SUM('2021'!G104:O104)</f>
        <v>647723601.16324115</v>
      </c>
      <c r="I30" s="188">
        <f t="shared" si="0"/>
        <v>-36230019.083241105</v>
      </c>
      <c r="J30" s="190">
        <f t="shared" si="1"/>
        <v>-5.5934381606870476E-2</v>
      </c>
      <c r="K30" s="313">
        <f>SUM('2020'!G30:O30)</f>
        <v>611379285.63999999</v>
      </c>
      <c r="L30" s="188">
        <f t="shared" si="7"/>
        <v>114296.44000005722</v>
      </c>
      <c r="M30" s="190">
        <f t="shared" si="2"/>
        <v>1.8694849937617164E-4</v>
      </c>
      <c r="N30" s="313">
        <f>'2021'!O30</f>
        <v>78428647.819999993</v>
      </c>
      <c r="O30" s="313">
        <f>'2021'!O104</f>
        <v>62614510.347689942</v>
      </c>
      <c r="P30" s="188">
        <f t="shared" si="6"/>
        <v>15814137.472310051</v>
      </c>
      <c r="Q30" s="190">
        <f t="shared" si="3"/>
        <v>0.25256346148035447</v>
      </c>
      <c r="R30" s="313">
        <f>'2020'!O30</f>
        <v>62395523.909999996</v>
      </c>
      <c r="S30" s="188">
        <f t="shared" si="4"/>
        <v>16033123.909999996</v>
      </c>
      <c r="T30" s="190">
        <f t="shared" si="5"/>
        <v>0.25695952057596871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'2021'!S31</f>
        <v>400951486.75</v>
      </c>
      <c r="H31" s="163">
        <f>SUM('2021'!G105:O105)</f>
        <v>397384466.41460001</v>
      </c>
      <c r="I31" s="164">
        <f t="shared" si="0"/>
        <v>3567020.3353999853</v>
      </c>
      <c r="J31" s="166">
        <f t="shared" si="1"/>
        <v>8.9762450142638617E-3</v>
      </c>
      <c r="K31" s="163">
        <f>SUM('2020'!G31:O31)</f>
        <v>370997213.16999996</v>
      </c>
      <c r="L31" s="164">
        <f t="shared" si="7"/>
        <v>29954273.580000043</v>
      </c>
      <c r="M31" s="166">
        <f t="shared" si="2"/>
        <v>8.0739888378283498E-2</v>
      </c>
      <c r="N31" s="163">
        <f>'2021'!O31</f>
        <v>43464882.57</v>
      </c>
      <c r="O31" s="163">
        <f>'2021'!O105</f>
        <v>41853667.688466668</v>
      </c>
      <c r="P31" s="164">
        <f>+N31-O31</f>
        <v>1611214.8815333322</v>
      </c>
      <c r="Q31" s="166">
        <f>IF(+IF(ISERROR(N31/O31),"…",N31/O31-1)&gt;200%,"...",IF(ISERROR(N31/O31),"…",N31/O31-1))</f>
        <v>3.8496384439381526E-2</v>
      </c>
      <c r="R31" s="163">
        <f>'2020'!O31</f>
        <v>40276343.780000001</v>
      </c>
      <c r="S31" s="164">
        <f t="shared" si="4"/>
        <v>3188538.7899999991</v>
      </c>
      <c r="T31" s="166">
        <f t="shared" si="5"/>
        <v>7.9166540225613202E-2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'2021'!S32</f>
        <v>6951816.6499999994</v>
      </c>
      <c r="H32" s="163">
        <f>SUM('2021'!G106:O106)</f>
        <v>9523450.5019999985</v>
      </c>
      <c r="I32" s="164">
        <f t="shared" si="0"/>
        <v>-2571633.851999999</v>
      </c>
      <c r="J32" s="166">
        <f t="shared" si="1"/>
        <v>-0.27003173392458291</v>
      </c>
      <c r="K32" s="163">
        <f>SUM('2020'!G32:O32)</f>
        <v>8426408.7899999991</v>
      </c>
      <c r="L32" s="164">
        <f t="shared" si="7"/>
        <v>-1474592.1399999997</v>
      </c>
      <c r="M32" s="166">
        <f t="shared" si="2"/>
        <v>-0.17499651117685688</v>
      </c>
      <c r="N32" s="163">
        <f>'2021'!O32</f>
        <v>915237.68</v>
      </c>
      <c r="O32" s="163">
        <f>'2021'!O106</f>
        <v>992187.80600000045</v>
      </c>
      <c r="P32" s="164">
        <f t="shared" si="6"/>
        <v>-76950.126000000397</v>
      </c>
      <c r="Q32" s="166">
        <f t="shared" si="3"/>
        <v>-7.7556008584931502E-2</v>
      </c>
      <c r="R32" s="163">
        <f>'2020'!O32</f>
        <v>1121276.3999999999</v>
      </c>
      <c r="S32" s="164">
        <f t="shared" si="4"/>
        <v>-206038.71999999986</v>
      </c>
      <c r="T32" s="166">
        <f t="shared" si="5"/>
        <v>-0.18375372923214994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'2021'!S33</f>
        <v>19445674.460000001</v>
      </c>
      <c r="H33" s="163">
        <f>SUM('2021'!G107:O107)</f>
        <v>25845710.027649999</v>
      </c>
      <c r="I33" s="164">
        <f t="shared" si="0"/>
        <v>-6400035.5676499978</v>
      </c>
      <c r="J33" s="166">
        <f t="shared" si="1"/>
        <v>-0.24762467584768133</v>
      </c>
      <c r="K33" s="163">
        <f>SUM('2020'!G33:O33)</f>
        <v>23248131.900000002</v>
      </c>
      <c r="L33" s="164">
        <f t="shared" si="7"/>
        <v>-3802457.4400000013</v>
      </c>
      <c r="M33" s="166">
        <f t="shared" si="2"/>
        <v>-0.1635596983170936</v>
      </c>
      <c r="N33" s="163">
        <f>'2021'!O33</f>
        <v>2484333.92</v>
      </c>
      <c r="O33" s="163">
        <f>'2021'!O107</f>
        <v>2038155.2507833347</v>
      </c>
      <c r="P33" s="164">
        <f t="shared" si="6"/>
        <v>446178.66921666521</v>
      </c>
      <c r="Q33" s="166">
        <f t="shared" si="3"/>
        <v>0.21891299450578305</v>
      </c>
      <c r="R33" s="163">
        <f>'2020'!O33</f>
        <v>2503728.25</v>
      </c>
      <c r="S33" s="164">
        <f t="shared" si="4"/>
        <v>-19394.330000000075</v>
      </c>
      <c r="T33" s="166">
        <f t="shared" si="5"/>
        <v>-7.7461801215846782E-3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'2021'!S34</f>
        <v>37615475.609999999</v>
      </c>
      <c r="H34" s="163">
        <f>SUM('2021'!G108:O108)</f>
        <v>49426750.295850001</v>
      </c>
      <c r="I34" s="164">
        <f t="shared" si="0"/>
        <v>-11811274.685850002</v>
      </c>
      <c r="J34" s="166">
        <f t="shared" si="1"/>
        <v>-0.23896522864950942</v>
      </c>
      <c r="K34" s="163">
        <f>SUM('2020'!G34:O34)</f>
        <v>51704886.579999998</v>
      </c>
      <c r="L34" s="164">
        <f t="shared" si="7"/>
        <v>-14089410.969999999</v>
      </c>
      <c r="M34" s="166">
        <f t="shared" si="2"/>
        <v>-0.2724967000594859</v>
      </c>
      <c r="N34" s="163">
        <f>'2021'!O34</f>
        <v>4951821.0199999996</v>
      </c>
      <c r="O34" s="163">
        <f>'2021'!O108</f>
        <v>4439703.7447166666</v>
      </c>
      <c r="P34" s="164">
        <f t="shared" si="6"/>
        <v>512117.27528333291</v>
      </c>
      <c r="Q34" s="166">
        <f t="shared" si="3"/>
        <v>0.11534942526126035</v>
      </c>
      <c r="R34" s="163">
        <f>'2020'!O34</f>
        <v>5316393.49</v>
      </c>
      <c r="S34" s="164">
        <f t="shared" si="4"/>
        <v>-364572.47000000067</v>
      </c>
      <c r="T34" s="166">
        <f t="shared" si="5"/>
        <v>-6.8575147924199387E-2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'2021'!S35</f>
        <v>13410729.390000001</v>
      </c>
      <c r="H35" s="163">
        <f>SUM('2021'!G109:O109)</f>
        <v>17105574.433650002</v>
      </c>
      <c r="I35" s="164">
        <f t="shared" si="0"/>
        <v>-3694845.0436500013</v>
      </c>
      <c r="J35" s="166">
        <f t="shared" si="1"/>
        <v>-0.21600239489072759</v>
      </c>
      <c r="K35" s="163">
        <f>SUM('2020'!G35:O35)</f>
        <v>15759451.920000002</v>
      </c>
      <c r="L35" s="164">
        <f t="shared" si="7"/>
        <v>-2348722.5300000012</v>
      </c>
      <c r="M35" s="166">
        <f t="shared" si="2"/>
        <v>-0.14903580035161534</v>
      </c>
      <c r="N35" s="163">
        <f>'2021'!O35</f>
        <v>2494776.16</v>
      </c>
      <c r="O35" s="163">
        <f>'2021'!O109</f>
        <v>2078633.2887833335</v>
      </c>
      <c r="P35" s="164">
        <f t="shared" si="6"/>
        <v>416142.87121666665</v>
      </c>
      <c r="Q35" s="166">
        <f t="shared" si="3"/>
        <v>0.20020023419342214</v>
      </c>
      <c r="R35" s="163">
        <f>'2020'!O35</f>
        <v>2793256.25</v>
      </c>
      <c r="S35" s="164">
        <f t="shared" si="4"/>
        <v>-298480.08999999985</v>
      </c>
      <c r="T35" s="166">
        <f t="shared" si="5"/>
        <v>-0.10685739627361435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'2021'!S36</f>
        <v>78811018.110000014</v>
      </c>
      <c r="H36" s="163">
        <f>SUM('2021'!G110:O110)</f>
        <v>70018561.132641032</v>
      </c>
      <c r="I36" s="164">
        <f t="shared" si="0"/>
        <v>8792456.977358982</v>
      </c>
      <c r="J36" s="166">
        <f t="shared" si="1"/>
        <v>0.12557323137079068</v>
      </c>
      <c r="K36" s="163">
        <f>SUM('2020'!G36:O36)</f>
        <v>77699396.940000013</v>
      </c>
      <c r="L36" s="164">
        <f t="shared" si="7"/>
        <v>1111621.1700000018</v>
      </c>
      <c r="M36" s="166">
        <f t="shared" si="2"/>
        <v>1.4306689804277406E-2</v>
      </c>
      <c r="N36" s="163">
        <f>'2021'!O36</f>
        <v>14251047.82</v>
      </c>
      <c r="O36" s="163">
        <f>'2021'!O110</f>
        <v>1666339.3212232694</v>
      </c>
      <c r="P36" s="164">
        <f t="shared" si="6"/>
        <v>12584708.49877673</v>
      </c>
      <c r="Q36" s="166" t="str">
        <f t="shared" si="3"/>
        <v>...</v>
      </c>
      <c r="R36" s="163">
        <f>'2020'!O36</f>
        <v>1552435.29</v>
      </c>
      <c r="S36" s="164">
        <f t="shared" si="4"/>
        <v>12698612.530000001</v>
      </c>
      <c r="T36" s="166" t="str">
        <f t="shared" si="5"/>
        <v>...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'2021'!S37</f>
        <v>6896387.8600000013</v>
      </c>
      <c r="H37" s="163">
        <f>SUM('2021'!G111:O111)</f>
        <v>7882184.8513500011</v>
      </c>
      <c r="I37" s="164">
        <f t="shared" si="0"/>
        <v>-985796.99134999979</v>
      </c>
      <c r="J37" s="166">
        <f t="shared" si="1"/>
        <v>-0.12506646443100866</v>
      </c>
      <c r="K37" s="163">
        <f>SUM('2020'!G37:O37)</f>
        <v>7542112.04</v>
      </c>
      <c r="L37" s="164">
        <f t="shared" si="7"/>
        <v>-645724.17999999877</v>
      </c>
      <c r="M37" s="166">
        <f t="shared" si="2"/>
        <v>-8.5615829700668167E-2</v>
      </c>
      <c r="N37" s="163">
        <f>'2021'!O37</f>
        <v>1289567.81</v>
      </c>
      <c r="O37" s="163">
        <f>'2021'!O111</f>
        <v>997721.26954999997</v>
      </c>
      <c r="P37" s="164">
        <f t="shared" si="6"/>
        <v>291846.54045000009</v>
      </c>
      <c r="Q37" s="166">
        <f t="shared" si="3"/>
        <v>0.29251309895561417</v>
      </c>
      <c r="R37" s="163">
        <f>'2020'!O37</f>
        <v>769460.79</v>
      </c>
      <c r="S37" s="164">
        <f t="shared" si="4"/>
        <v>520107.02</v>
      </c>
      <c r="T37" s="166">
        <f t="shared" si="5"/>
        <v>0.6759370025859277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'2021'!S38</f>
        <v>25345693.82</v>
      </c>
      <c r="H38" s="163">
        <f>SUM('2021'!G112:O112)</f>
        <v>36853709.152400002</v>
      </c>
      <c r="I38" s="164">
        <f t="shared" si="0"/>
        <v>-11508015.332400002</v>
      </c>
      <c r="J38" s="166">
        <f t="shared" si="1"/>
        <v>-0.3122620652594631</v>
      </c>
      <c r="K38" s="163">
        <f>SUM('2020'!G38:O38)</f>
        <v>22380520.710000001</v>
      </c>
      <c r="L38" s="164">
        <f t="shared" si="7"/>
        <v>2965173.1099999994</v>
      </c>
      <c r="M38" s="166">
        <f t="shared" si="2"/>
        <v>0.13248901347836428</v>
      </c>
      <c r="N38" s="163">
        <f>'2021'!O38</f>
        <v>5015730.92</v>
      </c>
      <c r="O38" s="163">
        <f>'2021'!O112</f>
        <v>4639246.2625333332</v>
      </c>
      <c r="P38" s="164">
        <f t="shared" si="6"/>
        <v>376484.65746666677</v>
      </c>
      <c r="Q38" s="166">
        <f t="shared" si="3"/>
        <v>8.1152117426308346E-2</v>
      </c>
      <c r="R38" s="163">
        <f>'2020'!O38</f>
        <v>4969212.8</v>
      </c>
      <c r="S38" s="164">
        <f t="shared" si="4"/>
        <v>46518.120000000112</v>
      </c>
      <c r="T38" s="166">
        <f t="shared" si="5"/>
        <v>9.3612654302106524E-3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'2021'!S39</f>
        <v>22065299.43</v>
      </c>
      <c r="H39" s="163">
        <f>SUM('2021'!G113:O113)</f>
        <v>33683194.353099994</v>
      </c>
      <c r="I39" s="164">
        <f t="shared" si="0"/>
        <v>-11617894.923099995</v>
      </c>
      <c r="J39" s="166">
        <f t="shared" si="1"/>
        <v>-0.34491666085199413</v>
      </c>
      <c r="K39" s="163">
        <f>SUM('2020'!G39:O39)</f>
        <v>33621163.590000004</v>
      </c>
      <c r="L39" s="164">
        <f t="shared" si="7"/>
        <v>-11555864.160000004</v>
      </c>
      <c r="M39" s="166">
        <f t="shared" si="2"/>
        <v>-0.34370803761940838</v>
      </c>
      <c r="N39" s="163">
        <f>'2021'!O39</f>
        <v>3561249.92</v>
      </c>
      <c r="O39" s="163">
        <f>'2021'!O113</f>
        <v>3908855.7156333341</v>
      </c>
      <c r="P39" s="164">
        <f t="shared" si="6"/>
        <v>-347605.7956333342</v>
      </c>
      <c r="Q39" s="166">
        <f t="shared" si="3"/>
        <v>-8.8927763243625724E-2</v>
      </c>
      <c r="R39" s="163">
        <f>'2020'!O39</f>
        <v>3093416.86</v>
      </c>
      <c r="S39" s="164">
        <f t="shared" si="4"/>
        <v>467833.06000000006</v>
      </c>
      <c r="T39" s="166">
        <f t="shared" si="5"/>
        <v>0.15123505210351773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'2021'!S40</f>
        <v>422331123.44999987</v>
      </c>
      <c r="H40" s="193">
        <f>SUM('2021'!G114:O114)</f>
        <v>427410055.42534995</v>
      </c>
      <c r="I40" s="194">
        <f t="shared" si="0"/>
        <v>-5078931.9753500819</v>
      </c>
      <c r="J40" s="196">
        <f t="shared" si="1"/>
        <v>-1.188304278497998E-2</v>
      </c>
      <c r="K40" s="193">
        <f>SUM('2020'!G40:O40)</f>
        <v>415153764.10999995</v>
      </c>
      <c r="L40" s="194">
        <f t="shared" si="7"/>
        <v>7177359.3399999142</v>
      </c>
      <c r="M40" s="196">
        <f t="shared" si="2"/>
        <v>1.7288436142176344E-2</v>
      </c>
      <c r="N40" s="193">
        <f>'2021'!O40</f>
        <v>47346058.890000001</v>
      </c>
      <c r="O40" s="193">
        <f>'2021'!O114</f>
        <v>48529569.028216675</v>
      </c>
      <c r="P40" s="194">
        <f t="shared" si="6"/>
        <v>-1183510.1382166743</v>
      </c>
      <c r="Q40" s="196">
        <f t="shared" si="3"/>
        <v>-2.4387402606615871E-2</v>
      </c>
      <c r="R40" s="193">
        <f>'2020'!O40</f>
        <v>46669298.210000001</v>
      </c>
      <c r="S40" s="194">
        <f t="shared" si="4"/>
        <v>676760.6799999997</v>
      </c>
      <c r="T40" s="196">
        <f t="shared" si="5"/>
        <v>1.4501196845831066E-2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'2021'!S41</f>
        <v>60873295.140000001</v>
      </c>
      <c r="H41" s="163">
        <f>SUM('2021'!G115:O115)</f>
        <v>61185440.640000001</v>
      </c>
      <c r="I41" s="164">
        <f t="shared" si="0"/>
        <v>-312145.5</v>
      </c>
      <c r="J41" s="166">
        <f t="shared" si="1"/>
        <v>-5.1016303345200464E-3</v>
      </c>
      <c r="K41" s="163">
        <f>SUM('2020'!G41:O41)</f>
        <v>59597303.350000001</v>
      </c>
      <c r="L41" s="164">
        <f t="shared" si="7"/>
        <v>1275991.7899999991</v>
      </c>
      <c r="M41" s="166">
        <f t="shared" si="2"/>
        <v>2.1410226944437838E-2</v>
      </c>
      <c r="N41" s="163">
        <f>'2021'!O41</f>
        <v>7012911.9400000004</v>
      </c>
      <c r="O41" s="163">
        <f>'2021'!O115</f>
        <v>7000000</v>
      </c>
      <c r="P41" s="164">
        <f t="shared" si="6"/>
        <v>12911.94000000041</v>
      </c>
      <c r="Q41" s="166">
        <f t="shared" si="3"/>
        <v>1.8445628571428507E-3</v>
      </c>
      <c r="R41" s="163">
        <f>'2020'!O41</f>
        <v>6754872.6500000004</v>
      </c>
      <c r="S41" s="164">
        <f t="shared" si="4"/>
        <v>258039.29000000004</v>
      </c>
      <c r="T41" s="166">
        <f t="shared" si="5"/>
        <v>3.8200467036191954E-2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'2021'!S42</f>
        <v>16588610.18</v>
      </c>
      <c r="H42" s="163">
        <f>SUM('2021'!G116:O116)</f>
        <v>14565931.416000001</v>
      </c>
      <c r="I42" s="164">
        <f t="shared" si="0"/>
        <v>2022678.7639999986</v>
      </c>
      <c r="J42" s="166">
        <f t="shared" si="1"/>
        <v>0.13886367484733442</v>
      </c>
      <c r="K42" s="163">
        <f>SUM('2020'!G42:O42)</f>
        <v>12685747.960000001</v>
      </c>
      <c r="L42" s="164">
        <f t="shared" si="7"/>
        <v>3902862.2199999988</v>
      </c>
      <c r="M42" s="166">
        <f t="shared" si="2"/>
        <v>0.30765724120535021</v>
      </c>
      <c r="N42" s="163">
        <f>'2021'!O42</f>
        <v>1946279.26</v>
      </c>
      <c r="O42" s="163">
        <f>'2021'!O116</f>
        <v>1331215.5080000004</v>
      </c>
      <c r="P42" s="164">
        <f t="shared" si="6"/>
        <v>615063.75199999963</v>
      </c>
      <c r="Q42" s="166">
        <f t="shared" si="3"/>
        <v>0.4620316908147073</v>
      </c>
      <c r="R42" s="163">
        <f>'2020'!O42</f>
        <v>2024466.79</v>
      </c>
      <c r="S42" s="164">
        <f t="shared" si="4"/>
        <v>-78187.530000000028</v>
      </c>
      <c r="T42" s="166">
        <f t="shared" si="5"/>
        <v>-3.8621295437501368E-2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'2021'!S43</f>
        <v>323490509.56</v>
      </c>
      <c r="H43" s="163">
        <f>SUM('2021'!G117:O117)</f>
        <v>331084154.14694995</v>
      </c>
      <c r="I43" s="164">
        <f t="shared" si="0"/>
        <v>-7593644.5869499445</v>
      </c>
      <c r="J43" s="166">
        <f t="shared" si="1"/>
        <v>-2.2935693212244646E-2</v>
      </c>
      <c r="K43" s="163">
        <f>SUM('2020'!G43:O43)</f>
        <v>320514777.04000002</v>
      </c>
      <c r="L43" s="164">
        <f t="shared" si="7"/>
        <v>2975732.5199999809</v>
      </c>
      <c r="M43" s="166">
        <f t="shared" si="2"/>
        <v>9.2842287880805507E-3</v>
      </c>
      <c r="N43" s="163">
        <f>'2021'!O43</f>
        <v>35868624.289999999</v>
      </c>
      <c r="O43" s="163">
        <f>'2021'!O117</f>
        <v>38123196.594350003</v>
      </c>
      <c r="P43" s="164">
        <f t="shared" si="6"/>
        <v>-2254572.3043500036</v>
      </c>
      <c r="Q43" s="166">
        <f t="shared" si="3"/>
        <v>-5.913912016192624E-2</v>
      </c>
      <c r="R43" s="163">
        <f>'2020'!O43</f>
        <v>35665529.619999997</v>
      </c>
      <c r="S43" s="164">
        <f t="shared" si="4"/>
        <v>203094.67000000179</v>
      </c>
      <c r="T43" s="166">
        <f t="shared" si="5"/>
        <v>5.6944246213046501E-3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'2021'!S44</f>
        <v>13588227.629999999</v>
      </c>
      <c r="H44" s="163">
        <f>SUM('2021'!G118:O118)</f>
        <v>12193114.808699999</v>
      </c>
      <c r="I44" s="164">
        <f t="shared" si="0"/>
        <v>1395112.8213</v>
      </c>
      <c r="J44" s="166">
        <f t="shared" si="1"/>
        <v>0.11441808292533784</v>
      </c>
      <c r="K44" s="163">
        <f>SUM('2020'!G44:O44)</f>
        <v>15267988.899999999</v>
      </c>
      <c r="L44" s="164">
        <f t="shared" si="7"/>
        <v>-1679761.2699999996</v>
      </c>
      <c r="M44" s="166">
        <f t="shared" si="2"/>
        <v>-0.11001850217483455</v>
      </c>
      <c r="N44" s="163">
        <f>'2021'!O44</f>
        <v>1755810.82</v>
      </c>
      <c r="O44" s="163">
        <f>'2021'!O118</f>
        <v>1035628.3971000001</v>
      </c>
      <c r="P44" s="164">
        <f t="shared" si="6"/>
        <v>720182.42290000001</v>
      </c>
      <c r="Q44" s="166">
        <f t="shared" si="3"/>
        <v>0.69540621415623405</v>
      </c>
      <c r="R44" s="163">
        <f>'2020'!O44</f>
        <v>1504557.8</v>
      </c>
      <c r="S44" s="164">
        <f t="shared" si="4"/>
        <v>251253.02000000002</v>
      </c>
      <c r="T44" s="166">
        <f t="shared" si="5"/>
        <v>0.16699459469087863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'2021'!S45</f>
        <v>7790480.9400000004</v>
      </c>
      <c r="H45" s="163">
        <f>SUM('2021'!G119:O119)</f>
        <v>8381414.4136999995</v>
      </c>
      <c r="I45" s="164">
        <f t="shared" si="0"/>
        <v>-590933.47369999904</v>
      </c>
      <c r="J45" s="166">
        <f t="shared" si="1"/>
        <v>-7.0505220781599487E-2</v>
      </c>
      <c r="K45" s="163">
        <f>SUM('2020'!G45:O45)</f>
        <v>7087946.8599999994</v>
      </c>
      <c r="L45" s="164">
        <f t="shared" si="7"/>
        <v>702534.08000000101</v>
      </c>
      <c r="M45" s="166">
        <f t="shared" si="2"/>
        <v>9.9116725037072362E-2</v>
      </c>
      <c r="N45" s="163">
        <f>'2021'!O45</f>
        <v>762432.58</v>
      </c>
      <c r="O45" s="163">
        <f>'2021'!O119</f>
        <v>1039528.5287666667</v>
      </c>
      <c r="P45" s="164">
        <f t="shared" si="6"/>
        <v>-277095.9487666667</v>
      </c>
      <c r="Q45" s="166">
        <f t="shared" si="3"/>
        <v>-0.26655925364109356</v>
      </c>
      <c r="R45" s="163">
        <f>'2020'!O45</f>
        <v>719871.35</v>
      </c>
      <c r="S45" s="164">
        <f t="shared" si="4"/>
        <v>42561.229999999981</v>
      </c>
      <c r="T45" s="166">
        <f t="shared" si="5"/>
        <v>5.9123383643480132E-2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'2021'!S46</f>
        <v>180169476</v>
      </c>
      <c r="H46" s="175">
        <f>SUM('2021'!G120:O120)</f>
        <v>197168617.40684998</v>
      </c>
      <c r="I46" s="176">
        <f t="shared" si="0"/>
        <v>-16999141.40684998</v>
      </c>
      <c r="J46" s="178">
        <f t="shared" si="1"/>
        <v>-8.6216263168153673E-2</v>
      </c>
      <c r="K46" s="175">
        <f>SUM('2020'!G46:O46)</f>
        <v>218278071.13999999</v>
      </c>
      <c r="L46" s="176">
        <f t="shared" si="7"/>
        <v>-38108595.139999986</v>
      </c>
      <c r="M46" s="178">
        <f t="shared" si="2"/>
        <v>-0.17458737353216647</v>
      </c>
      <c r="N46" s="175">
        <f>'2021'!O46</f>
        <v>26541391.52</v>
      </c>
      <c r="O46" s="175">
        <f>'2021'!O120</f>
        <v>20959047.32438333</v>
      </c>
      <c r="P46" s="176">
        <f t="shared" si="6"/>
        <v>5582344.19561667</v>
      </c>
      <c r="Q46" s="178">
        <f t="shared" si="3"/>
        <v>0.26634532138883449</v>
      </c>
      <c r="R46" s="175">
        <f>'2020'!O46</f>
        <v>29910249.559999999</v>
      </c>
      <c r="S46" s="176">
        <f t="shared" si="4"/>
        <v>-3368858.0399999991</v>
      </c>
      <c r="T46" s="178">
        <f t="shared" si="5"/>
        <v>-0.11263222773324122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'2021'!S47</f>
        <v>107755958.25</v>
      </c>
      <c r="H47" s="175">
        <f>SUM('2021'!G121:O121)</f>
        <v>163335374.62720001</v>
      </c>
      <c r="I47" s="176">
        <f t="shared" si="0"/>
        <v>-55579416.377200007</v>
      </c>
      <c r="J47" s="178">
        <f t="shared" si="1"/>
        <v>-0.34027788838796003</v>
      </c>
      <c r="K47" s="175">
        <f>SUM('2020'!G47:O47)</f>
        <v>148774558.20999998</v>
      </c>
      <c r="L47" s="176">
        <f t="shared" si="7"/>
        <v>-41018599.959999979</v>
      </c>
      <c r="M47" s="178">
        <f t="shared" si="2"/>
        <v>-0.27570977493410487</v>
      </c>
      <c r="N47" s="175">
        <f>'2021'!O47</f>
        <v>24684802.260000002</v>
      </c>
      <c r="O47" s="175">
        <f>'2021'!O121</f>
        <v>24073116.957600009</v>
      </c>
      <c r="P47" s="176">
        <f t="shared" si="6"/>
        <v>611685.30239999294</v>
      </c>
      <c r="Q47" s="178">
        <f t="shared" si="3"/>
        <v>2.5409476615652071E-2</v>
      </c>
      <c r="R47" s="175">
        <f>'2020'!O47</f>
        <v>19123751.109999999</v>
      </c>
      <c r="S47" s="176">
        <f t="shared" si="4"/>
        <v>5561051.1500000022</v>
      </c>
      <c r="T47" s="178">
        <f t="shared" si="5"/>
        <v>0.29079290553473447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'2021'!S48</f>
        <v>828780</v>
      </c>
      <c r="H48" s="163">
        <f>SUM('2021'!G122:O122)</f>
        <v>1287641.3347999998</v>
      </c>
      <c r="I48" s="164">
        <f>G48-H48</f>
        <v>-458861.33479999984</v>
      </c>
      <c r="J48" s="282">
        <f t="shared" si="1"/>
        <v>-0.35635803418136736</v>
      </c>
      <c r="K48" s="163">
        <f>SUM('2020'!G48:O48)</f>
        <v>1152663</v>
      </c>
      <c r="L48" s="279">
        <f t="shared" si="7"/>
        <v>-323883</v>
      </c>
      <c r="M48" s="282">
        <f t="shared" si="2"/>
        <v>-0.28098672378657075</v>
      </c>
      <c r="N48" s="163">
        <f>'2021'!O48</f>
        <v>0</v>
      </c>
      <c r="O48" s="163">
        <f>'2021'!O122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'2020'!O48</f>
        <v>322072</v>
      </c>
      <c r="S48" s="279">
        <f t="shared" si="4"/>
        <v>-322072</v>
      </c>
      <c r="T48" s="282">
        <f t="shared" si="5"/>
        <v>-1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'2021'!S49</f>
        <v>57756336.199999996</v>
      </c>
      <c r="H49" s="163">
        <f>SUM('2021'!G123:O123)</f>
        <v>62088662.109999999</v>
      </c>
      <c r="I49" s="164">
        <f t="shared" ref="I49:I50" si="8">G49-H49</f>
        <v>-4332325.9100000039</v>
      </c>
      <c r="J49" s="283">
        <f t="shared" si="1"/>
        <v>-6.9776441668602751E-2</v>
      </c>
      <c r="K49" s="163">
        <f>SUM('2020'!G49:O49)</f>
        <v>91094554.329999998</v>
      </c>
      <c r="L49" s="280">
        <f t="shared" si="7"/>
        <v>-33338218.130000003</v>
      </c>
      <c r="M49" s="283">
        <f t="shared" si="2"/>
        <v>-0.36597377719450341</v>
      </c>
      <c r="N49" s="163">
        <f>'2021'!O49</f>
        <v>862178.99</v>
      </c>
      <c r="O49" s="163">
        <f>'2021'!O123</f>
        <v>3041462.9633333324</v>
      </c>
      <c r="P49" s="164">
        <f t="shared" si="6"/>
        <v>-2179283.9733333327</v>
      </c>
      <c r="Q49" s="283">
        <f t="shared" si="3"/>
        <v>-0.71652490909996702</v>
      </c>
      <c r="R49" s="163">
        <f>'2020'!O49</f>
        <v>5007344.8</v>
      </c>
      <c r="S49" s="280">
        <f t="shared" si="4"/>
        <v>-4145165.8099999996</v>
      </c>
      <c r="T49" s="283">
        <f t="shared" si="5"/>
        <v>-0.82781713174615024</v>
      </c>
      <c r="W49" s="345"/>
    </row>
    <row r="50" spans="1:23" ht="15.7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'2021'!S50</f>
        <v>7711252.0800000001</v>
      </c>
      <c r="H50" s="163">
        <f>SUM('2021'!G124:O124)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SUM('2020'!G50:O50)</f>
        <v>0</v>
      </c>
      <c r="L50" s="280">
        <f t="shared" si="7"/>
        <v>7711252.0800000001</v>
      </c>
      <c r="M50" s="284" t="str">
        <f t="shared" si="2"/>
        <v>...</v>
      </c>
      <c r="N50" s="163">
        <f>'2021'!O50</f>
        <v>0</v>
      </c>
      <c r="O50" s="163">
        <f>'2021'!O124</f>
        <v>0</v>
      </c>
      <c r="P50" s="164">
        <f t="shared" si="6"/>
        <v>0</v>
      </c>
      <c r="Q50" s="284" t="str">
        <f t="shared" si="3"/>
        <v>...</v>
      </c>
      <c r="R50" s="163">
        <f>'2020'!O50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'2021'!S51</f>
        <v>21159216.43</v>
      </c>
      <c r="H51" s="314">
        <f>SUM('2021'!G125:O125)</f>
        <v>7823168.9024999999</v>
      </c>
      <c r="I51" s="281">
        <f>G51-H51</f>
        <v>13336047.5275</v>
      </c>
      <c r="J51" s="285">
        <f t="shared" si="1"/>
        <v>1.7046861308642187</v>
      </c>
      <c r="K51" s="314">
        <f>SUM('2020'!G51:O51)</f>
        <v>13021965.050000001</v>
      </c>
      <c r="L51" s="287">
        <f t="shared" si="7"/>
        <v>8137251.379999999</v>
      </c>
      <c r="M51" s="285">
        <f t="shared" si="2"/>
        <v>0.62488659344082631</v>
      </c>
      <c r="N51" s="314">
        <f>'2021'!O51</f>
        <v>977597.05</v>
      </c>
      <c r="O51" s="314">
        <f>'2021'!O125</f>
        <v>869240.98916666664</v>
      </c>
      <c r="P51" s="281">
        <f>N51-O51</f>
        <v>108356.06083333341</v>
      </c>
      <c r="Q51" s="285">
        <f t="shared" si="3"/>
        <v>0.12465594948210312</v>
      </c>
      <c r="R51" s="314">
        <f>'2020'!O51</f>
        <v>764871</v>
      </c>
      <c r="S51" s="287">
        <f>+N51-R51</f>
        <v>212726.05000000005</v>
      </c>
      <c r="T51" s="285">
        <f t="shared" si="5"/>
        <v>0.27812016666862793</v>
      </c>
    </row>
    <row r="52" spans="1:23" ht="15.7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'2021'!S52</f>
        <v>0</v>
      </c>
      <c r="H52" s="163">
        <f>SUM('2021'!G126:O126)</f>
        <v>0</v>
      </c>
      <c r="I52" s="281">
        <f>G52-H52</f>
        <v>0</v>
      </c>
      <c r="J52" s="285" t="str">
        <f t="shared" si="1"/>
        <v>...</v>
      </c>
      <c r="K52" s="163">
        <f>SUM('2020'!G52:O52)</f>
        <v>0</v>
      </c>
      <c r="L52" s="287">
        <f t="shared" si="7"/>
        <v>0</v>
      </c>
      <c r="M52" s="285" t="str">
        <f t="shared" si="2"/>
        <v>...</v>
      </c>
      <c r="N52" s="163">
        <f>'2021'!O52</f>
        <v>0</v>
      </c>
      <c r="O52" s="163">
        <f>'2021'!O126</f>
        <v>0</v>
      </c>
      <c r="P52" s="281">
        <f>N52-O52</f>
        <v>0</v>
      </c>
      <c r="Q52" s="285" t="str">
        <f t="shared" si="3"/>
        <v>...</v>
      </c>
      <c r="R52" s="163">
        <f>'2020'!O52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'2021'!S53</f>
        <v>-64677309.770000011</v>
      </c>
      <c r="H53" s="151">
        <f>SUM('2021'!G127:O127)</f>
        <v>-173311381.08088765</v>
      </c>
      <c r="I53" s="321">
        <f>+G53-H53</f>
        <v>108634071.31088763</v>
      </c>
      <c r="J53" s="286">
        <f t="shared" si="1"/>
        <v>-0.62681441134085758</v>
      </c>
      <c r="K53" s="151">
        <f>SUM('2020'!G53:O53)</f>
        <v>-332914277.66000003</v>
      </c>
      <c r="L53" s="288">
        <f t="shared" si="7"/>
        <v>268236967.89000002</v>
      </c>
      <c r="M53" s="286">
        <f t="shared" si="2"/>
        <v>-0.80572383310020157</v>
      </c>
      <c r="N53" s="151">
        <f>'2021'!O53</f>
        <v>-6598658.1599999964</v>
      </c>
      <c r="O53" s="151">
        <f>'2021'!O127</f>
        <v>10186739.966191918</v>
      </c>
      <c r="P53" s="321">
        <f>N53-O53</f>
        <v>-16785398.126191914</v>
      </c>
      <c r="Q53" s="286">
        <f t="shared" si="3"/>
        <v>-1.6477693729200742</v>
      </c>
      <c r="R53" s="151">
        <f>'2020'!O53</f>
        <v>-21619884.920000017</v>
      </c>
      <c r="S53" s="288">
        <f t="shared" si="4"/>
        <v>15021226.76000002</v>
      </c>
      <c r="T53" s="286">
        <f t="shared" si="5"/>
        <v>-0.69478754468781923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'2021'!S54</f>
        <v>14133708.340000018</v>
      </c>
      <c r="H54" s="151">
        <f>SUM('2021'!G128:O128)</f>
        <v>-103292819.94824658</v>
      </c>
      <c r="I54" s="206">
        <f t="shared" si="0"/>
        <v>117426528.2882466</v>
      </c>
      <c r="J54" s="208">
        <f t="shared" si="1"/>
        <v>-1.1368314694775641</v>
      </c>
      <c r="K54" s="151">
        <f>SUM('2020'!G54:O54)</f>
        <v>-255214880.72</v>
      </c>
      <c r="L54" s="206">
        <f t="shared" si="7"/>
        <v>269348589.06</v>
      </c>
      <c r="M54" s="208">
        <f t="shared" si="2"/>
        <v>-1.055379640482274</v>
      </c>
      <c r="N54" s="151">
        <f>'2021'!O54</f>
        <v>7652389.6600000039</v>
      </c>
      <c r="O54" s="151">
        <f>'2021'!O128</f>
        <v>11853079.287415188</v>
      </c>
      <c r="P54" s="206">
        <f t="shared" si="6"/>
        <v>-4200689.6274151839</v>
      </c>
      <c r="Q54" s="208">
        <f t="shared" si="3"/>
        <v>-0.354396484285328</v>
      </c>
      <c r="R54" s="151">
        <f>'2020'!O54</f>
        <v>-20067449.630000018</v>
      </c>
      <c r="S54" s="206">
        <f t="shared" si="4"/>
        <v>27719839.290000021</v>
      </c>
      <c r="T54" s="208">
        <f t="shared" si="5"/>
        <v>-1.3813334430180899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2">
        <f>'2021'!S55</f>
        <v>392129648.79000002</v>
      </c>
      <c r="H55" s="492">
        <f>SUM('2021'!G129:O129)</f>
        <v>413791139.18534708</v>
      </c>
      <c r="I55" s="493">
        <f t="shared" si="0"/>
        <v>-21661490.395347059</v>
      </c>
      <c r="J55" s="494">
        <f t="shared" si="1"/>
        <v>-5.2348850287111559E-2</v>
      </c>
      <c r="K55" s="492">
        <f>SUM('2020'!G55:O55)</f>
        <v>523777795.28999996</v>
      </c>
      <c r="L55" s="493">
        <f t="shared" si="7"/>
        <v>-131648146.49999994</v>
      </c>
      <c r="M55" s="494">
        <f t="shared" si="2"/>
        <v>-0.25134350421844498</v>
      </c>
      <c r="N55" s="492">
        <f>'2021'!O55</f>
        <v>11336186.489999998</v>
      </c>
      <c r="O55" s="492">
        <f>'2021'!O129</f>
        <v>13919038.292649165</v>
      </c>
      <c r="P55" s="493">
        <f t="shared" si="6"/>
        <v>-2582851.8026491664</v>
      </c>
      <c r="Q55" s="494">
        <f t="shared" si="3"/>
        <v>-0.18556251864133499</v>
      </c>
      <c r="R55" s="492">
        <f>'2020'!O55</f>
        <v>9821065.5600000005</v>
      </c>
      <c r="S55" s="493">
        <f t="shared" si="4"/>
        <v>1515120.9299999978</v>
      </c>
      <c r="T55" s="494">
        <f t="shared" si="5"/>
        <v>0.15427256042062276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'2021'!S56</f>
        <v>70336811.780000001</v>
      </c>
      <c r="H56" s="163">
        <f>SUM('2021'!G130:O130)</f>
        <v>75740157.970000014</v>
      </c>
      <c r="I56" s="212">
        <f t="shared" si="0"/>
        <v>-5403346.1900000125</v>
      </c>
      <c r="J56" s="214">
        <f t="shared" si="1"/>
        <v>-7.1340571961049148E-2</v>
      </c>
      <c r="K56" s="163">
        <f>SUM('2020'!G56:O56)</f>
        <v>125866383.95999999</v>
      </c>
      <c r="L56" s="212">
        <f t="shared" si="7"/>
        <v>-55529572.179999992</v>
      </c>
      <c r="M56" s="214">
        <f t="shared" si="2"/>
        <v>-0.44117873599711221</v>
      </c>
      <c r="N56" s="163">
        <f>'2021'!O56</f>
        <v>2421267.87</v>
      </c>
      <c r="O56" s="163">
        <f>'2021'!O130</f>
        <v>2421267.87</v>
      </c>
      <c r="P56" s="212">
        <f t="shared" si="6"/>
        <v>0</v>
      </c>
      <c r="Q56" s="214">
        <f t="shared" si="3"/>
        <v>0</v>
      </c>
      <c r="R56" s="163">
        <f>'2020'!O56</f>
        <v>1782512.05</v>
      </c>
      <c r="S56" s="212">
        <f t="shared" si="4"/>
        <v>638755.82000000007</v>
      </c>
      <c r="T56" s="214">
        <f t="shared" si="5"/>
        <v>0.3583458636366581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'2021'!S57</f>
        <v>321792837.00999999</v>
      </c>
      <c r="H57" s="163">
        <f>SUM('2021'!G131:O131)</f>
        <v>338050981.21534705</v>
      </c>
      <c r="I57" s="212">
        <f t="shared" si="0"/>
        <v>-16258144.205347061</v>
      </c>
      <c r="J57" s="214">
        <f t="shared" si="1"/>
        <v>-4.8093764280453977E-2</v>
      </c>
      <c r="K57" s="163">
        <f>SUM('2020'!G57:O57)</f>
        <v>397911411.32999998</v>
      </c>
      <c r="L57" s="212">
        <f t="shared" si="7"/>
        <v>-76118574.319999993</v>
      </c>
      <c r="M57" s="214">
        <f t="shared" si="2"/>
        <v>-0.19129527867918461</v>
      </c>
      <c r="N57" s="163">
        <f>'2021'!O57</f>
        <v>8914918.6199999992</v>
      </c>
      <c r="O57" s="163">
        <f>'2021'!O131</f>
        <v>11497770.422649164</v>
      </c>
      <c r="P57" s="212">
        <f t="shared" si="6"/>
        <v>-2582851.8026491646</v>
      </c>
      <c r="Q57" s="214">
        <f t="shared" si="3"/>
        <v>-0.22463936117225569</v>
      </c>
      <c r="R57" s="163">
        <f>'2020'!O57</f>
        <v>8038553.5099999998</v>
      </c>
      <c r="S57" s="212">
        <f t="shared" si="4"/>
        <v>876365.1099999994</v>
      </c>
      <c r="T57" s="214">
        <f t="shared" si="5"/>
        <v>0.10902024958965528</v>
      </c>
    </row>
    <row r="58" spans="1:23" ht="15.7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6">
        <f>'2021'!S58</f>
        <v>0</v>
      </c>
      <c r="H58" s="336">
        <f>SUM('2021'!G132:O132)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SUM('2020'!G58:O58)</f>
        <v>940769.61</v>
      </c>
      <c r="L58" s="337">
        <f t="shared" ref="L58:L64" si="10">+G58-K58</f>
        <v>-940769.61</v>
      </c>
      <c r="M58" s="338">
        <f t="shared" si="2"/>
        <v>-1</v>
      </c>
      <c r="N58" s="336">
        <f>'2021'!O58</f>
        <v>0</v>
      </c>
      <c r="O58" s="336">
        <f>'2021'!O132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'2020'!O58</f>
        <v>940769.61</v>
      </c>
      <c r="S58" s="337">
        <f t="shared" ref="S58:S64" si="12">+N58-R58</f>
        <v>-940769.61</v>
      </c>
      <c r="T58" s="338">
        <f t="shared" si="5"/>
        <v>-1</v>
      </c>
    </row>
    <row r="59" spans="1:23" ht="15.7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20">
        <f>'2021'!S59</f>
        <v>-456806958.56000012</v>
      </c>
      <c r="H59" s="320">
        <f>SUM('2021'!G133:O133)</f>
        <v>-587639304.26623464</v>
      </c>
      <c r="I59" s="322">
        <f t="shared" si="9"/>
        <v>130832345.70623451</v>
      </c>
      <c r="J59" s="323">
        <f t="shared" si="1"/>
        <v>-0.22264056327818382</v>
      </c>
      <c r="K59" s="320">
        <f>SUM('2020'!G59:O59)</f>
        <v>-857632842.56000006</v>
      </c>
      <c r="L59" s="322">
        <f t="shared" si="10"/>
        <v>400825883.99999994</v>
      </c>
      <c r="M59" s="323">
        <f t="shared" si="2"/>
        <v>-0.46736303008587055</v>
      </c>
      <c r="N59" s="320">
        <f>'2021'!O59</f>
        <v>-17934844.649999995</v>
      </c>
      <c r="O59" s="320">
        <f>'2021'!O133</f>
        <v>-3732298.3264572471</v>
      </c>
      <c r="P59" s="322">
        <f t="shared" si="11"/>
        <v>-14202546.323542748</v>
      </c>
      <c r="Q59" s="323" t="str">
        <f t="shared" si="3"/>
        <v>...</v>
      </c>
      <c r="R59" s="320">
        <f>'2020'!O59</f>
        <v>-32381720.090000018</v>
      </c>
      <c r="S59" s="322">
        <f t="shared" si="12"/>
        <v>14446875.440000024</v>
      </c>
      <c r="T59" s="323">
        <f t="shared" si="5"/>
        <v>-0.44614292878349737</v>
      </c>
    </row>
    <row r="60" spans="1:23" ht="15.7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'2021'!S60</f>
        <v>456806958.56000012</v>
      </c>
      <c r="H60" s="151">
        <f>SUM('2021'!G134:O134)</f>
        <v>587639304.26623464</v>
      </c>
      <c r="I60" s="321">
        <f t="shared" si="9"/>
        <v>-130832345.70623451</v>
      </c>
      <c r="J60" s="324">
        <f t="shared" si="1"/>
        <v>-0.22264056327818382</v>
      </c>
      <c r="K60" s="151">
        <f>SUM('2020'!G60:O60)</f>
        <v>857632842.56000006</v>
      </c>
      <c r="L60" s="321">
        <f t="shared" si="10"/>
        <v>-400825883.99999994</v>
      </c>
      <c r="M60" s="324">
        <f t="shared" si="2"/>
        <v>-0.46736303008587055</v>
      </c>
      <c r="N60" s="151">
        <f>'2021'!O60</f>
        <v>17934844.649999995</v>
      </c>
      <c r="O60" s="151">
        <f>'2021'!O134</f>
        <v>3732298.3264572471</v>
      </c>
      <c r="P60" s="321">
        <f t="shared" si="11"/>
        <v>14202546.323542748</v>
      </c>
      <c r="Q60" s="324" t="str">
        <f t="shared" si="3"/>
        <v>...</v>
      </c>
      <c r="R60" s="151">
        <f>'2020'!O60</f>
        <v>32381720.090000018</v>
      </c>
      <c r="S60" s="321">
        <f t="shared" si="12"/>
        <v>-14446875.440000024</v>
      </c>
      <c r="T60" s="324">
        <f t="shared" si="5"/>
        <v>-0.44614292878349737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4">
        <f>'2021'!S61</f>
        <v>0</v>
      </c>
      <c r="H61" s="484">
        <f>SUM('2021'!G135:O135)</f>
        <v>0</v>
      </c>
      <c r="I61" s="212">
        <f t="shared" si="9"/>
        <v>0</v>
      </c>
      <c r="J61" s="214" t="str">
        <f t="shared" si="1"/>
        <v>...</v>
      </c>
      <c r="K61" s="212">
        <f>SUM('2020'!G61:O61)</f>
        <v>124532059.13</v>
      </c>
      <c r="L61" s="212">
        <f t="shared" si="10"/>
        <v>-124532059.13</v>
      </c>
      <c r="M61" s="214">
        <f t="shared" si="2"/>
        <v>-1</v>
      </c>
      <c r="N61" s="163">
        <f>'2021'!O61</f>
        <v>0</v>
      </c>
      <c r="O61" s="163">
        <f>'2021'!O135</f>
        <v>0</v>
      </c>
      <c r="P61" s="212">
        <f t="shared" si="11"/>
        <v>0</v>
      </c>
      <c r="Q61" s="214" t="str">
        <f t="shared" si="3"/>
        <v>...</v>
      </c>
      <c r="R61" s="163">
        <f>'2020'!O61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'2021'!S62</f>
        <v>75189184.780000016</v>
      </c>
      <c r="H62" s="163">
        <f>SUM('2021'!G136:O136)</f>
        <v>108300000</v>
      </c>
      <c r="I62" s="212">
        <f t="shared" si="9"/>
        <v>-33110815.219999984</v>
      </c>
      <c r="J62" s="214">
        <f t="shared" si="1"/>
        <v>-0.30573236583564156</v>
      </c>
      <c r="K62" s="163">
        <f>SUM('2020'!G62:O62)</f>
        <v>372660603.56</v>
      </c>
      <c r="L62" s="212">
        <f t="shared" si="10"/>
        <v>-297471418.77999997</v>
      </c>
      <c r="M62" s="214">
        <f t="shared" si="2"/>
        <v>-0.79823682980781141</v>
      </c>
      <c r="N62" s="163">
        <f>'2021'!O62</f>
        <v>4786825.9000000004</v>
      </c>
      <c r="O62" s="163">
        <f>'2021'!O136</f>
        <v>18900000</v>
      </c>
      <c r="P62" s="212">
        <f t="shared" si="11"/>
        <v>-14113174.1</v>
      </c>
      <c r="Q62" s="214">
        <f t="shared" si="3"/>
        <v>-0.7467287883597884</v>
      </c>
      <c r="R62" s="163">
        <f>'2020'!O62</f>
        <v>3867306.65</v>
      </c>
      <c r="S62" s="212">
        <f t="shared" si="12"/>
        <v>919519.25000000047</v>
      </c>
      <c r="T62" s="214">
        <f t="shared" si="5"/>
        <v>0.23776734901536711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'2021'!S63</f>
        <v>1236923.0100000002</v>
      </c>
      <c r="H63" s="163">
        <f>SUM('2021'!G137:O137)</f>
        <v>3401391.2549999999</v>
      </c>
      <c r="I63" s="212">
        <f t="shared" si="9"/>
        <v>-2164468.2449999996</v>
      </c>
      <c r="J63" s="214">
        <f t="shared" si="1"/>
        <v>-0.63634791846373462</v>
      </c>
      <c r="K63" s="163">
        <f>SUM('2020'!G63:O63)</f>
        <v>6180474.2999999998</v>
      </c>
      <c r="L63" s="212">
        <f t="shared" si="10"/>
        <v>-4943551.2899999991</v>
      </c>
      <c r="M63" s="214">
        <f t="shared" si="2"/>
        <v>-0.79986600542938913</v>
      </c>
      <c r="N63" s="163">
        <f>'2021'!O63</f>
        <v>176272.14</v>
      </c>
      <c r="O63" s="163">
        <f>'2021'!O137</f>
        <v>866202.91500000004</v>
      </c>
      <c r="P63" s="212">
        <f t="shared" si="11"/>
        <v>-689930.77500000002</v>
      </c>
      <c r="Q63" s="214">
        <f t="shared" si="3"/>
        <v>-0.79650017686675645</v>
      </c>
      <c r="R63" s="163">
        <f>'2020'!O63</f>
        <v>257820.89</v>
      </c>
      <c r="S63" s="212">
        <f t="shared" si="12"/>
        <v>-81548.75</v>
      </c>
      <c r="T63" s="214">
        <f t="shared" si="5"/>
        <v>-0.31630000966950345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380380850.76999998</v>
      </c>
      <c r="H64" s="318">
        <f>SUM('2021'!G138:O138)</f>
        <v>475937913.01123464</v>
      </c>
      <c r="I64" s="226">
        <f t="shared" si="9"/>
        <v>-95557062.24123466</v>
      </c>
      <c r="J64" s="228">
        <f t="shared" si="1"/>
        <v>-0.20077631898801684</v>
      </c>
      <c r="K64" s="318">
        <f>SUM('2020'!G64:O64)</f>
        <v>354259705.56999993</v>
      </c>
      <c r="L64" s="226">
        <f t="shared" si="10"/>
        <v>26121145.200000048</v>
      </c>
      <c r="M64" s="228">
        <f t="shared" si="2"/>
        <v>7.3734451842247806E-2</v>
      </c>
      <c r="N64" s="318">
        <f>'2021'!O64</f>
        <v>12971746.609999996</v>
      </c>
      <c r="O64" s="318">
        <f>'2021'!O138</f>
        <v>-16033904.588542752</v>
      </c>
      <c r="P64" s="226">
        <f t="shared" si="11"/>
        <v>29005651.198542748</v>
      </c>
      <c r="Q64" s="228">
        <f t="shared" si="3"/>
        <v>-1.8090198203667207</v>
      </c>
      <c r="R64" s="318">
        <f>'2020'!O64</f>
        <v>28256592.550000019</v>
      </c>
      <c r="S64" s="226">
        <f t="shared" si="12"/>
        <v>-15284845.940000024</v>
      </c>
      <c r="T64" s="228">
        <f t="shared" si="5"/>
        <v>-0.54093025947673978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oWxkMwqDr8AEa6ydKqMYkvpCxaA9nmB/AaPabFbe933wrd4H7xIcgRFcUdVPalv/5ZjZlQb8ZGFJdZR1L0ccug==" saltValue="bj87uiqf6EzLYn4n0b+25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4636600000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154194219.88</v>
      </c>
      <c r="J10" s="151">
        <f t="shared" si="1"/>
        <v>144095628.60000002</v>
      </c>
      <c r="K10" s="151">
        <f t="shared" si="1"/>
        <v>136581810.07999998</v>
      </c>
      <c r="L10" s="151">
        <f t="shared" si="1"/>
        <v>158957966.41000003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172242018.37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1344528414.7200003</v>
      </c>
      <c r="T10" s="463">
        <f>+S10/$T$7*100</f>
        <v>28.998154137083215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861310070.56000006</v>
      </c>
      <c r="T11" s="464">
        <f t="shared" ref="T11:T64" si="3">+S11/$T$7*100</f>
        <v>18.57632900314886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0</v>
      </c>
      <c r="Q12" s="163">
        <v>0</v>
      </c>
      <c r="R12" s="163">
        <v>0</v>
      </c>
      <c r="S12" s="242">
        <f t="shared" ref="S12:S63" si="4">+SUM(G12:R12)</f>
        <v>85841899.279999986</v>
      </c>
      <c r="T12" s="465">
        <f t="shared" si="3"/>
        <v>1.8513975602812403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0</v>
      </c>
      <c r="Q13" s="163">
        <v>0</v>
      </c>
      <c r="R13" s="163">
        <v>0</v>
      </c>
      <c r="S13" s="242">
        <f t="shared" si="4"/>
        <v>69932707.189999998</v>
      </c>
      <c r="T13" s="465">
        <f t="shared" si="3"/>
        <v>1.5082756155372472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0</v>
      </c>
      <c r="Q14" s="163">
        <v>0</v>
      </c>
      <c r="R14" s="163">
        <v>0</v>
      </c>
      <c r="S14" s="242">
        <f t="shared" si="4"/>
        <v>1306081.24</v>
      </c>
      <c r="T14" s="465">
        <f t="shared" si="3"/>
        <v>2.8168943622481988E-2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0</v>
      </c>
      <c r="Q15" s="163">
        <v>0</v>
      </c>
      <c r="R15" s="163">
        <v>0</v>
      </c>
      <c r="S15" s="242">
        <f t="shared" si="4"/>
        <v>493556109.44</v>
      </c>
      <c r="T15" s="465">
        <f t="shared" si="3"/>
        <v>10.644785175344001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0</v>
      </c>
      <c r="Q16" s="163">
        <v>0</v>
      </c>
      <c r="R16" s="163">
        <v>0</v>
      </c>
      <c r="S16" s="242">
        <f t="shared" si="4"/>
        <v>181545151.65999997</v>
      </c>
      <c r="T16" s="465">
        <f t="shared" si="3"/>
        <v>3.9154801289738161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0</v>
      </c>
      <c r="Q17" s="163">
        <v>0</v>
      </c>
      <c r="R17" s="163">
        <v>0</v>
      </c>
      <c r="S17" s="242">
        <f t="shared" si="4"/>
        <v>20834357.139999997</v>
      </c>
      <c r="T17" s="465">
        <f t="shared" si="3"/>
        <v>0.4493455795194754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0</v>
      </c>
      <c r="Q18" s="163">
        <v>0</v>
      </c>
      <c r="R18" s="163">
        <v>0</v>
      </c>
      <c r="S18" s="242">
        <f t="shared" si="4"/>
        <v>8293764.6100000013</v>
      </c>
      <c r="T18" s="465">
        <f t="shared" si="3"/>
        <v>0.17887599987059488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v>0</v>
      </c>
      <c r="Q19" s="169">
        <f t="shared" si="5"/>
        <v>0</v>
      </c>
      <c r="R19" s="169">
        <f t="shared" si="5"/>
        <v>0</v>
      </c>
      <c r="S19" s="243">
        <f t="shared" si="4"/>
        <v>376336390.82999998</v>
      </c>
      <c r="T19" s="466">
        <f t="shared" si="3"/>
        <v>8.1166456202821031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0</v>
      </c>
      <c r="Q20" s="163">
        <v>0</v>
      </c>
      <c r="R20" s="163">
        <v>0</v>
      </c>
      <c r="S20" s="242">
        <f>+SUM(G20:R20)</f>
        <v>232181157.38000003</v>
      </c>
      <c r="T20" s="465">
        <f t="shared" si="3"/>
        <v>5.0075735966009578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0</v>
      </c>
      <c r="Q21" s="163">
        <v>0</v>
      </c>
      <c r="R21" s="163">
        <v>0</v>
      </c>
      <c r="S21" s="242">
        <f t="shared" si="4"/>
        <v>123513506.99000001</v>
      </c>
      <c r="T21" s="465">
        <f t="shared" si="3"/>
        <v>2.6638810117327356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0</v>
      </c>
      <c r="Q22" s="163">
        <v>0</v>
      </c>
      <c r="R22" s="163">
        <v>0</v>
      </c>
      <c r="S22" s="242">
        <f t="shared" si="4"/>
        <v>11173917.140000001</v>
      </c>
      <c r="T22" s="465">
        <f t="shared" si="3"/>
        <v>0.24099377000388217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0</v>
      </c>
      <c r="Q23" s="163">
        <v>0</v>
      </c>
      <c r="R23" s="163">
        <v>0</v>
      </c>
      <c r="S23" s="242">
        <f t="shared" si="4"/>
        <v>9467809.3200000003</v>
      </c>
      <c r="T23" s="465">
        <f t="shared" si="3"/>
        <v>0.20419724194452832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1238779.54</v>
      </c>
      <c r="P24" s="175">
        <v>0</v>
      </c>
      <c r="Q24" s="175">
        <v>0</v>
      </c>
      <c r="R24" s="175">
        <v>0</v>
      </c>
      <c r="S24" s="243">
        <f t="shared" si="4"/>
        <v>9304436.4100000001</v>
      </c>
      <c r="T24" s="466">
        <f t="shared" si="3"/>
        <v>0.20067369214510633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0</v>
      </c>
      <c r="Q25" s="175">
        <v>0</v>
      </c>
      <c r="R25" s="175">
        <v>0</v>
      </c>
      <c r="S25" s="243">
        <f t="shared" si="4"/>
        <v>29180509.689999998</v>
      </c>
      <c r="T25" s="466">
        <f t="shared" si="3"/>
        <v>0.62935145774921275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2279987.17</v>
      </c>
      <c r="M26" s="175">
        <v>30215055.109999999</v>
      </c>
      <c r="N26" s="175">
        <v>2283335.13</v>
      </c>
      <c r="O26" s="175">
        <v>1871519.69</v>
      </c>
      <c r="P26" s="175">
        <v>0</v>
      </c>
      <c r="Q26" s="175">
        <v>0</v>
      </c>
      <c r="R26" s="175">
        <v>0</v>
      </c>
      <c r="S26" s="243">
        <f t="shared" si="4"/>
        <v>46776383.399999999</v>
      </c>
      <c r="T26" s="466">
        <f t="shared" si="3"/>
        <v>1.0088509554414873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0</v>
      </c>
      <c r="Q27" s="175">
        <v>0</v>
      </c>
      <c r="R27" s="175">
        <v>0</v>
      </c>
      <c r="S27" s="243">
        <f t="shared" si="4"/>
        <v>5902964.8300000001</v>
      </c>
      <c r="T27" s="466">
        <f t="shared" si="3"/>
        <v>0.12731235884052972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4427085.24</v>
      </c>
      <c r="P28" s="175">
        <v>0</v>
      </c>
      <c r="Q28" s="175">
        <v>0</v>
      </c>
      <c r="R28" s="175">
        <v>0</v>
      </c>
      <c r="S28" s="243">
        <f t="shared" si="4"/>
        <v>15717659</v>
      </c>
      <c r="T28" s="467">
        <f t="shared" si="3"/>
        <v>0.33899104947590908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164546999.05000001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152906048.73000002</v>
      </c>
      <c r="N29" s="151">
        <f t="shared" si="6"/>
        <v>129254595.47999999</v>
      </c>
      <c r="O29" s="151">
        <f t="shared" si="6"/>
        <v>178840676.53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1409205724.49</v>
      </c>
      <c r="T29" s="468">
        <f t="shared" si="3"/>
        <v>30.393083821981627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74936419.5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55444253.550000004</v>
      </c>
      <c r="O30" s="187">
        <f t="shared" si="7"/>
        <v>78428647.819999993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611493582.08000004</v>
      </c>
      <c r="T30" s="464">
        <f t="shared" si="3"/>
        <v>13.188404910494761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42438944.710000001</v>
      </c>
      <c r="O31" s="163">
        <v>43464882.57</v>
      </c>
      <c r="P31" s="163">
        <v>0</v>
      </c>
      <c r="Q31" s="163">
        <v>0</v>
      </c>
      <c r="R31" s="163">
        <v>0</v>
      </c>
      <c r="S31" s="242">
        <f t="shared" si="4"/>
        <v>400951486.75</v>
      </c>
      <c r="T31" s="465">
        <f t="shared" si="3"/>
        <v>8.647532389035069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0</v>
      </c>
      <c r="Q32" s="163">
        <v>0</v>
      </c>
      <c r="R32" s="163">
        <v>0</v>
      </c>
      <c r="S32" s="242">
        <f t="shared" si="4"/>
        <v>6951816.6499999994</v>
      </c>
      <c r="T32" s="465">
        <f t="shared" si="3"/>
        <v>0.14993349976275719</v>
      </c>
      <c r="U32" s="458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0</v>
      </c>
      <c r="Q33" s="163">
        <v>0</v>
      </c>
      <c r="R33" s="163">
        <v>0</v>
      </c>
      <c r="S33" s="242">
        <f t="shared" si="4"/>
        <v>19445674.460000001</v>
      </c>
      <c r="T33" s="465">
        <f t="shared" si="3"/>
        <v>0.41939512703273957</v>
      </c>
      <c r="U33" s="458"/>
    </row>
    <row r="34" spans="1:21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4228370.29</v>
      </c>
      <c r="O34" s="163">
        <v>4951821.0199999996</v>
      </c>
      <c r="P34" s="163">
        <v>0</v>
      </c>
      <c r="Q34" s="163">
        <v>0</v>
      </c>
      <c r="R34" s="163">
        <v>0</v>
      </c>
      <c r="S34" s="242">
        <f t="shared" si="4"/>
        <v>37615475.609999999</v>
      </c>
      <c r="T34" s="465">
        <f t="shared" si="3"/>
        <v>0.81127282081697794</v>
      </c>
      <c r="U34" s="458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0</v>
      </c>
      <c r="Q35" s="163">
        <v>0</v>
      </c>
      <c r="R35" s="163">
        <v>0</v>
      </c>
      <c r="S35" s="242">
        <f t="shared" si="4"/>
        <v>13410729.390000001</v>
      </c>
      <c r="T35" s="465">
        <f t="shared" si="3"/>
        <v>0.2892362806798085</v>
      </c>
      <c r="U35" s="458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1656473.82</v>
      </c>
      <c r="O36" s="163">
        <v>14251047.82</v>
      </c>
      <c r="P36" s="163">
        <v>0</v>
      </c>
      <c r="Q36" s="163">
        <v>0</v>
      </c>
      <c r="R36" s="163">
        <v>0</v>
      </c>
      <c r="S36" s="242">
        <f>+SUM(G36:R36)</f>
        <v>78811018.110000014</v>
      </c>
      <c r="T36" s="465">
        <f t="shared" si="3"/>
        <v>1.6997588342751158</v>
      </c>
      <c r="U36" s="458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0</v>
      </c>
      <c r="Q37" s="163">
        <v>0</v>
      </c>
      <c r="R37" s="163">
        <v>0</v>
      </c>
      <c r="S37" s="242">
        <f t="shared" si="4"/>
        <v>6896387.8600000013</v>
      </c>
      <c r="T37" s="465">
        <f t="shared" si="3"/>
        <v>0.14873803778630895</v>
      </c>
      <c r="U37" s="458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0</v>
      </c>
      <c r="Q38" s="163">
        <v>0</v>
      </c>
      <c r="R38" s="163">
        <v>0</v>
      </c>
      <c r="S38" s="242">
        <f t="shared" si="4"/>
        <v>25345693.82</v>
      </c>
      <c r="T38" s="465">
        <f t="shared" si="3"/>
        <v>0.54664395936677734</v>
      </c>
      <c r="U38" s="458"/>
    </row>
    <row r="39" spans="1:21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0</v>
      </c>
      <c r="Q39" s="163">
        <v>0</v>
      </c>
      <c r="R39" s="163">
        <v>0</v>
      </c>
      <c r="S39" s="242">
        <f t="shared" si="4"/>
        <v>22065299.43</v>
      </c>
      <c r="T39" s="465">
        <f t="shared" si="3"/>
        <v>0.47589396173920545</v>
      </c>
      <c r="U39" s="458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422331123.44999987</v>
      </c>
      <c r="T40" s="491">
        <f t="shared" si="3"/>
        <v>9.1086383006944711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0</v>
      </c>
      <c r="Q41" s="163">
        <v>0</v>
      </c>
      <c r="R41" s="163">
        <v>0</v>
      </c>
      <c r="S41" s="242">
        <f t="shared" si="4"/>
        <v>60873295.140000001</v>
      </c>
      <c r="T41" s="465">
        <f t="shared" si="3"/>
        <v>1.3128864931199586</v>
      </c>
      <c r="U41" s="458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0</v>
      </c>
      <c r="Q42" s="163">
        <v>0</v>
      </c>
      <c r="R42" s="163">
        <v>0</v>
      </c>
      <c r="S42" s="242">
        <f t="shared" si="4"/>
        <v>16588610.18</v>
      </c>
      <c r="T42" s="465">
        <f t="shared" si="3"/>
        <v>0.35777531337618079</v>
      </c>
      <c r="U42" s="458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0</v>
      </c>
      <c r="Q43" s="163">
        <v>0</v>
      </c>
      <c r="R43" s="163">
        <v>0</v>
      </c>
      <c r="S43" s="242">
        <f t="shared" si="4"/>
        <v>323490509.56</v>
      </c>
      <c r="T43" s="465">
        <f t="shared" si="3"/>
        <v>6.9768906000086268</v>
      </c>
      <c r="U43" s="458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0</v>
      </c>
      <c r="Q44" s="163">
        <v>0</v>
      </c>
      <c r="R44" s="163">
        <v>0</v>
      </c>
      <c r="S44" s="242">
        <f t="shared" si="4"/>
        <v>13588227.629999999</v>
      </c>
      <c r="T44" s="465">
        <f t="shared" si="3"/>
        <v>0.29306447892852516</v>
      </c>
      <c r="U44" s="458"/>
    </row>
    <row r="45" spans="1:21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0</v>
      </c>
      <c r="Q45" s="163">
        <v>0</v>
      </c>
      <c r="R45" s="163">
        <v>0</v>
      </c>
      <c r="S45" s="242">
        <f t="shared" si="4"/>
        <v>7790480.9400000004</v>
      </c>
      <c r="T45" s="465">
        <f t="shared" si="3"/>
        <v>0.16802141526118278</v>
      </c>
      <c r="U45" s="458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0</v>
      </c>
      <c r="Q46" s="175">
        <v>0</v>
      </c>
      <c r="R46" s="175">
        <v>0</v>
      </c>
      <c r="S46" s="243">
        <f t="shared" si="4"/>
        <v>180169476</v>
      </c>
      <c r="T46" s="466">
        <f t="shared" si="3"/>
        <v>3.8858102057542165</v>
      </c>
      <c r="U46" s="482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0</v>
      </c>
      <c r="Q47" s="175">
        <v>0</v>
      </c>
      <c r="R47" s="175">
        <v>0</v>
      </c>
      <c r="S47" s="243">
        <f t="shared" si="4"/>
        <v>107755958.25</v>
      </c>
      <c r="T47" s="466">
        <f t="shared" si="3"/>
        <v>2.324029639175258</v>
      </c>
      <c r="U47" s="482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0</v>
      </c>
      <c r="Q49" s="163">
        <v>0</v>
      </c>
      <c r="R49" s="163">
        <v>0</v>
      </c>
      <c r="S49" s="242">
        <f t="shared" si="4"/>
        <v>57756336.199999996</v>
      </c>
      <c r="T49" s="465">
        <f t="shared" si="3"/>
        <v>1.2456613941250054</v>
      </c>
      <c r="U49" s="482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0.16631264461027476</v>
      </c>
      <c r="U50" s="482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0</v>
      </c>
      <c r="Q51" s="459">
        <v>0</v>
      </c>
      <c r="R51" s="460">
        <v>0</v>
      </c>
      <c r="S51" s="426">
        <f>+SUM(G51:R51)</f>
        <v>21159216.43</v>
      </c>
      <c r="T51" s="469">
        <f t="shared" si="3"/>
        <v>0.45635199132985377</v>
      </c>
      <c r="U51" s="482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-10352779.170000017</v>
      </c>
      <c r="J53" s="151">
        <f t="shared" si="9"/>
        <v>-40138037.24999997</v>
      </c>
      <c r="K53" s="151">
        <f t="shared" si="9"/>
        <v>-19589337.230000019</v>
      </c>
      <c r="L53" s="151">
        <f t="shared" si="9"/>
        <v>3002455.6600000262</v>
      </c>
      <c r="M53" s="151">
        <f t="shared" si="9"/>
        <v>41197255.299999982</v>
      </c>
      <c r="N53" s="151">
        <f t="shared" si="9"/>
        <v>60851385.280000001</v>
      </c>
      <c r="O53" s="151">
        <f t="shared" si="9"/>
        <v>-6598658.1599999964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-64677309.770000011</v>
      </c>
      <c r="T53" s="471">
        <f t="shared" si="3"/>
        <v>-1.3949296848984172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4435203.3999999836</v>
      </c>
      <c r="J54" s="205">
        <f t="shared" si="10"/>
        <v>-17369525.289999969</v>
      </c>
      <c r="K54" s="205">
        <f t="shared" si="10"/>
        <v>-12889036.390000019</v>
      </c>
      <c r="L54" s="205">
        <f t="shared" si="10"/>
        <v>8292510.0900000259</v>
      </c>
      <c r="M54" s="205">
        <f t="shared" si="10"/>
        <v>45012226.519999981</v>
      </c>
      <c r="N54" s="205">
        <f t="shared" si="10"/>
        <v>62507859.100000001</v>
      </c>
      <c r="O54" s="205">
        <f t="shared" si="10"/>
        <v>7652389.6600000039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14133708.340000018</v>
      </c>
      <c r="T54" s="471">
        <f t="shared" si="3"/>
        <v>0.30482914937669886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4876050.96</v>
      </c>
      <c r="O55" s="193">
        <f t="shared" si="11"/>
        <v>11336186.489999998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392129648.79000002</v>
      </c>
      <c r="T55" s="472">
        <f t="shared" si="3"/>
        <v>8.4572671524392877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0</v>
      </c>
      <c r="Q56" s="211">
        <v>0</v>
      </c>
      <c r="R56" s="211">
        <v>0</v>
      </c>
      <c r="S56" s="250">
        <f t="shared" si="4"/>
        <v>70336811.780000001</v>
      </c>
      <c r="T56" s="473">
        <f t="shared" si="3"/>
        <v>1.5169911525686925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3126003.21</v>
      </c>
      <c r="O57" s="211">
        <v>8914918.6199999992</v>
      </c>
      <c r="P57" s="211">
        <v>0</v>
      </c>
      <c r="Q57" s="211">
        <v>0</v>
      </c>
      <c r="R57" s="211">
        <v>0</v>
      </c>
      <c r="S57" s="250">
        <f t="shared" si="4"/>
        <v>321792837.00999999</v>
      </c>
      <c r="T57" s="473">
        <f t="shared" si="3"/>
        <v>6.940275999870595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-249136550.41000003</v>
      </c>
      <c r="J59" s="217">
        <f t="shared" si="12"/>
        <v>-72991500.509999961</v>
      </c>
      <c r="K59" s="217">
        <f t="shared" si="12"/>
        <v>-35872165.150000021</v>
      </c>
      <c r="L59" s="217">
        <f t="shared" si="12"/>
        <v>-12050427.939999975</v>
      </c>
      <c r="M59" s="217">
        <f t="shared" si="12"/>
        <v>15838580.14999998</v>
      </c>
      <c r="N59" s="217">
        <f t="shared" si="12"/>
        <v>55975334.32</v>
      </c>
      <c r="O59" s="217">
        <f t="shared" si="12"/>
        <v>-17934844.649999995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-456806958.56000012</v>
      </c>
      <c r="T59" s="475">
        <f t="shared" si="3"/>
        <v>-9.852196837337706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249136550.41000003</v>
      </c>
      <c r="J60" s="151">
        <f t="shared" si="13"/>
        <v>72991500.509999961</v>
      </c>
      <c r="K60" s="151">
        <f t="shared" si="13"/>
        <v>35872165.150000021</v>
      </c>
      <c r="L60" s="151">
        <f t="shared" si="13"/>
        <v>12050427.939999975</v>
      </c>
      <c r="M60" s="151">
        <f t="shared" si="13"/>
        <v>-15838580.14999998</v>
      </c>
      <c r="N60" s="151">
        <f t="shared" si="13"/>
        <v>-55975334.32</v>
      </c>
      <c r="O60" s="151">
        <f t="shared" si="13"/>
        <v>17934844.649999995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456806958.56000012</v>
      </c>
      <c r="T60" s="476">
        <f t="shared" si="3"/>
        <v>9.852196837337706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1548064.41</v>
      </c>
      <c r="J62" s="211">
        <v>15210844.41</v>
      </c>
      <c r="K62" s="211">
        <v>1564528.45</v>
      </c>
      <c r="L62" s="211">
        <v>33570334.609999999</v>
      </c>
      <c r="M62" s="489">
        <v>4696156.91</v>
      </c>
      <c r="N62" s="211">
        <v>1567009.93</v>
      </c>
      <c r="O62" s="211">
        <v>4786825.9000000004</v>
      </c>
      <c r="P62" s="211">
        <v>0</v>
      </c>
      <c r="Q62" s="211">
        <v>0</v>
      </c>
      <c r="R62" s="211">
        <v>0</v>
      </c>
      <c r="S62" s="250">
        <f t="shared" si="4"/>
        <v>75189184.780000016</v>
      </c>
      <c r="T62" s="473">
        <f t="shared" si="3"/>
        <v>1.6216448427727217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0</v>
      </c>
      <c r="Q63" s="211">
        <v>0</v>
      </c>
      <c r="R63" s="211">
        <v>0</v>
      </c>
      <c r="S63" s="250">
        <f t="shared" si="4"/>
        <v>1236923.0100000002</v>
      </c>
      <c r="T63" s="473">
        <f t="shared" si="3"/>
        <v>2.6677371565371186E-2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247536321.61000001</v>
      </c>
      <c r="J64" s="225">
        <f t="shared" si="14"/>
        <v>57741404.129999958</v>
      </c>
      <c r="K64" s="225">
        <f t="shared" si="14"/>
        <v>34010485.130000018</v>
      </c>
      <c r="L64" s="225">
        <f t="shared" si="14"/>
        <v>-21736585.870000027</v>
      </c>
      <c r="M64" s="225">
        <f t="shared" si="14"/>
        <v>-20718162.599999979</v>
      </c>
      <c r="N64" s="225">
        <f t="shared" si="14"/>
        <v>-57750005.509999998</v>
      </c>
      <c r="O64" s="225">
        <f t="shared" si="14"/>
        <v>12971746.609999996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380380850.76999998</v>
      </c>
      <c r="T64" s="477">
        <f t="shared" si="3"/>
        <v>8.2038746229996118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JInpS7EkCHLNYRV6kkMRiOhQamQz8dOpARtZAqu17wO9yqCPjue1HQSUCaqCIr8piqlpuFrCE/sUC3iz3IlTKA==" saltValue="RBKEvVSvNPb+l82u7fruT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topLeftCell="M1" zoomScaleNormal="10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O10" sqref="O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32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9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Septembar</v>
      </c>
    </row>
    <row r="245" spans="4:7">
      <c r="D245" s="49"/>
      <c r="E245" s="9"/>
      <c r="F245" s="10"/>
      <c r="G245" s="52" t="str">
        <f>+CONCATENATE("Jan - ",LEFT(G244,3))</f>
        <v>Jan - Sep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Sep</v>
      </c>
      <c r="F253" s="10" t="str">
        <f>+CONCATENATE("Analytics for period ",G245)</f>
        <v>Analytics for period Jan - Sep</v>
      </c>
      <c r="G253" s="52" t="str">
        <f>+IF(ISBLANK(IF($B$2=1,E253,F253)),"",IF($B$2=1,E253,F253))</f>
        <v>Analitika za period Jan - Sep</v>
      </c>
    </row>
    <row r="254" spans="4:7">
      <c r="D254" s="46"/>
      <c r="E254" s="9" t="str">
        <f>+CONCATENATE("Analitika za period ",G244)</f>
        <v>Analitika za period Septembar</v>
      </c>
      <c r="F254" s="10" t="str">
        <f>+CONCATENATE("Analytics for period ",G244)</f>
        <v>Analytics for period Septembar</v>
      </c>
      <c r="G254" s="52" t="str">
        <f>+IF(ISBLANK(IF($B$2=1,E254,F254)),"",IF($B$2=1,E254,F254))</f>
        <v>Analitika za period Septembar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Septembar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Septembar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Septembar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Septembar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Septembar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Septembar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2021-11-08T10:09:33Z</cp:lastPrinted>
  <dcterms:created xsi:type="dcterms:W3CDTF">2014-09-15T13:41:17Z</dcterms:created>
  <dcterms:modified xsi:type="dcterms:W3CDTF">2021-11-09T08:47:39Z</dcterms:modified>
</cp:coreProperties>
</file>