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1"/>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J11" i="17" l="1"/>
  <c r="M42" i="17"/>
  <c r="H11" i="17"/>
  <c r="J31" i="17"/>
  <c r="I11" i="17"/>
  <c r="I10" i="17" s="1"/>
  <c r="Q31" i="17"/>
  <c r="Q29" i="17" s="1"/>
  <c r="Q30" i="17" s="1"/>
  <c r="R11" i="17"/>
  <c r="R10" i="17" s="1"/>
  <c r="N11" i="17"/>
  <c r="N10" i="17" s="1"/>
  <c r="P11" i="17"/>
  <c r="P10" i="17" s="1"/>
  <c r="G63" i="11"/>
  <c r="G64" i="11"/>
  <c r="G65" i="11"/>
  <c r="H125" i="17"/>
  <c r="H124" i="17"/>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H10" i="17"/>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J29" i="17" l="1"/>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I55" i="17"/>
  <c r="I56" i="17" s="1"/>
  <c r="G10" i="17"/>
  <c r="S10" i="17" s="1"/>
  <c r="T10" i="17" s="1"/>
  <c r="Q55" i="17"/>
  <c r="Q56" i="17" s="1"/>
  <c r="G29" i="17"/>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P55" i="17" l="1"/>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c r="T62" i="17" s="1"/>
  <c r="J66" i="11" l="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M60" i="11" l="1"/>
  <c r="L60" i="1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5" i="11" l="1"/>
  <c r="T56" i="11"/>
  <c r="O60" i="11"/>
  <c r="P60" i="11" s="1"/>
  <c r="O47" i="11"/>
  <c r="O59" i="11"/>
  <c r="P59" i="11" s="1"/>
  <c r="O37" i="11"/>
  <c r="Q37" i="11" s="1"/>
  <c r="O35" i="11"/>
  <c r="P35" i="11" s="1"/>
  <c r="O23" i="11"/>
  <c r="P23" i="11" s="1"/>
  <c r="O16" i="11"/>
  <c r="Q16" i="11" s="1"/>
  <c r="O65" i="11"/>
  <c r="O17" i="1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51" i="11"/>
  <c r="Q47" i="11"/>
  <c r="P17" i="11"/>
  <c r="P40"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P32" i="11" l="1"/>
  <c r="Q53" i="1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<sst xmlns="http://schemas.openxmlformats.org/spreadsheetml/2006/main" count="1665" uniqueCount="797">
  <si>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</si>
  <si>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</si>
  <si>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</si>
  <si>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</si>
  <si>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</si>
  <si>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</si>
  <si>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</si>
  <si>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</si>
  <si>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</si>
  <si>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</si>
  <si>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</si>
  <si>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</si>
  <si>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</si>
  <si>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</si>
  <si>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</si>
  <si>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</si>
  <si>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</si>
  <si>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</si>
  <si>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</si>
  <si>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</si>
  <si>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</si>
  <si>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</si>
  <si>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</si>
  <si>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</si>
  <si>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</si>
  <si>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</si>
  <si>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</si>
  <si>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</si>
  <si>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</si>
  <si>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</si>
  <si>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</si>
  <si>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</si>
  <si>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</si>
  <si>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</si>
  <si>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</si>
  <si>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</si>
  <si>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</si>
  <si>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</si>
  <si>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</si>
  <si>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</si>
  <si>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</si>
  <si>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</si>
  <si>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</si>
  <si>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</si>
  <si>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</si>
  <si>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</si>
  <si>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</si>
  <si>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</si>
  <si>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</si>
  <si>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</si>
  <si>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</si>
  <si>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</si>
  <si>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</si>
  <si>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</si>
  <si>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</si>
  <si>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</si>
  <si>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</si>
  <si>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</si>
  <si>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</si>
  <si>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</si>
  <si>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</si>
  <si>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</si>
  <si>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</si>
  <si>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</si>
  <si>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</si>
  <si>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</si>
  <si>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</si>
  <si>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</si>
  <si>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</si>
  <si>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</si>
  <si>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</si>
  <si>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</si>
  <si>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</si>
  <si>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</si>
  <si>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</si>
  <si>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</si>
  <si>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</si>
  <si>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</si>
  <si>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</si>
  <si>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</si>
  <si>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</si>
  <si>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</si>
  <si>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</si>
  <si>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</si>
  <si>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</si>
  <si>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</si>
  <si>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</si>
  <si>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</si>
  <si>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</si>
  <si>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</si>
  <si>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</si>
  <si>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</si>
  <si>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</si>
  <si>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</si>
  <si>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</si>
  <si>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</si>
  <si>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</si>
  <si>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</si>
  <si>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</si>
  <si>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</si>
  <si>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</si>
  <si>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</si>
  <si>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</si>
  <si>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</si>
  <si>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</si>
  <si>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</si>
  <si>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</si>
  <si>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</si>
  <si>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</si>
  <si>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</si>
  <si>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</si>
  <si>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</si>
  <si>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</si>
  <si>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</si>
  <si>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</si>
  <si>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</si>
  <si>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</si>
  <si>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</si>
  <si>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</si>
  <si>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</si>
  <si>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</si>
  <si>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</si>
  <si>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</si>
  <si>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</si>
  <si>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</si>
  <si>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</si>
  <si>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</si>
  <si>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</si>
  <si>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</si>
  <si>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</si>
  <si>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</si>
  <si>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</si>
  <si>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</si>
  <si>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</si>
  <si>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</si>
  <si>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</si>
  <si>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</si>
  <si>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</si>
  <si>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</si>
  <si>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</si>
  <si>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</si>
  <si>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</si>
  <si>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</si>
  <si>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</si>
  <si>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</si>
  <si>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</si>
  <si>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</si>
  <si>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</si>
  <si>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</si>
  <si>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</si>
  <si>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</si>
  <si>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</si>
  <si>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</si>
  <si>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</si>
  <si>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</si>
  <si>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</si>
  <si>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</si>
  <si>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</si>
  <si>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</si>
  <si>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</si>
  <si>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</si>
  <si>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</si>
  <si>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</si>
  <si>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</si>
  <si>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</si>
  <si>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</si>
  <si>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</si>
  <si>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</si>
  <si>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</si>
  <si>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</si>
  <si>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</si>
  <si>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</si>
  <si>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</si>
  <si>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</si>
  <si>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</si>
  <si>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</si>
  <si>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</si>
  <si>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</si>
  <si>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</si>
  <si>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</si>
  <si>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</si>
  <si>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</si>
  <si>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</si>
  <si>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</si>
  <si>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</si>
  <si>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</si>
  <si>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</si>
  <si>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</si>
  <si>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</si>
  <si>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</si>
  <si>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</si>
  <si>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</si>
  <si>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</si>
  <si>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</si>
  <si>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</si>
  <si>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</si>
  <si>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</si>
  <si>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</si>
  <si>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</si>
  <si>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</si>
  <si>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</si>
  <si>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</si>
  <si>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</si>
  <si>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</si>
  <si>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</si>
  <si>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</si>
  <si>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</si>
  <si>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</si>
  <si>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</si>
  <si>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</si>
  <si>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</si>
  <si>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</si>
  <si>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</si>
  <si>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</si>
  <si>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</si>
  <si>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</si>
  <si>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</si>
  <si>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</si>
  <si>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</si>
  <si>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</si>
  <si>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</si>
  <si>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</si>
  <si>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</si>
  <si>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</si>
  <si>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</si>
  <si>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</si>
  <si>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</si>
  <si>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</si>
  <si>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</si>
  <si>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</si>
  <si>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</si>
  <si>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</si>
  <si>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</si>
  <si>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</si>
  <si>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</si>
  <si>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</si>
  <si>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</si>
  <si>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</si>
  <si>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</si>
  <si>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</si>
  <si>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</si>
  <si>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</si>
  <si>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</si>
  <si>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</si>
  <si>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</si>
  <si>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</si>
  <si>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</si>
  <si>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</si>
  <si>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</si>
  <si>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</si>
  <si>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</si>
  <si>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</si>
  <si>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</si>
  <si>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</si>
  <si>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</si>
  <si>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</si>
  <si>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</si>
  <si>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</si>
  <si>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</si>
  <si>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</si>
  <si>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</si>
  <si>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</si>
  <si>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</si>
  <si>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</si>
  <si>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</si>
  <si>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</si>
  <si>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</si>
  <si>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</si>
  <si>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</si>
  <si>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</si>
  <si>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</si>
  <si>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</si>
  <si>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</si>
  <si>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</si>
  <si>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</si>
  <si>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</si>
  <si>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</si>
  <si>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</si>
  <si>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</si>
  <si>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</si>
  <si>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</si>
  <si>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</si>
  <si>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</si>
  <si>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</si>
  <si>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</si>
  <si>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</si>
  <si>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</si>
  <si>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</si>
  <si>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</si>
  <si>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</si>
  <si>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</si>
  <si>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</si>
  <si>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</si>
  <si>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</si>
  <si>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</si>
  <si>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</si>
  <si>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</si>
  <si>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</si>
  <si>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</si>
  <si>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</si>
  <si>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</si>
  <si>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</si>
  <si>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</si>
  <si>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</si>
  <si>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</si>
  <si>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</si>
  <si>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</si>
  <si>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</si>
  <si>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</si>
  <si>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</si>
  <si>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</si>
  <si>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</si>
  <si>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</si>
  <si>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</si>
  <si>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</si>
  <si>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</si>
  <si>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</si>
  <si>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</si>
  <si>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</si>
  <si>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</si>
  <si>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</si>
  <si>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</si>
  <si>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</si>
  <si>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</si>
  <si>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</si>
  <si>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</si>
  <si>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</si>
  <si>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</si>
  <si>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</si>
  <si>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</si>
  <si>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</si>
  <si>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</si>
  <si>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</si>
  <si>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</si>
  <si>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</si>
  <si>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</si>
  <si>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</si>
  <si>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</si>
  <si>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</si>
  <si>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</si>
  <si>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</si>
  <si>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</si>
  <si>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</si>
  <si>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</si>
  <si>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</si>
  <si>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</si>
  <si>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</si>
  <si>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</si>
  <si>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</si>
  <si>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</si>
  <si>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</si>
  <si>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</si>
  <si>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</si>
  <si>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</si>
  <si>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</si>
  <si>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</si>
  <si>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</si>
  <si>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</si>
  <si>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</si>
  <si>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</si>
  <si>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</si>
  <si>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</si>
  <si>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</si>
  <si>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</si>
  <si>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</si>
  <si>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</si>
  <si>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</si>
  <si>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</si>
  <si>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</si>
  <si>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</si>
  <si>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</si>
  <si>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</si>
  <si>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</si>
  <si>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</si>
  <si>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</si>
  <si>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</si>
  <si>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</si>
  <si>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</si>
  <si>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</si>
  <si>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</si>
  <si>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</si>
  <si>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</si>
  <si>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</si>
  <si>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</si>
  <si>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</si>
  <si>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</si>
  <si>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</si>
  <si>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</si>
  <si>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</si>
  <si>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</si>
  <si>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</si>
  <si>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</si>
  <si>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</si>
  <si>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</si>
  <si>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</si>
  <si>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</si>
  <si>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</si>
  <si>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</si>
  <si>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</si>
  <si>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</si>
  <si>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</si>
  <si>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</si>
  <si>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</si>
  <si>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</si>
  <si>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</si>
  <si>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</si>
  <si>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</si>
  <si>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</si>
  <si>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</si>
  <si>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</si>
  <si>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</si>
  <si>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</si>
  <si>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</si>
  <si>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</si>
  <si>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</si>
  <si>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</si>
  <si>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</si>
  <si>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</si>
  <si>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</si>
  <si>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</si>
  <si>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</si>
  <si>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</si>
  <si>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</si>
  <si>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Tekući budžetski izdaci</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</si>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</sst>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2094602208"/>
        <c:axId val="-2094609824"/>
      </c:lineChart>
      <c:catAx>
        <c:axId val="-2094602208"/>
        <c:scaling>
          <c:orientation val="minMax"/>
        </c:scaling>
        <c:delete val="0"/>
        <c:axPos val="b"/>
        <c:numFmt formatCode="General" sourceLinked="0"/>
        <c:majorTickMark val="out"/>
        <c:minorTickMark val="none"/>
        <c:tickLblPos val="nextTo"/>
        <c:txPr>
          <a:bodyPr/>
          <a:lstStyle/>
          <a:p>
            <a:pPr>
              <a:defRPr lang="en-US" sz="600"/>
            </a:pPr>
            <a:endParaRPr lang="en-US"/>
          </a:p>
        </c:txPr>
        <c:crossAx val="-2094609824"/>
        <c:crosses val="autoZero"/>
        <c:auto val="1"/>
        <c:lblAlgn val="ctr"/>
        <c:lblOffset val="100"/>
        <c:tickLblSkip val="3"/>
        <c:noMultiLvlLbl val="0"/>
      </c:catAx>
      <c:valAx>
        <c:axId val="-2094609824"/>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2094602208"/>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966101968"/>
        <c:axId val="-1966095440"/>
      </c:lineChart>
      <c:catAx>
        <c:axId val="-1966101968"/>
        <c:scaling>
          <c:orientation val="minMax"/>
        </c:scaling>
        <c:delete val="0"/>
        <c:axPos val="b"/>
        <c:numFmt formatCode="General" sourceLinked="0"/>
        <c:majorTickMark val="out"/>
        <c:minorTickMark val="none"/>
        <c:tickLblPos val="low"/>
        <c:txPr>
          <a:bodyPr/>
          <a:lstStyle/>
          <a:p>
            <a:pPr>
              <a:defRPr lang="en-US" sz="600"/>
            </a:pPr>
            <a:endParaRPr lang="en-US"/>
          </a:p>
        </c:txPr>
        <c:crossAx val="-1966095440"/>
        <c:crosses val="autoZero"/>
        <c:auto val="1"/>
        <c:lblAlgn val="ctr"/>
        <c:lblOffset val="100"/>
        <c:tickLblSkip val="3"/>
        <c:noMultiLvlLbl val="0"/>
      </c:catAx>
      <c:valAx>
        <c:axId val="-1966095440"/>
        <c:scaling>
          <c:orientation val="minMax"/>
        </c:scaling>
        <c:delete val="0"/>
        <c:axPos val="l"/>
        <c:numFmt formatCode="###,000" sourceLinked="1"/>
        <c:majorTickMark val="out"/>
        <c:minorTickMark val="none"/>
        <c:tickLblPos val="nextTo"/>
        <c:txPr>
          <a:bodyPr/>
          <a:lstStyle/>
          <a:p>
            <a:pPr>
              <a:defRPr lang="en-US" sz="500"/>
            </a:pPr>
            <a:endParaRPr lang="en-US"/>
          </a:p>
        </c:txPr>
        <c:crossAx val="-1966101968"/>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a:t>
          </a:r>
          <a:r>
            <a:rPr lang="sr-Latn-ME"/>
            <a:t>the period </a:t>
          </a:r>
          <a:r>
            <a:rPr lang="en-US"/>
            <a:t>January</a:t>
          </a:r>
          <a:r>
            <a:rPr lang="sr-Latn-ME"/>
            <a:t>-April</a:t>
          </a:r>
          <a:r>
            <a:rPr lang="sr-Latn-ME" baseline="0"/>
            <a:t> </a:t>
          </a:r>
          <a:r>
            <a:rPr lang="en-US"/>
            <a:t>2019 amounted to  </a:t>
          </a:r>
          <a:r>
            <a:rPr lang="sr-Latn-ME"/>
            <a:t>536,4</a:t>
          </a:r>
          <a:r>
            <a:rPr lang="en-US"/>
            <a:t> million</a:t>
          </a:r>
          <a:r>
            <a:rPr lang="sr-Latn-ME"/>
            <a:t> €</a:t>
          </a:r>
          <a:r>
            <a:rPr lang="en-US"/>
            <a:t> and </a:t>
          </a:r>
          <a:r>
            <a:rPr lang="sr-Latn-ME"/>
            <a:t>the</a:t>
          </a:r>
          <a:r>
            <a:rPr lang="sr-Latn-ME" baseline="0"/>
            <a:t>y </a:t>
          </a:r>
          <a:r>
            <a:rPr lang="en-US"/>
            <a:t>were by </a:t>
          </a:r>
          <a:r>
            <a:rPr lang="sr-Latn-ME"/>
            <a:t>25,3</a:t>
          </a:r>
          <a:r>
            <a:rPr lang="en-US"/>
            <a:t> million</a:t>
          </a:r>
          <a:r>
            <a:rPr lang="sr-Latn-ME"/>
            <a:t> €</a:t>
          </a:r>
          <a:r>
            <a:rPr lang="en-US"/>
            <a:t> or </a:t>
          </a:r>
          <a:r>
            <a:rPr lang="sr-Latn-ME"/>
            <a:t>5,0</a:t>
          </a:r>
          <a:r>
            <a:rPr lang="en-US"/>
            <a:t>% higher than the plan. Compared to the same </a:t>
          </a:r>
          <a:r>
            <a:rPr lang="sr-Latn-ME"/>
            <a:t>period</a:t>
          </a:r>
          <a:r>
            <a:rPr lang="en-US"/>
            <a:t> of the previous year, revenues were higher by </a:t>
          </a:r>
          <a:r>
            <a:rPr lang="sr-Latn-ME"/>
            <a:t>52,1</a:t>
          </a:r>
          <a:r>
            <a:rPr lang="sr-Latn-ME" baseline="0"/>
            <a:t> </a:t>
          </a:r>
          <a:r>
            <a:rPr lang="en-US"/>
            <a:t>million</a:t>
          </a:r>
          <a:r>
            <a:rPr lang="sr-Latn-ME"/>
            <a:t> €</a:t>
          </a:r>
          <a:r>
            <a:rPr lang="en-US"/>
            <a:t> or </a:t>
          </a:r>
          <a:r>
            <a:rPr lang="sr-Latn-ME"/>
            <a:t>10,8</a:t>
          </a:r>
          <a:r>
            <a:rPr lang="en-US"/>
            <a:t>%. </a:t>
          </a:r>
          <a:r>
            <a:rPr lang="en-US" b="1"/>
            <a:t>Budget expenditures </a:t>
          </a:r>
          <a:r>
            <a:rPr lang="en-US"/>
            <a:t>in </a:t>
          </a:r>
          <a:r>
            <a:rPr lang="sr-Latn-ME"/>
            <a:t>the</a:t>
          </a:r>
          <a:r>
            <a:rPr lang="sr-Latn-ME" baseline="0"/>
            <a:t> period </a:t>
          </a:r>
          <a:r>
            <a:rPr lang="en-US"/>
            <a:t>January</a:t>
          </a:r>
          <a:r>
            <a:rPr lang="sr-Latn-ME"/>
            <a:t>-April</a:t>
          </a:r>
          <a:r>
            <a:rPr lang="en-US"/>
            <a:t> 2019 amounted to </a:t>
          </a:r>
          <a:r>
            <a:rPr lang="sr-Latn-ME"/>
            <a:t>597,5</a:t>
          </a:r>
          <a:r>
            <a:rPr lang="en-US"/>
            <a:t> million </a:t>
          </a:r>
          <a:r>
            <a:rPr lang="sr-Latn-ME"/>
            <a:t>€ </a:t>
          </a:r>
          <a:r>
            <a:rPr lang="en-US"/>
            <a:t>or </a:t>
          </a:r>
          <a:r>
            <a:rPr lang="sr-Latn-ME"/>
            <a:t>12,5</a:t>
          </a:r>
          <a:r>
            <a:rPr lang="en-US"/>
            <a:t>% of GDP and were higher by </a:t>
          </a:r>
          <a:r>
            <a:rPr lang="sr-Latn-ME"/>
            <a:t>36,9 </a:t>
          </a:r>
          <a:r>
            <a:rPr lang="en-US"/>
            <a:t>million</a:t>
          </a:r>
          <a:r>
            <a:rPr lang="sr-Latn-ME" baseline="0"/>
            <a:t> </a:t>
          </a:r>
          <a:r>
            <a:rPr lang="en-US"/>
            <a:t>€ or </a:t>
          </a:r>
          <a:r>
            <a:rPr lang="sr-Latn-ME"/>
            <a:t>6,6</a:t>
          </a:r>
          <a:r>
            <a:rPr lang="en-US"/>
            <a:t>% compared to the same </a:t>
          </a:r>
          <a:r>
            <a:rPr lang="sr-Latn-ME"/>
            <a:t>period</a:t>
          </a:r>
          <a:r>
            <a:rPr lang="en-US"/>
            <a:t> of the previous year. Compared to the plan, expenditures were lower by </a:t>
          </a:r>
          <a:r>
            <a:rPr lang="sr-Latn-ME"/>
            <a:t>94,2</a:t>
          </a:r>
          <a:r>
            <a:rPr lang="en-US"/>
            <a:t> million</a:t>
          </a:r>
          <a:r>
            <a:rPr lang="sr-Latn-ME"/>
            <a:t> €</a:t>
          </a:r>
          <a:r>
            <a:rPr lang="en-US"/>
            <a:t> or </a:t>
          </a:r>
          <a:r>
            <a:rPr lang="sr-Latn-ME"/>
            <a:t>13,6</a:t>
          </a:r>
          <a:r>
            <a:rPr lang="en-US"/>
            <a:t>%. In</a:t>
          </a:r>
          <a:r>
            <a:rPr lang="sr-Latn-ME"/>
            <a:t> the</a:t>
          </a:r>
          <a:r>
            <a:rPr lang="sr-Latn-ME" baseline="0"/>
            <a:t> period</a:t>
          </a:r>
          <a:r>
            <a:rPr lang="en-US"/>
            <a:t> January</a:t>
          </a:r>
          <a:r>
            <a:rPr lang="sr-Latn-ME"/>
            <a:t>-April</a:t>
          </a:r>
          <a:r>
            <a:rPr lang="en-US"/>
            <a:t> 2019, the </a:t>
          </a:r>
          <a:r>
            <a:rPr lang="en-US" b="1"/>
            <a:t>budget deficit </a:t>
          </a:r>
          <a:r>
            <a:rPr lang="en-US"/>
            <a:t>amounted to </a:t>
          </a:r>
          <a:r>
            <a:rPr lang="sr-Latn-ME"/>
            <a:t>61,1</a:t>
          </a:r>
          <a:r>
            <a:rPr lang="en-US"/>
            <a:t> million</a:t>
          </a:r>
          <a:r>
            <a:rPr lang="sr-Latn-ME"/>
            <a:t> €</a:t>
          </a:r>
          <a:r>
            <a:rPr lang="en-US"/>
            <a:t> or </a:t>
          </a:r>
          <a:r>
            <a:rPr lang="sr-Latn-ME"/>
            <a:t>1,3</a:t>
          </a:r>
          <a:r>
            <a:rPr lang="en-US"/>
            <a:t>%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2019-04</v>
      </c>
      <c r="O6" s="168" t="str">
        <f>+CONCATENATE(N6,"p")</f>
        <v>2019-04p</v>
      </c>
      <c r="P6" s="152"/>
      <c r="Q6" s="152"/>
      <c r="R6" s="168" t="str">
        <f>+IF(Master!B3-10&gt;=0,CONCATENATE(Master!B4-1,"-",Master!B3),CONCATENATE(Master!B4-1,"-0",Master!B3))</f>
        <v>2018-04</v>
      </c>
      <c r="S6" s="152"/>
      <c r="T6" s="152"/>
    </row>
    <row r="7" spans="1:20">
      <c r="A7" s="169"/>
      <c r="B7" s="454" t="s">
        <v>707</v>
      </c>
      <c r="C7" s="455"/>
      <c r="D7" s="455"/>
      <c r="E7" s="455"/>
      <c r="F7" s="455"/>
      <c r="G7" s="463" t="s">
        <v>705</v>
      </c>
      <c r="H7" s="464"/>
      <c r="I7" s="464"/>
      <c r="J7" s="464"/>
      <c r="K7" s="464"/>
      <c r="L7" s="464"/>
      <c r="M7" s="465"/>
      <c r="N7" s="466" t="str">
        <f>+Master!G242</f>
        <v>December</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Apr 2018</v>
      </c>
      <c r="L8" s="450" t="str">
        <f>+I8</f>
        <v>Deviation</v>
      </c>
      <c r="M8" s="462"/>
      <c r="N8" s="171" t="str">
        <f>+G8</f>
        <v>Execution</v>
      </c>
      <c r="O8" s="170" t="str">
        <f>+H8</f>
        <v>Plan</v>
      </c>
      <c r="P8" s="450" t="str">
        <f>+I8</f>
        <v>Deviation</v>
      </c>
      <c r="Q8" s="450"/>
      <c r="R8" s="170" t="str">
        <f>+CONCATENATE(Master!G244," ",Master!B4-1)</f>
        <v>April 2018</v>
      </c>
      <c r="S8" s="450" t="str">
        <f>+P8</f>
        <v>Deviation</v>
      </c>
      <c r="T8" s="451"/>
    </row>
    <row r="9" spans="1:20" ht="15.75" thickBot="1">
      <c r="A9" s="169"/>
      <c r="B9" s="459"/>
      <c r="C9" s="460"/>
      <c r="D9" s="460"/>
      <c r="E9" s="460"/>
      <c r="F9" s="46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96" t="str">
        <f>+VLOOKUP($A10,Master!$D$27:$G$225,4,FALSE)</f>
        <v>Total Revenues</v>
      </c>
      <c r="C10" s="497"/>
      <c r="D10" s="497"/>
      <c r="E10" s="497"/>
      <c r="F10" s="497"/>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98" t="str">
        <f>+VLOOKUP($A11,Master!$D$27:$G$225,4,FALSE)</f>
        <v>Taxes</v>
      </c>
      <c r="C11" s="499"/>
      <c r="D11" s="499"/>
      <c r="E11" s="499"/>
      <c r="F11" s="499"/>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4" t="str">
        <f>+VLOOKUP($A12,Master!$D$27:$G$225,4,FALSE)</f>
        <v>Personal Income Tax</v>
      </c>
      <c r="C12" s="485"/>
      <c r="D12" s="485"/>
      <c r="E12" s="485"/>
      <c r="F12" s="48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4" t="str">
        <f>+VLOOKUP($A13,Master!$D$27:$G$225,4,FALSE)</f>
        <v>Corporate Income Tax</v>
      </c>
      <c r="C13" s="485"/>
      <c r="D13" s="485"/>
      <c r="E13" s="485"/>
      <c r="F13" s="48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4" t="str">
        <f>+VLOOKUP($A14,Master!$D$27:$G$225,4,FALSE)</f>
        <v xml:space="preserve">Taxes on Sales of Property </v>
      </c>
      <c r="C14" s="485"/>
      <c r="D14" s="485"/>
      <c r="E14" s="485"/>
      <c r="F14" s="48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4" t="str">
        <f>+VLOOKUP($A15,Master!$D$27:$G$225,4,FALSE)</f>
        <v>Value Added Tax</v>
      </c>
      <c r="C15" s="485"/>
      <c r="D15" s="485"/>
      <c r="E15" s="485"/>
      <c r="F15" s="48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4" t="str">
        <f>+VLOOKUP($A16,Master!$D$27:$G$225,4,FALSE)</f>
        <v>Excises</v>
      </c>
      <c r="C16" s="485"/>
      <c r="D16" s="485"/>
      <c r="E16" s="485"/>
      <c r="F16" s="48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4" t="str">
        <f>+VLOOKUP($A17,Master!$D$27:$G$225,4,FALSE)</f>
        <v>Tax on International Trade and Transactions</v>
      </c>
      <c r="C17" s="485"/>
      <c r="D17" s="485"/>
      <c r="E17" s="485"/>
      <c r="F17" s="48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4" t="e">
        <f>+VLOOKUP($A18,Master!$D$27:$G$225,4,FALSE)</f>
        <v>#N/A</v>
      </c>
      <c r="C18" s="485"/>
      <c r="D18" s="485"/>
      <c r="E18" s="485"/>
      <c r="F18" s="48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4" t="str">
        <f>+VLOOKUP($A19,Master!$D$27:$G$225,4,FALSE)</f>
        <v>Other Republic Taxes</v>
      </c>
      <c r="C19" s="485"/>
      <c r="D19" s="485"/>
      <c r="E19" s="485"/>
      <c r="F19" s="48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4" t="str">
        <f>+VLOOKUP($A20,Master!$D$27:$G$225,4,FALSE)</f>
        <v>Contributions</v>
      </c>
      <c r="C20" s="495"/>
      <c r="D20" s="495"/>
      <c r="E20" s="495"/>
      <c r="F20" s="495"/>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4" t="str">
        <f>+VLOOKUP($A21,Master!$D$27:$G$225,4,FALSE)</f>
        <v>Contributions for Pension and Disability Insurance</v>
      </c>
      <c r="C21" s="485"/>
      <c r="D21" s="485"/>
      <c r="E21" s="485"/>
      <c r="F21" s="48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4" t="str">
        <f>+VLOOKUP($A22,Master!$D$27:$G$225,4,FALSE)</f>
        <v>Contributions for Health Insurance</v>
      </c>
      <c r="C22" s="485"/>
      <c r="D22" s="485"/>
      <c r="E22" s="485"/>
      <c r="F22" s="48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4" t="str">
        <f>+VLOOKUP($A23,Master!$D$27:$G$225,4,FALSE)</f>
        <v>Contributions for  Unemployment Insurance</v>
      </c>
      <c r="C23" s="485"/>
      <c r="D23" s="485"/>
      <c r="E23" s="485"/>
      <c r="F23" s="48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4" t="str">
        <f>+VLOOKUP($A24,Master!$D$27:$G$225,4,FALSE)</f>
        <v>Other contributions</v>
      </c>
      <c r="C24" s="485"/>
      <c r="D24" s="485"/>
      <c r="E24" s="485"/>
      <c r="F24" s="48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86" t="str">
        <f>+VLOOKUP($A25,Master!$D$27:$G$225,4,FALSE)</f>
        <v>Duties</v>
      </c>
      <c r="C25" s="487"/>
      <c r="D25" s="487"/>
      <c r="E25" s="487"/>
      <c r="F25" s="48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86" t="str">
        <f>+VLOOKUP($A26,Master!$D$27:$G$225,4,FALSE)</f>
        <v>Fees</v>
      </c>
      <c r="C26" s="487"/>
      <c r="D26" s="487"/>
      <c r="E26" s="487"/>
      <c r="F26" s="48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86" t="str">
        <f>+VLOOKUP($A27,Master!$D$27:$G$225,4,FALSE)</f>
        <v>Other revenues</v>
      </c>
      <c r="C27" s="487"/>
      <c r="D27" s="487"/>
      <c r="E27" s="487"/>
      <c r="F27" s="48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86" t="str">
        <f>+VLOOKUP($A28,Master!$D$27:$G$225,4,FALSE)</f>
        <v>Receipts from Repayment of Loans and Funds Carried over from Previous Year</v>
      </c>
      <c r="C28" s="487"/>
      <c r="D28" s="487"/>
      <c r="E28" s="487"/>
      <c r="F28" s="48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88" t="str">
        <f>+VLOOKUP($A29,Master!$D$27:$G$225,4,FALSE)</f>
        <v>Grants and Transfers</v>
      </c>
      <c r="C29" s="489"/>
      <c r="D29" s="489"/>
      <c r="E29" s="489"/>
      <c r="F29" s="489"/>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4" t="str">
        <f>+VLOOKUP($A30,Master!$D$27:$G$225,4,FALSE)</f>
        <v>Total Expenditures</v>
      </c>
      <c r="C30" s="475"/>
      <c r="D30" s="475"/>
      <c r="E30" s="475"/>
      <c r="F30" s="475"/>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0" t="str">
        <f>+VLOOKUP($A31,Master!$D$27:$G$225,4,FALSE)</f>
        <v>Current Expenditures</v>
      </c>
      <c r="C31" s="491"/>
      <c r="D31" s="491"/>
      <c r="E31" s="491"/>
      <c r="F31" s="491"/>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2" t="str">
        <f>+VLOOKUP($A32,Master!$D$27:$G$225,4,FALSE)</f>
        <v>Current Budgetary Expenditures</v>
      </c>
      <c r="C32" s="493"/>
      <c r="D32" s="493"/>
      <c r="E32" s="493"/>
      <c r="F32" s="493"/>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4" t="str">
        <f>+VLOOKUP($A33,Master!$D$27:$G$225,4,FALSE)</f>
        <v>Gross Salaries and Contributions</v>
      </c>
      <c r="C33" s="485"/>
      <c r="D33" s="485"/>
      <c r="E33" s="485"/>
      <c r="F33" s="48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4" t="str">
        <f>+VLOOKUP($A34,Master!$D$27:$G$225,4,FALSE)</f>
        <v>Other Personal Income</v>
      </c>
      <c r="C34" s="485"/>
      <c r="D34" s="485"/>
      <c r="E34" s="485"/>
      <c r="F34" s="48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4" t="str">
        <f>+VLOOKUP($A35,Master!$D$27:$G$225,4,FALSE)</f>
        <v>Expenditures for Supplies</v>
      </c>
      <c r="C35" s="485"/>
      <c r="D35" s="485"/>
      <c r="E35" s="485"/>
      <c r="F35" s="48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4" t="str">
        <f>+VLOOKUP($A36,Master!$D$27:$G$225,4,FALSE)</f>
        <v>Expenditures for Services</v>
      </c>
      <c r="C36" s="485"/>
      <c r="D36" s="485"/>
      <c r="E36" s="485"/>
      <c r="F36" s="48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4" t="str">
        <f>+VLOOKUP($A37,Master!$D$27:$G$225,4,FALSE)</f>
        <v>Current Maintenance</v>
      </c>
      <c r="C37" s="485"/>
      <c r="D37" s="485"/>
      <c r="E37" s="485"/>
      <c r="F37" s="48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4" t="str">
        <f>+VLOOKUP($A38,Master!$D$27:$G$225,4,FALSE)</f>
        <v>Interests</v>
      </c>
      <c r="C38" s="485"/>
      <c r="D38" s="485"/>
      <c r="E38" s="485"/>
      <c r="F38" s="48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4" t="str">
        <f>+VLOOKUP($A39,Master!$D$27:$G$225,4,FALSE)</f>
        <v>Rent</v>
      </c>
      <c r="C39" s="485"/>
      <c r="D39" s="485"/>
      <c r="E39" s="485"/>
      <c r="F39" s="48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4" t="str">
        <f>+VLOOKUP($A40,Master!$D$27:$G$225,4,FALSE)</f>
        <v>Subsidies</v>
      </c>
      <c r="C40" s="485"/>
      <c r="D40" s="485"/>
      <c r="E40" s="485"/>
      <c r="F40" s="48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4" t="str">
        <f>+VLOOKUP($A41,Master!$D$27:$G$225,4,FALSE)</f>
        <v>Other expenditures</v>
      </c>
      <c r="C41" s="485"/>
      <c r="D41" s="485"/>
      <c r="E41" s="485"/>
      <c r="F41" s="48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4" t="str">
        <f>+VLOOKUP($A42,Master!$D$27:$G$225,4,FALSE)</f>
        <v>Current Capital Expenditure</v>
      </c>
      <c r="C42" s="485"/>
      <c r="D42" s="485"/>
      <c r="E42" s="485"/>
      <c r="F42" s="48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0" t="str">
        <f>+VLOOKUP($A43,Master!$D$27:$G$225,4,FALSE)</f>
        <v>Social Security Transfers</v>
      </c>
      <c r="C43" s="481"/>
      <c r="D43" s="481"/>
      <c r="E43" s="481"/>
      <c r="F43" s="48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4" t="str">
        <f>+VLOOKUP($A44,Master!$D$27:$G$225,4,FALSE)</f>
        <v>Social Security</v>
      </c>
      <c r="C44" s="485"/>
      <c r="D44" s="485"/>
      <c r="E44" s="485"/>
      <c r="F44" s="48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4" t="str">
        <f>+VLOOKUP($A45,Master!$D$27:$G$225,4,FALSE)</f>
        <v>Funds for redundant labor</v>
      </c>
      <c r="C45" s="485"/>
      <c r="D45" s="485"/>
      <c r="E45" s="485"/>
      <c r="F45" s="48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4" t="str">
        <f>+VLOOKUP($A46,Master!$D$27:$G$225,4,FALSE)</f>
        <v>Pension and Disability Insurance</v>
      </c>
      <c r="C46" s="485"/>
      <c r="D46" s="485"/>
      <c r="E46" s="485"/>
      <c r="F46" s="48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4" t="str">
        <f>+VLOOKUP($A47,Master!$D$27:$G$225,4,FALSE)</f>
        <v>Other Health Care Transfers</v>
      </c>
      <c r="C47" s="485"/>
      <c r="D47" s="485"/>
      <c r="E47" s="485"/>
      <c r="F47" s="48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4" t="str">
        <f>+VLOOKUP($A48,Master!$D$27:$G$225,4,FALSE)</f>
        <v>Other Health Care Insurance</v>
      </c>
      <c r="C48" s="485"/>
      <c r="D48" s="485"/>
      <c r="E48" s="485"/>
      <c r="F48" s="48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2" t="str">
        <f>+VLOOKUP($A49,Master!$D$27:$G$225,4,FALSE)</f>
        <v xml:space="preserve">Transfers to Institutions, Individuals, NGO and Public Sector </v>
      </c>
      <c r="C49" s="483"/>
      <c r="D49" s="483"/>
      <c r="E49" s="483"/>
      <c r="F49" s="483"/>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2" t="str">
        <f>+VLOOKUP($A50,Master!$D$27:$G$225,4,FALSE)</f>
        <v>Capital Expenditure</v>
      </c>
      <c r="C50" s="483"/>
      <c r="D50" s="483"/>
      <c r="E50" s="483"/>
      <c r="F50" s="483"/>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2" t="str">
        <f>+VLOOKUP($A51,Master!$D$27:$G$225,4,FALSE)</f>
        <v>Credits and Borrowings</v>
      </c>
      <c r="C51" s="453"/>
      <c r="D51" s="453"/>
      <c r="E51" s="453"/>
      <c r="F51" s="45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2" t="str">
        <f>+VLOOKUP($A52,Master!$D$27:$G$225,4,FALSE)</f>
        <v>Reserves</v>
      </c>
      <c r="C52" s="453"/>
      <c r="D52" s="453"/>
      <c r="E52" s="453"/>
      <c r="F52" s="45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0" t="str">
        <f>+VLOOKUP($A53,Master!$D$27:$G$225,4,FALSE)</f>
        <v>Repayment of Guarantees</v>
      </c>
      <c r="C53" s="471"/>
      <c r="D53" s="471"/>
      <c r="E53" s="471"/>
      <c r="F53" s="471"/>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0" t="str">
        <f>+VLOOKUP($A54,Master!$D$27:$G$225,4,FALSE)</f>
        <v>Repayments of Arrears</v>
      </c>
      <c r="C54" s="471"/>
      <c r="D54" s="471"/>
      <c r="E54" s="471"/>
      <c r="F54" s="471"/>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0" t="str">
        <f>+VLOOKUP($A55,Master!$D$27:$G$227,4,FALSE)</f>
        <v>Net increase of liabilities</v>
      </c>
      <c r="C55" s="471"/>
      <c r="D55" s="471"/>
      <c r="E55" s="471"/>
      <c r="F55" s="471"/>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0" t="str">
        <f>+VLOOKUP($A58,Master!$D$27:$G$225,4,FALSE)</f>
        <v>Repayment of Debt</v>
      </c>
      <c r="C58" s="481"/>
      <c r="D58" s="481"/>
      <c r="E58" s="481"/>
      <c r="F58" s="48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68" t="str">
        <f>+VLOOKUP($A59,Master!$D$27:$G$225,4,FALSE)</f>
        <v>Repayment of Domestic Debt</v>
      </c>
      <c r="C59" s="469"/>
      <c r="D59" s="469"/>
      <c r="E59" s="469"/>
      <c r="F59" s="469"/>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2" t="str">
        <f>+VLOOKUP($A60,Master!$D$27:$G$225,4,FALSE)</f>
        <v>Repayment of Foreign Debt</v>
      </c>
      <c r="C60" s="453"/>
      <c r="D60" s="453"/>
      <c r="E60" s="453"/>
      <c r="F60" s="45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698</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2" t="str">
        <f>+VLOOKUP($A62,Master!$D$27:$G$225,4,FALSE)</f>
        <v>Financing needs</v>
      </c>
      <c r="C62" s="473"/>
      <c r="D62" s="473"/>
      <c r="E62" s="473"/>
      <c r="F62" s="473"/>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4" t="str">
        <f>+VLOOKUP($A63,Master!$D$27:$G$225,4,FALSE)</f>
        <v>Financing</v>
      </c>
      <c r="C63" s="475"/>
      <c r="D63" s="475"/>
      <c r="E63" s="475"/>
      <c r="F63" s="475"/>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68" t="str">
        <f>+VLOOKUP($A64,Master!$D$27:$G$225,4,FALSE)</f>
        <v>Domestic Loans and Borrowings</v>
      </c>
      <c r="C64" s="469"/>
      <c r="D64" s="469"/>
      <c r="E64" s="469"/>
      <c r="F64" s="469"/>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2" t="str">
        <f>+VLOOKUP($A65,Master!$D$27:$G$225,4,FALSE)</f>
        <v>Foreign Loans and Borrowings</v>
      </c>
      <c r="C65" s="453"/>
      <c r="D65" s="453"/>
      <c r="E65" s="453"/>
      <c r="F65" s="45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2" t="str">
        <f>+VLOOKUP($A66,Master!$D$27:$G$225,4,FALSE)</f>
        <v>Revenues from Selling Assets</v>
      </c>
      <c r="C66" s="453"/>
      <c r="D66" s="453"/>
      <c r="E66" s="453"/>
      <c r="F66" s="45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530</v>
      </c>
      <c r="H6" s="259" t="s">
        <v>531</v>
      </c>
      <c r="I6" s="259" t="s">
        <v>532</v>
      </c>
      <c r="J6" s="259" t="s">
        <v>533</v>
      </c>
      <c r="K6" s="259" t="s">
        <v>534</v>
      </c>
      <c r="L6" s="259" t="s">
        <v>535</v>
      </c>
      <c r="M6" s="259" t="s">
        <v>536</v>
      </c>
      <c r="N6" s="259" t="s">
        <v>537</v>
      </c>
      <c r="O6" s="259" t="s">
        <v>538</v>
      </c>
      <c r="P6" s="259" t="s">
        <v>539</v>
      </c>
      <c r="Q6" s="259" t="s">
        <v>540</v>
      </c>
      <c r="R6" s="259" t="s">
        <v>541</v>
      </c>
      <c r="S6" s="258"/>
      <c r="T6" s="258"/>
    </row>
    <row r="7" spans="1:20" ht="15" customHeight="1" thickBot="1">
      <c r="A7" s="169"/>
      <c r="B7" s="557" t="str">
        <f>+Master!G251</f>
        <v>Budget Execution</v>
      </c>
      <c r="C7" s="455"/>
      <c r="D7" s="455"/>
      <c r="E7" s="455"/>
      <c r="F7" s="455"/>
      <c r="G7" s="463">
        <v>2014</v>
      </c>
      <c r="H7" s="464"/>
      <c r="I7" s="464"/>
      <c r="J7" s="464"/>
      <c r="K7" s="464"/>
      <c r="L7" s="464"/>
      <c r="M7" s="464"/>
      <c r="N7" s="464"/>
      <c r="O7" s="464"/>
      <c r="P7" s="464"/>
      <c r="Q7" s="464"/>
      <c r="R7" s="467"/>
      <c r="S7" s="260" t="str">
        <f>+Master!G248</f>
        <v>GDP</v>
      </c>
      <c r="T7" s="261">
        <v>3457880000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705</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98" t="str">
        <f>+VLOOKUP($A11,Master!$D$27:$G$225,4,FALSE)</f>
        <v>Taxes</v>
      </c>
      <c r="C11" s="499"/>
      <c r="D11" s="499"/>
      <c r="E11" s="499"/>
      <c r="F11" s="499"/>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4" t="str">
        <f>+VLOOKUP($A12,Master!$D$27:$G$225,4,FALSE)</f>
        <v>Personal Income Tax</v>
      </c>
      <c r="C12" s="485"/>
      <c r="D12" s="485"/>
      <c r="E12" s="485"/>
      <c r="F12" s="48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4" t="str">
        <f>+VLOOKUP($A13,Master!$D$27:$G$225,4,FALSE)</f>
        <v>Corporate Income Tax</v>
      </c>
      <c r="C13" s="485"/>
      <c r="D13" s="485"/>
      <c r="E13" s="485"/>
      <c r="F13" s="48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4" t="str">
        <f>+VLOOKUP($A14,Master!$D$27:$G$225,4,FALSE)</f>
        <v xml:space="preserve">Taxes on Sales of Property </v>
      </c>
      <c r="C14" s="485"/>
      <c r="D14" s="485"/>
      <c r="E14" s="485"/>
      <c r="F14" s="48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4" t="str">
        <f>+VLOOKUP($A15,Master!$D$27:$G$225,4,FALSE)</f>
        <v>Value Added Tax</v>
      </c>
      <c r="C15" s="485"/>
      <c r="D15" s="485"/>
      <c r="E15" s="485"/>
      <c r="F15" s="48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4" t="str">
        <f>+VLOOKUP($A16,Master!$D$27:$G$225,4,FALSE)</f>
        <v>Excises</v>
      </c>
      <c r="C16" s="485"/>
      <c r="D16" s="485"/>
      <c r="E16" s="485"/>
      <c r="F16" s="48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4" t="str">
        <f>+VLOOKUP($A17,Master!$D$27:$G$225,4,FALSE)</f>
        <v>Tax on International Trade and Transactions</v>
      </c>
      <c r="C17" s="485"/>
      <c r="D17" s="485"/>
      <c r="E17" s="485"/>
      <c r="F17" s="48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4" t="str">
        <f>+VLOOKUP($A18,Master!$D$27:$G$225,4,FALSE)</f>
        <v>Other Republic Taxes</v>
      </c>
      <c r="C18" s="485"/>
      <c r="D18" s="485"/>
      <c r="E18" s="485"/>
      <c r="F18" s="48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4" t="str">
        <f>+VLOOKUP($A19,Master!$D$27:$G$225,4,FALSE)</f>
        <v>Contributions</v>
      </c>
      <c r="C19" s="495"/>
      <c r="D19" s="495"/>
      <c r="E19" s="495"/>
      <c r="F19" s="495"/>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4" t="str">
        <f>+VLOOKUP($A20,Master!$D$27:$G$225,4,FALSE)</f>
        <v>Contributions for Pension and Disability Insurance</v>
      </c>
      <c r="C20" s="485"/>
      <c r="D20" s="485"/>
      <c r="E20" s="485"/>
      <c r="F20" s="48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4" t="str">
        <f>+VLOOKUP($A21,Master!$D$27:$G$225,4,FALSE)</f>
        <v>Contributions for Health Insurance</v>
      </c>
      <c r="C21" s="485"/>
      <c r="D21" s="485"/>
      <c r="E21" s="485"/>
      <c r="F21" s="48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4" t="str">
        <f>+VLOOKUP($A22,Master!$D$27:$G$225,4,FALSE)</f>
        <v>Contributions for  Unemployment Insurance</v>
      </c>
      <c r="C22" s="485"/>
      <c r="D22" s="485"/>
      <c r="E22" s="485"/>
      <c r="F22" s="48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4" t="str">
        <f>+VLOOKUP($A23,Master!$D$27:$G$225,4,FALSE)</f>
        <v>Other contributions</v>
      </c>
      <c r="C23" s="485"/>
      <c r="D23" s="485"/>
      <c r="E23" s="485"/>
      <c r="F23" s="48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86" t="str">
        <f>+VLOOKUP($A24,Master!$D$27:$G$225,4,FALSE)</f>
        <v>Duties</v>
      </c>
      <c r="C24" s="487"/>
      <c r="D24" s="487"/>
      <c r="E24" s="487"/>
      <c r="F24" s="48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86" t="str">
        <f>+VLOOKUP($A25,Master!$D$27:$G$225,4,FALSE)</f>
        <v>Fees</v>
      </c>
      <c r="C25" s="487"/>
      <c r="D25" s="487"/>
      <c r="E25" s="487"/>
      <c r="F25" s="48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86" t="str">
        <f>+VLOOKUP($A26,Master!$D$27:$G$225,4,FALSE)</f>
        <v>Other revenues</v>
      </c>
      <c r="C26" s="487"/>
      <c r="D26" s="487"/>
      <c r="E26" s="487"/>
      <c r="F26" s="48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86" t="str">
        <f>+VLOOKUP($A27,Master!$D$27:$G$225,4,FALSE)</f>
        <v>Receipts from Repayment of Loans and Funds Carried over from Previous Year</v>
      </c>
      <c r="C27" s="487"/>
      <c r="D27" s="487"/>
      <c r="E27" s="487"/>
      <c r="F27" s="48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88" t="str">
        <f>+VLOOKUP($A28,Master!$D$27:$G$225,4,FALSE)</f>
        <v>Grants and Transfers</v>
      </c>
      <c r="C28" s="489"/>
      <c r="D28" s="489"/>
      <c r="E28" s="489"/>
      <c r="F28" s="489"/>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4" t="str">
        <f>+VLOOKUP($A29,Master!$D$27:$G$225,4,FALSE)</f>
        <v>Total Expenditures</v>
      </c>
      <c r="C29" s="475"/>
      <c r="D29" s="475"/>
      <c r="E29" s="475"/>
      <c r="F29" s="475"/>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0" t="str">
        <f>+VLOOKUP($A30,Master!$D$27:$G$225,4,FALSE)</f>
        <v>Current Expenditures</v>
      </c>
      <c r="C30" s="491"/>
      <c r="D30" s="491"/>
      <c r="E30" s="491"/>
      <c r="F30" s="491"/>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2" t="str">
        <f>+VLOOKUP($A31,Master!$D$27:$G$225,4,FALSE)</f>
        <v>Current Budgetary Expenditures</v>
      </c>
      <c r="C31" s="493"/>
      <c r="D31" s="493"/>
      <c r="E31" s="493"/>
      <c r="F31" s="493"/>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4" t="str">
        <f>+VLOOKUP($A32,Master!$D$27:$G$225,4,FALSE)</f>
        <v>Gross Salaries and Contributions</v>
      </c>
      <c r="C32" s="485"/>
      <c r="D32" s="485"/>
      <c r="E32" s="485"/>
      <c r="F32" s="48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4" t="str">
        <f>+VLOOKUP($A33,Master!$D$27:$G$225,4,FALSE)</f>
        <v>Other Personal Income</v>
      </c>
      <c r="C33" s="485"/>
      <c r="D33" s="485"/>
      <c r="E33" s="485"/>
      <c r="F33" s="48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4" t="str">
        <f>+VLOOKUP($A34,Master!$D$27:$G$225,4,FALSE)</f>
        <v>Expenditures for Supplies</v>
      </c>
      <c r="C34" s="485"/>
      <c r="D34" s="485"/>
      <c r="E34" s="485"/>
      <c r="F34" s="48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4" t="str">
        <f>+VLOOKUP($A35,Master!$D$27:$G$225,4,FALSE)</f>
        <v>Expenditures for Services</v>
      </c>
      <c r="C35" s="485"/>
      <c r="D35" s="485"/>
      <c r="E35" s="485"/>
      <c r="F35" s="48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4" t="str">
        <f>+VLOOKUP($A36,Master!$D$27:$G$225,4,FALSE)</f>
        <v>Current Maintenance</v>
      </c>
      <c r="C36" s="485"/>
      <c r="D36" s="485"/>
      <c r="E36" s="485"/>
      <c r="F36" s="48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4" t="str">
        <f>+VLOOKUP($A37,Master!$D$27:$G$225,4,FALSE)</f>
        <v>Interests</v>
      </c>
      <c r="C37" s="485"/>
      <c r="D37" s="485"/>
      <c r="E37" s="485"/>
      <c r="F37" s="48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4" t="str">
        <f>+VLOOKUP($A38,Master!$D$27:$G$225,4,FALSE)</f>
        <v>Rent</v>
      </c>
      <c r="C38" s="485"/>
      <c r="D38" s="485"/>
      <c r="E38" s="485"/>
      <c r="F38" s="48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4" t="str">
        <f>+VLOOKUP($A39,Master!$D$27:$G$225,4,FALSE)</f>
        <v>Subsidies</v>
      </c>
      <c r="C39" s="485"/>
      <c r="D39" s="485"/>
      <c r="E39" s="485"/>
      <c r="F39" s="48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4" t="str">
        <f>+VLOOKUP($A40,Master!$D$27:$G$225,4,FALSE)</f>
        <v>Other expenditures</v>
      </c>
      <c r="C40" s="485"/>
      <c r="D40" s="485"/>
      <c r="E40" s="485"/>
      <c r="F40" s="48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4" t="str">
        <f>+VLOOKUP($A41,Master!$D$27:$G$225,4,FALSE)</f>
        <v>Current Capital Expenditure</v>
      </c>
      <c r="C41" s="485"/>
      <c r="D41" s="485"/>
      <c r="E41" s="485"/>
      <c r="F41" s="48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0" t="str">
        <f>+VLOOKUP($A42,Master!$D$27:$G$225,4,FALSE)</f>
        <v>Social Security Transfers</v>
      </c>
      <c r="C42" s="481"/>
      <c r="D42" s="481"/>
      <c r="E42" s="481"/>
      <c r="F42" s="48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4" t="str">
        <f>+VLOOKUP($A43,Master!$D$27:$G$225,4,FALSE)</f>
        <v>Social Security</v>
      </c>
      <c r="C43" s="485"/>
      <c r="D43" s="485"/>
      <c r="E43" s="485"/>
      <c r="F43" s="48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4" t="str">
        <f>+VLOOKUP($A44,Master!$D$27:$G$225,4,FALSE)</f>
        <v>Funds for redundant labor</v>
      </c>
      <c r="C44" s="485"/>
      <c r="D44" s="485"/>
      <c r="E44" s="485"/>
      <c r="F44" s="48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4" t="str">
        <f>+VLOOKUP($A45,Master!$D$27:$G$225,4,FALSE)</f>
        <v>Pension and Disability Insurance</v>
      </c>
      <c r="C45" s="485"/>
      <c r="D45" s="485"/>
      <c r="E45" s="485"/>
      <c r="F45" s="48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4" t="str">
        <f>+VLOOKUP($A46,Master!$D$27:$G$225,4,FALSE)</f>
        <v>Other Health Care Transfers</v>
      </c>
      <c r="C46" s="485"/>
      <c r="D46" s="485"/>
      <c r="E46" s="485"/>
      <c r="F46" s="48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4" t="str">
        <f>+VLOOKUP($A47,Master!$D$27:$G$225,4,FALSE)</f>
        <v>Other Health Care Insurance</v>
      </c>
      <c r="C47" s="485"/>
      <c r="D47" s="485"/>
      <c r="E47" s="485"/>
      <c r="F47" s="48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2" t="str">
        <f>+VLOOKUP($A48,Master!$D$27:$G$225,4,FALSE)</f>
        <v xml:space="preserve">Transfers to Institutions, Individuals, NGO and Public Sector </v>
      </c>
      <c r="C48" s="483"/>
      <c r="D48" s="483"/>
      <c r="E48" s="483"/>
      <c r="F48" s="483"/>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2" t="str">
        <f>+VLOOKUP($A49,Master!$D$27:$G$225,4,FALSE)</f>
        <v>Capital Expenditure</v>
      </c>
      <c r="C49" s="483"/>
      <c r="D49" s="483"/>
      <c r="E49" s="483"/>
      <c r="F49" s="483"/>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2" t="str">
        <f>+VLOOKUP($A50,Master!$D$27:$G$225,4,FALSE)</f>
        <v>Credits and Borrowings</v>
      </c>
      <c r="C50" s="453"/>
      <c r="D50" s="453"/>
      <c r="E50" s="453"/>
      <c r="F50" s="45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2" t="str">
        <f>+VLOOKUP($A51,Master!$D$27:$G$225,4,FALSE)</f>
        <v>Reserves</v>
      </c>
      <c r="C51" s="453"/>
      <c r="D51" s="453"/>
      <c r="E51" s="453"/>
      <c r="F51" s="45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0" t="str">
        <f>+VLOOKUP($A52,Master!$D$27:$G$225,4,FALSE)</f>
        <v>Repayment of Guarantees</v>
      </c>
      <c r="C52" s="471"/>
      <c r="D52" s="471"/>
      <c r="E52" s="471"/>
      <c r="F52" s="471"/>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0" t="str">
        <f>+VLOOKUP($A53,Master!$D$27:$G$225,4,TRUE)</f>
        <v>Repayments of Arrears</v>
      </c>
      <c r="C53" s="471"/>
      <c r="D53" s="471"/>
      <c r="E53" s="471"/>
      <c r="F53" s="471"/>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16" t="str">
        <f>+VLOOKUP($A54,Master!$D$27:$G$227,4,FALSE)</f>
        <v>Net increase of liabilities</v>
      </c>
      <c r="C54" s="517"/>
      <c r="D54" s="517"/>
      <c r="E54" s="517"/>
      <c r="F54" s="51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0" t="str">
        <f>+VLOOKUP($A57,Master!$D$27:$G$225,4,FALSE)</f>
        <v>Repayment of Debt</v>
      </c>
      <c r="C57" s="481"/>
      <c r="D57" s="481"/>
      <c r="E57" s="481"/>
      <c r="F57" s="48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68" t="str">
        <f>+VLOOKUP($A58,Master!$D$27:$G$225,4,FALSE)</f>
        <v>Repayment of Domestic Debt</v>
      </c>
      <c r="C58" s="469"/>
      <c r="D58" s="469"/>
      <c r="E58" s="469"/>
      <c r="F58" s="469"/>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2" t="str">
        <f>+VLOOKUP($A59,Master!$D$27:$G$225,4,FALSE)</f>
        <v>Repayment of Foreign Debt</v>
      </c>
      <c r="C59" s="453"/>
      <c r="D59" s="453"/>
      <c r="E59" s="453"/>
      <c r="F59" s="45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2" t="str">
        <f>+VLOOKUP($A60,Master!$D$27:$G$225,4,FALSE)</f>
        <v>Financing needs</v>
      </c>
      <c r="C60" s="473"/>
      <c r="D60" s="473"/>
      <c r="E60" s="473"/>
      <c r="F60" s="473"/>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4" t="str">
        <f>+VLOOKUP($A61,Master!$D$27:$G$225,4,FALSE)</f>
        <v>Financing</v>
      </c>
      <c r="C61" s="475"/>
      <c r="D61" s="475"/>
      <c r="E61" s="475"/>
      <c r="F61" s="475"/>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68" t="str">
        <f>+VLOOKUP($A62,Master!$D$27:$G$225,4,FALSE)</f>
        <v>Domestic Loans and Borrowings</v>
      </c>
      <c r="C62" s="469"/>
      <c r="D62" s="469"/>
      <c r="E62" s="469"/>
      <c r="F62" s="469"/>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2" t="str">
        <f>+VLOOKUP($A63,Master!$D$27:$G$225,4,FALSE)</f>
        <v>Foreign Loans and Borrowings</v>
      </c>
      <c r="C63" s="453"/>
      <c r="D63" s="453"/>
      <c r="E63" s="453"/>
      <c r="F63" s="45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2" t="str">
        <f>+VLOOKUP($A64,Master!$D$27:$G$225,4,FALSE)</f>
        <v>Revenues from Selling Assets</v>
      </c>
      <c r="C64" s="453"/>
      <c r="D64" s="453"/>
      <c r="E64" s="453"/>
      <c r="F64" s="45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39" t="str">
        <f>+Master!G252</f>
        <v>Planned Budget Execution</v>
      </c>
      <c r="C101" s="540"/>
      <c r="D101" s="540"/>
      <c r="E101" s="540"/>
      <c r="F101" s="540"/>
      <c r="G101" s="532">
        <v>2014</v>
      </c>
      <c r="H101" s="533"/>
      <c r="I101" s="533"/>
      <c r="J101" s="533"/>
      <c r="K101" s="533"/>
      <c r="L101" s="533"/>
      <c r="M101" s="533"/>
      <c r="N101" s="533"/>
      <c r="O101" s="533"/>
      <c r="P101" s="533"/>
      <c r="Q101" s="533"/>
      <c r="R101" s="534"/>
      <c r="S101" s="115" t="str">
        <f>+S7</f>
        <v>GDP</v>
      </c>
      <c r="T101" s="116">
        <v>3393200615</v>
      </c>
    </row>
    <row r="102" spans="1:21" ht="15.75" customHeight="1">
      <c r="B102" s="541"/>
      <c r="C102" s="542"/>
      <c r="D102" s="542"/>
      <c r="E102" s="542"/>
      <c r="F102" s="543"/>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2" t="str">
        <f>+Master!G246</f>
        <v>Jan - Dec</v>
      </c>
      <c r="T102" s="534">
        <f>+T8</f>
        <v>0</v>
      </c>
    </row>
    <row r="103" spans="1:21" ht="13.5" thickBot="1">
      <c r="B103" s="544"/>
      <c r="C103" s="545"/>
      <c r="D103" s="545"/>
      <c r="E103" s="545"/>
      <c r="F103" s="546"/>
      <c r="G103" s="68" t="s">
        <v>428</v>
      </c>
      <c r="H103" s="68" t="s">
        <v>428</v>
      </c>
      <c r="I103" s="68" t="s">
        <v>428</v>
      </c>
      <c r="J103" s="68" t="s">
        <v>428</v>
      </c>
      <c r="K103" s="68" t="s">
        <v>428</v>
      </c>
      <c r="L103" s="68" t="s">
        <v>428</v>
      </c>
      <c r="M103" s="68" t="s">
        <v>428</v>
      </c>
      <c r="N103" s="68" t="s">
        <v>428</v>
      </c>
      <c r="O103" s="68" t="s">
        <v>428</v>
      </c>
      <c r="P103" s="68" t="s">
        <v>428</v>
      </c>
      <c r="Q103" s="68" t="s">
        <v>428</v>
      </c>
      <c r="R103" s="68" t="s">
        <v>428</v>
      </c>
      <c r="S103" s="66" t="s">
        <v>428</v>
      </c>
      <c r="T103" s="67" t="str">
        <f>+T9</f>
        <v>% GDP</v>
      </c>
    </row>
    <row r="104" spans="1:21" ht="13.5" thickBot="1">
      <c r="A104" s="137" t="str">
        <f t="shared" ref="A104:A111" si="16">+CONCATENATE(A10,"p")</f>
        <v>7p</v>
      </c>
      <c r="B104" s="535" t="str">
        <f>+VLOOKUP(LEFT($A104,LEN(A104)-1)*1,Master!$D$27:$G$225,4,FALSE)</f>
        <v>Total Revenues</v>
      </c>
      <c r="C104" s="536"/>
      <c r="D104" s="536"/>
      <c r="E104" s="536"/>
      <c r="F104" s="536"/>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37" t="str">
        <f>+VLOOKUP(LEFT($A105,LEN(A105)-1)*1,Master!$D$27:$G$225,4,FALSE)</f>
        <v>Taxes</v>
      </c>
      <c r="C105" s="538"/>
      <c r="D105" s="538"/>
      <c r="E105" s="538"/>
      <c r="F105" s="538"/>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18" t="str">
        <f>+VLOOKUP(LEFT($A106,LEN(A106)-1)*1,Master!$D$27:$G$225,4,FALSE)</f>
        <v>Personal Income Tax</v>
      </c>
      <c r="C106" s="519"/>
      <c r="D106" s="519"/>
      <c r="E106" s="519"/>
      <c r="F106" s="519"/>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18" t="str">
        <f>+VLOOKUP(LEFT($A107,LEN(A107)-1)*1,Master!$D$27:$G$225,4,FALSE)</f>
        <v>Corporate Income Tax</v>
      </c>
      <c r="C107" s="519"/>
      <c r="D107" s="519"/>
      <c r="E107" s="519"/>
      <c r="F107" s="519"/>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18" t="str">
        <f>+VLOOKUP(LEFT($A108,LEN(A108)-1)*1,Master!$D$27:$G$225,4,FALSE)</f>
        <v xml:space="preserve">Taxes on Sales of Property </v>
      </c>
      <c r="C108" s="519"/>
      <c r="D108" s="519"/>
      <c r="E108" s="519"/>
      <c r="F108" s="519"/>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18" t="str">
        <f>+VLOOKUP(LEFT($A109,LEN(A109)-1)*1,Master!$D$27:$G$225,4,FALSE)</f>
        <v>Value Added Tax</v>
      </c>
      <c r="C109" s="519"/>
      <c r="D109" s="519"/>
      <c r="E109" s="519"/>
      <c r="F109" s="519"/>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18" t="str">
        <f>+VLOOKUP(LEFT($A110,LEN(A110)-1)*1,Master!$D$27:$G$225,4,FALSE)</f>
        <v>Excises</v>
      </c>
      <c r="C110" s="519"/>
      <c r="D110" s="519"/>
      <c r="E110" s="519"/>
      <c r="F110" s="519"/>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18" t="str">
        <f>+VLOOKUP(LEFT($A111,LEN(A111)-1)*1,Master!$D$27:$G$225,4,FALSE)</f>
        <v>Tax on International Trade and Transactions</v>
      </c>
      <c r="C111" s="519"/>
      <c r="D111" s="519"/>
      <c r="E111" s="519"/>
      <c r="F111" s="519"/>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18" t="e">
        <f>+VLOOKUP(LEFT($A112,LEN(A112)-1)*1,Master!$D$27:$G$225,4,FALSE)</f>
        <v>#REF!</v>
      </c>
      <c r="C112" s="519"/>
      <c r="D112" s="519"/>
      <c r="E112" s="519"/>
      <c r="F112" s="519"/>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18" t="str">
        <f>+VLOOKUP(LEFT($A113,LEN(A113)-1)*1,Master!$D$27:$G$225,4,FALSE)</f>
        <v>Other Republic Taxes</v>
      </c>
      <c r="C113" s="519"/>
      <c r="D113" s="519"/>
      <c r="E113" s="519"/>
      <c r="F113" s="519"/>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0" t="str">
        <f>+VLOOKUP(LEFT($A114,LEN(A114)-1)*1,Master!$D$27:$G$225,4,FALSE)</f>
        <v>Contributions</v>
      </c>
      <c r="C114" s="531"/>
      <c r="D114" s="531"/>
      <c r="E114" s="531"/>
      <c r="F114" s="531"/>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18" t="str">
        <f>+VLOOKUP(LEFT($A115,LEN(A115)-1)*1,Master!$D$27:$G$225,4,FALSE)</f>
        <v>Contributions for Pension and Disability Insurance</v>
      </c>
      <c r="C115" s="519"/>
      <c r="D115" s="519"/>
      <c r="E115" s="519"/>
      <c r="F115" s="519"/>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18" t="str">
        <f>+VLOOKUP(LEFT($A116,LEN(A116)-1)*1,Master!$D$27:$G$225,4,FALSE)</f>
        <v>Contributions for Health Insurance</v>
      </c>
      <c r="C116" s="519"/>
      <c r="D116" s="519"/>
      <c r="E116" s="519"/>
      <c r="F116" s="519"/>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18" t="str">
        <f>+VLOOKUP(LEFT($A117,LEN(A117)-1)*1,Master!$D$27:$G$225,4,FALSE)</f>
        <v>Contributions for  Unemployment Insurance</v>
      </c>
      <c r="C117" s="519"/>
      <c r="D117" s="519"/>
      <c r="E117" s="519"/>
      <c r="F117" s="519"/>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18" t="str">
        <f>+VLOOKUP(LEFT($A118,LEN(A118)-1)*1,Master!$D$27:$G$225,4,FALSE)</f>
        <v>Other contributions</v>
      </c>
      <c r="C118" s="519"/>
      <c r="D118" s="519"/>
      <c r="E118" s="519"/>
      <c r="F118" s="519"/>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2" t="str">
        <f>+VLOOKUP(LEFT($A119,LEN(A119)-1)*1,Master!$D$27:$G$225,4,FALSE)</f>
        <v>Duties</v>
      </c>
      <c r="C119" s="523"/>
      <c r="D119" s="523"/>
      <c r="E119" s="523"/>
      <c r="F119" s="523"/>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2" t="str">
        <f>+VLOOKUP(LEFT($A120,LEN(A120)-1)*1,Master!$D$27:$G$225,4,FALSE)</f>
        <v>Fees</v>
      </c>
      <c r="C120" s="523"/>
      <c r="D120" s="523"/>
      <c r="E120" s="523"/>
      <c r="F120" s="523"/>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2" t="str">
        <f>+VLOOKUP(LEFT($A121,LEN(A121)-1)*1,Master!$D$27:$G$225,4,FALSE)</f>
        <v>Other revenues</v>
      </c>
      <c r="C121" s="523"/>
      <c r="D121" s="523"/>
      <c r="E121" s="523"/>
      <c r="F121" s="523"/>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2" t="str">
        <f>+VLOOKUP(LEFT($A122,LEN(A122)-1)*1,Master!$D$27:$G$225,4,FALSE)</f>
        <v>Receipts from Repayment of Loans and Funds Carried over from Previous Year</v>
      </c>
      <c r="C122" s="523"/>
      <c r="D122" s="523"/>
      <c r="E122" s="523"/>
      <c r="F122" s="523"/>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4" t="str">
        <f>+VLOOKUP(LEFT($A123,LEN(A123)-1)*1,Master!$D$27:$G$225,4,FALSE)</f>
        <v>Grants and Transfers</v>
      </c>
      <c r="C123" s="525"/>
      <c r="D123" s="525"/>
      <c r="E123" s="525"/>
      <c r="F123" s="52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08" t="str">
        <f>+VLOOKUP(LEFT($A124,LEN(A124)-1)*1,Master!$D$27:$G$225,4,FALSE)</f>
        <v>Total Expenditures</v>
      </c>
      <c r="C124" s="509"/>
      <c r="D124" s="509"/>
      <c r="E124" s="509"/>
      <c r="F124" s="509"/>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26" t="str">
        <f>+VLOOKUP(LEFT($A125,LEN(A125)-1)*1,Master!$D$27:$G$225,4,FALSE)</f>
        <v>Current Expenditures</v>
      </c>
      <c r="C125" s="527"/>
      <c r="D125" s="527"/>
      <c r="E125" s="527"/>
      <c r="F125" s="527"/>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28" t="str">
        <f>+VLOOKUP(LEFT($A126,LEN(A126)-1)*1,Master!$D$27:$G$225,4,FALSE)</f>
        <v>Current Budgetary Expenditures</v>
      </c>
      <c r="C126" s="529"/>
      <c r="D126" s="529"/>
      <c r="E126" s="529"/>
      <c r="F126" s="529"/>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18" t="str">
        <f>+VLOOKUP(LEFT($A127,LEN(A127)-1)*1,Master!$D$27:$G$225,4,FALSE)</f>
        <v>Gross Salaries and Contributions</v>
      </c>
      <c r="C127" s="519"/>
      <c r="D127" s="519"/>
      <c r="E127" s="519"/>
      <c r="F127" s="519"/>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18" t="str">
        <f>+VLOOKUP(LEFT($A128,LEN(A128)-1)*1,Master!$D$27:$G$225,4,FALSE)</f>
        <v>Other Personal Income</v>
      </c>
      <c r="C128" s="519"/>
      <c r="D128" s="519"/>
      <c r="E128" s="519"/>
      <c r="F128" s="519"/>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18" t="str">
        <f>+VLOOKUP(LEFT($A129,LEN(A129)-1)*1,Master!$D$27:$G$225,4,FALSE)</f>
        <v>Expenditures for Supplies</v>
      </c>
      <c r="C129" s="519"/>
      <c r="D129" s="519"/>
      <c r="E129" s="519"/>
      <c r="F129" s="519"/>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18" t="str">
        <f>+VLOOKUP(LEFT($A130,LEN(A130)-1)*1,Master!$D$27:$G$225,4,FALSE)</f>
        <v>Expenditures for Services</v>
      </c>
      <c r="C130" s="519"/>
      <c r="D130" s="519"/>
      <c r="E130" s="519"/>
      <c r="F130" s="519"/>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18" t="str">
        <f>+VLOOKUP(LEFT($A131,LEN(A131)-1)*1,Master!$D$27:$G$225,4,FALSE)</f>
        <v>Current Maintenance</v>
      </c>
      <c r="C131" s="519"/>
      <c r="D131" s="519"/>
      <c r="E131" s="519"/>
      <c r="F131" s="519"/>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18" t="str">
        <f>+VLOOKUP(LEFT($A132,LEN(A132)-1)*1,Master!$D$27:$G$225,4,FALSE)</f>
        <v>Interests</v>
      </c>
      <c r="C132" s="519"/>
      <c r="D132" s="519"/>
      <c r="E132" s="519"/>
      <c r="F132" s="519"/>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18" t="str">
        <f>+VLOOKUP(LEFT($A133,LEN(A133)-1)*1,Master!$D$27:$G$225,4,FALSE)</f>
        <v>Rent</v>
      </c>
      <c r="C133" s="519"/>
      <c r="D133" s="519"/>
      <c r="E133" s="519"/>
      <c r="F133" s="519"/>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18" t="str">
        <f>+VLOOKUP(LEFT($A134,LEN(A134)-1)*1,Master!$D$27:$G$225,4,FALSE)</f>
        <v>Subsidies</v>
      </c>
      <c r="C134" s="519"/>
      <c r="D134" s="519"/>
      <c r="E134" s="519"/>
      <c r="F134" s="519"/>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18" t="str">
        <f>+VLOOKUP(LEFT($A135,LEN(A135)-1)*1,Master!$D$27:$G$225,4,FALSE)</f>
        <v>Other expenditures</v>
      </c>
      <c r="C135" s="519"/>
      <c r="D135" s="519"/>
      <c r="E135" s="519"/>
      <c r="F135" s="519"/>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18" t="str">
        <f>+VLOOKUP(LEFT($A136,LEN(A136)-1)*1,Master!$D$27:$G$225,4,FALSE)</f>
        <v>Current Capital Expenditure</v>
      </c>
      <c r="C136" s="519"/>
      <c r="D136" s="519"/>
      <c r="E136" s="519"/>
      <c r="F136" s="519"/>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4" t="str">
        <f>+VLOOKUP(LEFT($A137,LEN(A137)-1)*1,Master!$D$27:$G$225,4,FALSE)</f>
        <v>Social Security Transfers</v>
      </c>
      <c r="C137" s="515"/>
      <c r="D137" s="515"/>
      <c r="E137" s="515"/>
      <c r="F137" s="51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18" t="str">
        <f>+VLOOKUP(LEFT($A138,LEN(A138)-1)*1,Master!$D$27:$G$225,4,FALSE)</f>
        <v>Social Security</v>
      </c>
      <c r="C138" s="519"/>
      <c r="D138" s="519"/>
      <c r="E138" s="519"/>
      <c r="F138" s="519"/>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18" t="str">
        <f>+VLOOKUP(LEFT($A139,LEN(A139)-1)*1,Master!$D$27:$G$225,4,FALSE)</f>
        <v>Funds for redundant labor</v>
      </c>
      <c r="C139" s="519"/>
      <c r="D139" s="519"/>
      <c r="E139" s="519"/>
      <c r="F139" s="519"/>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18" t="str">
        <f>+VLOOKUP(LEFT($A140,LEN(A140)-1)*1,Master!$D$27:$G$225,4,FALSE)</f>
        <v>Pension and Disability Insurance</v>
      </c>
      <c r="C140" s="519"/>
      <c r="D140" s="519"/>
      <c r="E140" s="519"/>
      <c r="F140" s="519"/>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18" t="str">
        <f>+VLOOKUP(LEFT($A141,LEN(A141)-1)*1,Master!$D$27:$G$225,4,FALSE)</f>
        <v>Other Health Care Transfers</v>
      </c>
      <c r="C141" s="519"/>
      <c r="D141" s="519"/>
      <c r="E141" s="519"/>
      <c r="F141" s="519"/>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18" t="str">
        <f>+VLOOKUP(LEFT($A142,LEN(A142)-1)*1,Master!$D$27:$G$225,4,FALSE)</f>
        <v>Other Health Care Insurance</v>
      </c>
      <c r="C142" s="519"/>
      <c r="D142" s="519"/>
      <c r="E142" s="519"/>
      <c r="F142" s="519"/>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0" t="str">
        <f>+VLOOKUP(LEFT($A143,LEN(A143)-1)*1,Master!$D$27:$G$225,4,FALSE)</f>
        <v xml:space="preserve">Transfers to Institutions, Individuals, NGO and Public Sector </v>
      </c>
      <c r="C143" s="521"/>
      <c r="D143" s="521"/>
      <c r="E143" s="521"/>
      <c r="F143" s="521"/>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0" t="str">
        <f>+VLOOKUP(LEFT($A144,LEN(A144)-1)*1,Master!$D$27:$G$225,4,FALSE)</f>
        <v>Capital Expenditure</v>
      </c>
      <c r="C144" s="521"/>
      <c r="D144" s="521"/>
      <c r="E144" s="521"/>
      <c r="F144" s="521"/>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2" t="str">
        <f>+VLOOKUP(LEFT($A145,LEN(A145)-1)*1,Master!$D$27:$G$225,4,FALSE)</f>
        <v>Credits and Borrowings</v>
      </c>
      <c r="C145" s="503"/>
      <c r="D145" s="503"/>
      <c r="E145" s="503"/>
      <c r="F145" s="503"/>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2" t="str">
        <f>+VLOOKUP(LEFT($A146,LEN(A146)-1)*1,Master!$D$27:$G$225,4,FALSE)</f>
        <v>Reserves</v>
      </c>
      <c r="C146" s="503"/>
      <c r="D146" s="503"/>
      <c r="E146" s="503"/>
      <c r="F146" s="503"/>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16" t="str">
        <f>+VLOOKUP(LEFT($A147,LEN(A147)-1)*1,Master!$D$27:$G$225,4,FALSE)</f>
        <v>Repayment of Guarantees</v>
      </c>
      <c r="C147" s="517"/>
      <c r="D147" s="517"/>
      <c r="E147" s="517"/>
      <c r="F147" s="51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0" t="str">
        <f>+VLOOKUP(LEFT($A148,LEN(A148)-1)*1,Master!$D$27:$G$225,4,FALSE)</f>
        <v>Surplus / deficit</v>
      </c>
      <c r="C148" s="511"/>
      <c r="D148" s="511"/>
      <c r="E148" s="511"/>
      <c r="F148" s="511"/>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2" t="str">
        <f>+VLOOKUP(LEFT($A149,LEN(A149)-1)*1,Master!$D$27:$G$225,4,FALSE)</f>
        <v>Primary balance</v>
      </c>
      <c r="C149" s="513"/>
      <c r="D149" s="513"/>
      <c r="E149" s="513"/>
      <c r="F149" s="513"/>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4" t="str">
        <f>+VLOOKUP(LEFT($A150,LEN(A150)-1)*1,Master!$D$27:$G$225,4,FALSE)</f>
        <v>Repayment of Debt</v>
      </c>
      <c r="C150" s="515"/>
      <c r="D150" s="515"/>
      <c r="E150" s="515"/>
      <c r="F150" s="51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4" t="str">
        <f>+VLOOKUP(LEFT($A151,LEN(A151)-1)*1,Master!$D$27:$G$225,4,FALSE)</f>
        <v>Repayment of Domestic Debt</v>
      </c>
      <c r="C151" s="505"/>
      <c r="D151" s="505"/>
      <c r="E151" s="505"/>
      <c r="F151" s="505"/>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2" t="str">
        <f>+VLOOKUP(LEFT($A152,LEN(A152)-1)*1,Master!$D$27:$G$225,4,FALSE)</f>
        <v>Repayment of Foreign Debt</v>
      </c>
      <c r="C152" s="503"/>
      <c r="D152" s="503"/>
      <c r="E152" s="503"/>
      <c r="F152" s="503"/>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16" t="str">
        <f>+VLOOKUP(LEFT($A153,LEN(A153)-1)*1,Master!$D$27:$G$225,4,FALSE)</f>
        <v>Repayments of Arrears</v>
      </c>
      <c r="C153" s="517"/>
      <c r="D153" s="517"/>
      <c r="E153" s="517"/>
      <c r="F153" s="51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06" t="str">
        <f>+VLOOKUP(LEFT($A154,LEN(A154)-1)*1,Master!$D$27:$G$225,4,FALSE)</f>
        <v>Financing needs</v>
      </c>
      <c r="C154" s="507"/>
      <c r="D154" s="507"/>
      <c r="E154" s="507"/>
      <c r="F154" s="507"/>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08" t="str">
        <f>+VLOOKUP(LEFT($A155,LEN(A155)-1)*1,Master!$D$27:$G$225,4,FALSE)</f>
        <v>Financing</v>
      </c>
      <c r="C155" s="509"/>
      <c r="D155" s="509"/>
      <c r="E155" s="509"/>
      <c r="F155" s="509"/>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4" t="str">
        <f>+VLOOKUP(LEFT($A156,LEN(A156)-1)*1,Master!$D$27:$G$225,4,FALSE)</f>
        <v>Domestic Loans and Borrowings</v>
      </c>
      <c r="C156" s="505"/>
      <c r="D156" s="505"/>
      <c r="E156" s="505"/>
      <c r="F156" s="505"/>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2" t="str">
        <f>+VLOOKUP(LEFT($A157,LEN(A157)-1)*1,Master!$D$27:$G$225,4,FALSE)</f>
        <v>Foreign Loans and Borrowings</v>
      </c>
      <c r="C157" s="503"/>
      <c r="D157" s="503"/>
      <c r="E157" s="503"/>
      <c r="F157" s="503"/>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2" t="str">
        <f>+VLOOKUP(LEFT($A158,LEN(A158)-1)*1,Master!$D$27:$G$225,4,FALSE)</f>
        <v>Revenues from Selling Assets</v>
      </c>
      <c r="C158" s="503"/>
      <c r="D158" s="503"/>
      <c r="E158" s="503"/>
      <c r="F158" s="503"/>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518</v>
      </c>
      <c r="H6" s="69" t="s">
        <v>519</v>
      </c>
      <c r="I6" s="69" t="s">
        <v>520</v>
      </c>
      <c r="J6" s="69"/>
      <c r="K6" s="69" t="s">
        <v>521</v>
      </c>
      <c r="L6" s="69" t="s">
        <v>522</v>
      </c>
      <c r="M6" s="69" t="s">
        <v>523</v>
      </c>
      <c r="N6" s="69"/>
      <c r="O6" s="69" t="s">
        <v>524</v>
      </c>
      <c r="P6" s="69" t="s">
        <v>525</v>
      </c>
      <c r="Q6" s="69" t="s">
        <v>526</v>
      </c>
      <c r="R6" s="69"/>
      <c r="S6" s="69" t="s">
        <v>527</v>
      </c>
      <c r="T6" s="69" t="s">
        <v>528</v>
      </c>
      <c r="U6" s="69" t="s">
        <v>529</v>
      </c>
      <c r="V6" s="69"/>
    </row>
    <row r="7" spans="1:24" ht="15" customHeight="1" thickBot="1">
      <c r="B7" s="539" t="str">
        <f>+Master!G251</f>
        <v>Budget Execution</v>
      </c>
      <c r="C7" s="540"/>
      <c r="D7" s="540"/>
      <c r="E7" s="540"/>
      <c r="F7" s="540"/>
      <c r="G7" s="532">
        <v>2013</v>
      </c>
      <c r="H7" s="533"/>
      <c r="I7" s="533"/>
      <c r="J7" s="533"/>
      <c r="K7" s="533"/>
      <c r="L7" s="533"/>
      <c r="M7" s="533"/>
      <c r="N7" s="533"/>
      <c r="O7" s="533"/>
      <c r="P7" s="533"/>
      <c r="Q7" s="533"/>
      <c r="R7" s="533"/>
      <c r="S7" s="533"/>
      <c r="T7" s="533"/>
      <c r="U7" s="534"/>
      <c r="V7" s="360"/>
      <c r="W7" s="115" t="str">
        <f>+Master!G248</f>
        <v>GDP</v>
      </c>
      <c r="X7" s="116">
        <v>3327000000</v>
      </c>
    </row>
    <row r="8" spans="1:24" ht="16.5" customHeight="1">
      <c r="B8" s="541"/>
      <c r="C8" s="542"/>
      <c r="D8" s="542"/>
      <c r="E8" s="542"/>
      <c r="F8" s="543"/>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2" t="s">
        <v>706</v>
      </c>
      <c r="X8" s="534"/>
    </row>
    <row r="9" spans="1:24" ht="13.5" thickBot="1">
      <c r="B9" s="544"/>
      <c r="C9" s="545"/>
      <c r="D9" s="545"/>
      <c r="E9" s="545"/>
      <c r="F9" s="546"/>
      <c r="G9" s="68" t="s">
        <v>428</v>
      </c>
      <c r="H9" s="68" t="s">
        <v>428</v>
      </c>
      <c r="I9" s="68" t="s">
        <v>428</v>
      </c>
      <c r="J9" s="68"/>
      <c r="K9" s="68" t="s">
        <v>428</v>
      </c>
      <c r="L9" s="68" t="s">
        <v>428</v>
      </c>
      <c r="M9" s="68" t="s">
        <v>428</v>
      </c>
      <c r="N9" s="68"/>
      <c r="O9" s="68" t="s">
        <v>428</v>
      </c>
      <c r="P9" s="68" t="s">
        <v>428</v>
      </c>
      <c r="Q9" s="68" t="s">
        <v>428</v>
      </c>
      <c r="R9" s="68"/>
      <c r="S9" s="68" t="s">
        <v>428</v>
      </c>
      <c r="T9" s="68" t="s">
        <v>428</v>
      </c>
      <c r="U9" s="68" t="s">
        <v>428</v>
      </c>
      <c r="V9" s="68"/>
      <c r="W9" s="66" t="s">
        <v>428</v>
      </c>
      <c r="X9" s="67" t="str">
        <f>+Master!G249</f>
        <v>% GDP</v>
      </c>
    </row>
    <row r="10" spans="1:24" ht="13.5" thickBot="1">
      <c r="A10" s="72">
        <v>7</v>
      </c>
      <c r="B10" s="535" t="str">
        <f>+VLOOKUP($A10,Master!$D$27:$G$225,4,FALSE)</f>
        <v>Total Revenues</v>
      </c>
      <c r="C10" s="536"/>
      <c r="D10" s="536"/>
      <c r="E10" s="536"/>
      <c r="F10" s="536"/>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37" t="str">
        <f>+VLOOKUP($A11,Master!$D$27:$G$225,4,FALSE)</f>
        <v>Taxes</v>
      </c>
      <c r="C11" s="538"/>
      <c r="D11" s="538"/>
      <c r="E11" s="538"/>
      <c r="F11" s="538"/>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18" t="str">
        <f>+VLOOKUP($A12,Master!$D$27:$G$225,4,FALSE)</f>
        <v>Personal Income Tax</v>
      </c>
      <c r="C12" s="519"/>
      <c r="D12" s="519"/>
      <c r="E12" s="519"/>
      <c r="F12" s="519"/>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18" t="str">
        <f>+VLOOKUP($A13,Master!$D$27:$G$225,4,FALSE)</f>
        <v>Corporate Income Tax</v>
      </c>
      <c r="C13" s="519"/>
      <c r="D13" s="519"/>
      <c r="E13" s="519"/>
      <c r="F13" s="519"/>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18" t="str">
        <f>+VLOOKUP($A14,Master!$D$27:$G$225,4,FALSE)</f>
        <v xml:space="preserve">Taxes on Sales of Property </v>
      </c>
      <c r="C14" s="519"/>
      <c r="D14" s="519"/>
      <c r="E14" s="519"/>
      <c r="F14" s="519"/>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18" t="str">
        <f>+VLOOKUP($A15,Master!$D$27:$G$225,4,FALSE)</f>
        <v>Value Added Tax</v>
      </c>
      <c r="C15" s="519"/>
      <c r="D15" s="519"/>
      <c r="E15" s="519"/>
      <c r="F15" s="519"/>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18" t="str">
        <f>+VLOOKUP($A16,Master!$D$27:$G$225,4,FALSE)</f>
        <v>Excises</v>
      </c>
      <c r="C16" s="519"/>
      <c r="D16" s="519"/>
      <c r="E16" s="519"/>
      <c r="F16" s="519"/>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18" t="str">
        <f>+VLOOKUP($A17,Master!$D$27:$G$225,4,FALSE)</f>
        <v>Tax on International Trade and Transactions</v>
      </c>
      <c r="C17" s="519"/>
      <c r="D17" s="519"/>
      <c r="E17" s="519"/>
      <c r="F17" s="519"/>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18" t="e">
        <f>+VLOOKUP($A18,Master!$D$27:$G$225,4,FALSE)</f>
        <v>#N/A</v>
      </c>
      <c r="C18" s="519"/>
      <c r="D18" s="519"/>
      <c r="E18" s="519"/>
      <c r="F18" s="519"/>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18" t="str">
        <f>+VLOOKUP($A19,Master!$D$27:$G$225,4,FALSE)</f>
        <v>Other Republic Taxes</v>
      </c>
      <c r="C19" s="519"/>
      <c r="D19" s="519"/>
      <c r="E19" s="519"/>
      <c r="F19" s="519"/>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0" t="str">
        <f>+VLOOKUP($A20,Master!$D$27:$G$225,4,FALSE)</f>
        <v>Contributions</v>
      </c>
      <c r="C20" s="531"/>
      <c r="D20" s="531"/>
      <c r="E20" s="531"/>
      <c r="F20" s="531"/>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18" t="str">
        <f>+VLOOKUP($A21,Master!$D$27:$G$225,4,FALSE)</f>
        <v>Contributions for Pension and Disability Insurance</v>
      </c>
      <c r="C21" s="519"/>
      <c r="D21" s="519"/>
      <c r="E21" s="519"/>
      <c r="F21" s="519"/>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18" t="str">
        <f>+VLOOKUP($A22,Master!$D$27:$G$225,4,FALSE)</f>
        <v>Contributions for Health Insurance</v>
      </c>
      <c r="C22" s="519"/>
      <c r="D22" s="519"/>
      <c r="E22" s="519"/>
      <c r="F22" s="519"/>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18" t="str">
        <f>+VLOOKUP($A23,Master!$D$27:$G$225,4,FALSE)</f>
        <v>Contributions for  Unemployment Insurance</v>
      </c>
      <c r="C23" s="519"/>
      <c r="D23" s="519"/>
      <c r="E23" s="519"/>
      <c r="F23" s="519"/>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18" t="str">
        <f>+VLOOKUP($A24,Master!$D$27:$G$225,4,FALSE)</f>
        <v>Other contributions</v>
      </c>
      <c r="C24" s="519"/>
      <c r="D24" s="519"/>
      <c r="E24" s="519"/>
      <c r="F24" s="519"/>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2" t="str">
        <f>+VLOOKUP($A25,Master!$D$27:$G$225,4,FALSE)</f>
        <v>Duties</v>
      </c>
      <c r="C25" s="523"/>
      <c r="D25" s="523"/>
      <c r="E25" s="523"/>
      <c r="F25" s="523"/>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2" t="str">
        <f>+VLOOKUP($A26,Master!$D$27:$G$225,4,FALSE)</f>
        <v>Fees</v>
      </c>
      <c r="C26" s="523"/>
      <c r="D26" s="523"/>
      <c r="E26" s="523"/>
      <c r="F26" s="523"/>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2" t="str">
        <f>+VLOOKUP($A27,Master!$D$27:$G$225,4,FALSE)</f>
        <v>Other revenues</v>
      </c>
      <c r="C27" s="523"/>
      <c r="D27" s="523"/>
      <c r="E27" s="523"/>
      <c r="F27" s="523"/>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2" t="str">
        <f>+VLOOKUP($A28,Master!$D$27:$G$225,4,FALSE)</f>
        <v>Receipts from Repayment of Loans and Funds Carried over from Previous Year</v>
      </c>
      <c r="C28" s="523"/>
      <c r="D28" s="523"/>
      <c r="E28" s="523"/>
      <c r="F28" s="523"/>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4" t="str">
        <f>+VLOOKUP($A29,Master!$D$27:$G$225,4,FALSE)</f>
        <v>Grants and Transfers</v>
      </c>
      <c r="C29" s="525"/>
      <c r="D29" s="525"/>
      <c r="E29" s="525"/>
      <c r="F29" s="52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08" t="str">
        <f>+VLOOKUP($A30,Master!$D$27:$G$225,4,FALSE)</f>
        <v>Total Expenditures</v>
      </c>
      <c r="C30" s="509"/>
      <c r="D30" s="509"/>
      <c r="E30" s="509"/>
      <c r="F30" s="509"/>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26" t="str">
        <f>+VLOOKUP($A31,Master!$D$27:$G$225,4,FALSE)</f>
        <v>Current Expenditures</v>
      </c>
      <c r="C31" s="527"/>
      <c r="D31" s="527"/>
      <c r="E31" s="527"/>
      <c r="F31" s="527"/>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28" t="str">
        <f>+VLOOKUP($A32,Master!$D$27:$G$225,4,FALSE)</f>
        <v>Current Budgetary Expenditures</v>
      </c>
      <c r="C32" s="529"/>
      <c r="D32" s="529"/>
      <c r="E32" s="529"/>
      <c r="F32" s="529"/>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18" t="str">
        <f>+VLOOKUP($A33,Master!$D$27:$G$225,4,FALSE)</f>
        <v>Gross Salaries and Contributions</v>
      </c>
      <c r="C33" s="519"/>
      <c r="D33" s="519"/>
      <c r="E33" s="519"/>
      <c r="F33" s="519"/>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18" t="str">
        <f>+VLOOKUP($A34,Master!$D$27:$G$225,4,FALSE)</f>
        <v>Other Personal Income</v>
      </c>
      <c r="C34" s="519"/>
      <c r="D34" s="519"/>
      <c r="E34" s="519"/>
      <c r="F34" s="519"/>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18" t="str">
        <f>+VLOOKUP($A35,Master!$D$27:$G$225,4,FALSE)</f>
        <v>Expenditures for Supplies</v>
      </c>
      <c r="C35" s="519"/>
      <c r="D35" s="519"/>
      <c r="E35" s="519"/>
      <c r="F35" s="519"/>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18" t="str">
        <f>+VLOOKUP($A36,Master!$D$27:$G$225,4,FALSE)</f>
        <v>Expenditures for Services</v>
      </c>
      <c r="C36" s="519"/>
      <c r="D36" s="519"/>
      <c r="E36" s="519"/>
      <c r="F36" s="519"/>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18" t="str">
        <f>+VLOOKUP($A37,Master!$D$27:$G$225,4,FALSE)</f>
        <v>Current Maintenance</v>
      </c>
      <c r="C37" s="519"/>
      <c r="D37" s="519"/>
      <c r="E37" s="519"/>
      <c r="F37" s="519"/>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18" t="str">
        <f>+VLOOKUP($A38,Master!$D$27:$G$225,4,FALSE)</f>
        <v>Interests</v>
      </c>
      <c r="C38" s="519"/>
      <c r="D38" s="519"/>
      <c r="E38" s="519"/>
      <c r="F38" s="519"/>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18" t="str">
        <f>+VLOOKUP($A39,Master!$D$27:$G$225,4,FALSE)</f>
        <v>Rent</v>
      </c>
      <c r="C39" s="519"/>
      <c r="D39" s="519"/>
      <c r="E39" s="519"/>
      <c r="F39" s="519"/>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18" t="str">
        <f>+VLOOKUP($A40,Master!$D$27:$G$225,4,FALSE)</f>
        <v>Subsidies</v>
      </c>
      <c r="C40" s="519"/>
      <c r="D40" s="519"/>
      <c r="E40" s="519"/>
      <c r="F40" s="519"/>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18" t="str">
        <f>+VLOOKUP($A41,Master!$D$27:$G$225,4,FALSE)</f>
        <v>Other expenditures</v>
      </c>
      <c r="C41" s="519"/>
      <c r="D41" s="519"/>
      <c r="E41" s="519"/>
      <c r="F41" s="519"/>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18" t="str">
        <f>+VLOOKUP($A42,Master!$D$27:$G$225,4,FALSE)</f>
        <v>Current Capital Expenditure</v>
      </c>
      <c r="C42" s="519"/>
      <c r="D42" s="519"/>
      <c r="E42" s="519"/>
      <c r="F42" s="519"/>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4" t="str">
        <f>+VLOOKUP($A43,Master!$D$27:$G$225,4,FALSE)</f>
        <v>Social Security Transfers</v>
      </c>
      <c r="C43" s="515"/>
      <c r="D43" s="515"/>
      <c r="E43" s="515"/>
      <c r="F43" s="51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18" t="str">
        <f>+VLOOKUP($A44,Master!$D$27:$G$225,4,FALSE)</f>
        <v>Social Security</v>
      </c>
      <c r="C44" s="519"/>
      <c r="D44" s="519"/>
      <c r="E44" s="519"/>
      <c r="F44" s="519"/>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18" t="str">
        <f>+VLOOKUP($A45,Master!$D$27:$G$225,4,FALSE)</f>
        <v>Funds for redundant labor</v>
      </c>
      <c r="C45" s="519"/>
      <c r="D45" s="519"/>
      <c r="E45" s="519"/>
      <c r="F45" s="519"/>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18" t="str">
        <f>+VLOOKUP($A46,Master!$D$27:$G$225,4,FALSE)</f>
        <v>Pension and Disability Insurance</v>
      </c>
      <c r="C46" s="519"/>
      <c r="D46" s="519"/>
      <c r="E46" s="519"/>
      <c r="F46" s="519"/>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18" t="str">
        <f>+VLOOKUP($A47,Master!$D$27:$G$225,4,FALSE)</f>
        <v>Other Health Care Transfers</v>
      </c>
      <c r="C47" s="519"/>
      <c r="D47" s="519"/>
      <c r="E47" s="519"/>
      <c r="F47" s="519"/>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18" t="str">
        <f>+VLOOKUP($A48,Master!$D$27:$G$225,4,FALSE)</f>
        <v>Other Health Care Insurance</v>
      </c>
      <c r="C48" s="519"/>
      <c r="D48" s="519"/>
      <c r="E48" s="519"/>
      <c r="F48" s="519"/>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0" t="str">
        <f>+VLOOKUP($A49,Master!$D$27:$G$225,4,FALSE)</f>
        <v xml:space="preserve">Transfers to Institutions, Individuals, NGO and Public Sector </v>
      </c>
      <c r="C49" s="521"/>
      <c r="D49" s="521"/>
      <c r="E49" s="521"/>
      <c r="F49" s="521"/>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0" t="str">
        <f>+VLOOKUP($A50,Master!$D$27:$G$225,4,FALSE)</f>
        <v>Capital Expenditure</v>
      </c>
      <c r="C50" s="521"/>
      <c r="D50" s="521"/>
      <c r="E50" s="521"/>
      <c r="F50" s="521"/>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2" t="str">
        <f>+VLOOKUP($A51,Master!$D$27:$G$225,4,FALSE)</f>
        <v>Credits and Borrowings</v>
      </c>
      <c r="C51" s="503"/>
      <c r="D51" s="503"/>
      <c r="E51" s="503"/>
      <c r="F51" s="503"/>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2" t="str">
        <f>+VLOOKUP($A52,Master!$D$27:$G$225,4,FALSE)</f>
        <v>Reserves</v>
      </c>
      <c r="C52" s="503"/>
      <c r="D52" s="503"/>
      <c r="E52" s="503"/>
      <c r="F52" s="503"/>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16" t="str">
        <f>+VLOOKUP($A53,Master!$D$27:$G$225,4,FALSE)</f>
        <v>Repayment of Guarantees</v>
      </c>
      <c r="C53" s="517"/>
      <c r="D53" s="517"/>
      <c r="E53" s="517"/>
      <c r="F53" s="51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16" t="str">
        <f>+VLOOKUP($A54,Master!$D$27:$G$225,4,FALSE)</f>
        <v>Repayments of Arrears</v>
      </c>
      <c r="C54" s="517"/>
      <c r="D54" s="517"/>
      <c r="E54" s="517"/>
      <c r="F54" s="51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16" t="str">
        <f>+VLOOKUP($A55,Master!$D$27:$G$227,4,FALSE)</f>
        <v>Net increase of liabilities</v>
      </c>
      <c r="C55" s="517"/>
      <c r="D55" s="517"/>
      <c r="E55" s="517"/>
      <c r="F55" s="51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0" t="str">
        <f>+VLOOKUP($A56,Master!$D$27:$G$225,4,FALSE)</f>
        <v>Surplus / deficit</v>
      </c>
      <c r="C56" s="511"/>
      <c r="D56" s="511"/>
      <c r="E56" s="511"/>
      <c r="F56" s="511"/>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2" t="str">
        <f>+VLOOKUP($A57,Master!$D$27:$G$225,4,FALSE)</f>
        <v>Primary balance</v>
      </c>
      <c r="C57" s="513"/>
      <c r="D57" s="513"/>
      <c r="E57" s="513"/>
      <c r="F57" s="513"/>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4" t="str">
        <f>+VLOOKUP($A58,Master!$D$27:$G$225,4,FALSE)</f>
        <v>Repayment of Debt</v>
      </c>
      <c r="C58" s="515"/>
      <c r="D58" s="515"/>
      <c r="E58" s="515"/>
      <c r="F58" s="51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4" t="str">
        <f>+VLOOKUP($A59,Master!$D$27:$G$225,4,FALSE)</f>
        <v>Repayment of Domestic Debt</v>
      </c>
      <c r="C59" s="505"/>
      <c r="D59" s="505"/>
      <c r="E59" s="505"/>
      <c r="F59" s="505"/>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2" t="str">
        <f>+VLOOKUP($A60,Master!$D$27:$G$225,4,FALSE)</f>
        <v>Repayment of Foreign Debt</v>
      </c>
      <c r="C60" s="503"/>
      <c r="D60" s="503"/>
      <c r="E60" s="503"/>
      <c r="F60" s="503"/>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06" t="str">
        <f>+VLOOKUP($A61,Master!$D$27:$G$225,4,FALSE)</f>
        <v>Financing needs</v>
      </c>
      <c r="C61" s="507"/>
      <c r="D61" s="507"/>
      <c r="E61" s="507"/>
      <c r="F61" s="507"/>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08" t="str">
        <f>+VLOOKUP($A62,Master!$D$27:$G$225,4,FALSE)</f>
        <v>Financing</v>
      </c>
      <c r="C62" s="509"/>
      <c r="D62" s="509"/>
      <c r="E62" s="509"/>
      <c r="F62" s="509"/>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4" t="str">
        <f>+VLOOKUP($A63,Master!$D$27:$G$225,4,FALSE)</f>
        <v>Domestic Loans and Borrowings</v>
      </c>
      <c r="C63" s="505"/>
      <c r="D63" s="505"/>
      <c r="E63" s="505"/>
      <c r="F63" s="505"/>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2" t="str">
        <f>+VLOOKUP($A64,Master!$D$27:$G$225,4,FALSE)</f>
        <v>Foreign Loans and Borrowings</v>
      </c>
      <c r="C64" s="503"/>
      <c r="D64" s="503"/>
      <c r="E64" s="503"/>
      <c r="F64" s="503"/>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2" t="str">
        <f>+VLOOKUP($A65,Master!$D$27:$G$225,4,FALSE)</f>
        <v>Revenues from Selling Assets</v>
      </c>
      <c r="C65" s="503"/>
      <c r="D65" s="503"/>
      <c r="E65" s="503"/>
      <c r="F65" s="503"/>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57" t="str">
        <f>+Master!G252</f>
        <v>Planned Budget Execution</v>
      </c>
      <c r="C102" s="455"/>
      <c r="D102" s="455"/>
      <c r="E102" s="455"/>
      <c r="F102" s="455"/>
      <c r="G102" s="463">
        <v>2013</v>
      </c>
      <c r="H102" s="464"/>
      <c r="I102" s="464"/>
      <c r="J102" s="464"/>
      <c r="K102" s="464"/>
      <c r="L102" s="464"/>
      <c r="M102" s="464"/>
      <c r="N102" s="464"/>
      <c r="O102" s="464"/>
      <c r="P102" s="464"/>
      <c r="Q102" s="464"/>
      <c r="R102" s="464"/>
      <c r="S102" s="464"/>
      <c r="T102" s="464"/>
      <c r="U102" s="467"/>
      <c r="V102" s="363"/>
      <c r="W102" s="260" t="str">
        <f>+W7</f>
        <v>GDP</v>
      </c>
      <c r="X102" s="261">
        <v>3393200615</v>
      </c>
    </row>
    <row r="103" spans="1:24" ht="15.75" customHeight="1">
      <c r="A103" s="169"/>
      <c r="B103" s="456"/>
      <c r="C103" s="457"/>
      <c r="D103" s="457"/>
      <c r="E103" s="457"/>
      <c r="F103" s="458"/>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3" t="str">
        <f>+Master!G246</f>
        <v>Jan - Dec</v>
      </c>
      <c r="X103" s="467">
        <f>+X8</f>
        <v>0</v>
      </c>
    </row>
    <row r="104" spans="1:24" ht="13.5" thickBot="1">
      <c r="A104" s="169"/>
      <c r="B104" s="459"/>
      <c r="C104" s="460"/>
      <c r="D104" s="460"/>
      <c r="E104" s="460"/>
      <c r="F104" s="461"/>
      <c r="G104" s="162" t="s">
        <v>428</v>
      </c>
      <c r="H104" s="162" t="s">
        <v>428</v>
      </c>
      <c r="I104" s="162" t="s">
        <v>428</v>
      </c>
      <c r="J104" s="162"/>
      <c r="K104" s="162" t="s">
        <v>428</v>
      </c>
      <c r="L104" s="162" t="s">
        <v>428</v>
      </c>
      <c r="M104" s="162" t="s">
        <v>428</v>
      </c>
      <c r="N104" s="162"/>
      <c r="O104" s="162" t="s">
        <v>428</v>
      </c>
      <c r="P104" s="162" t="s">
        <v>428</v>
      </c>
      <c r="Q104" s="162" t="s">
        <v>428</v>
      </c>
      <c r="R104" s="162"/>
      <c r="S104" s="162" t="s">
        <v>428</v>
      </c>
      <c r="T104" s="162" t="s">
        <v>428</v>
      </c>
      <c r="U104" s="162" t="s">
        <v>428</v>
      </c>
      <c r="V104" s="162"/>
      <c r="W104" s="262" t="s">
        <v>428</v>
      </c>
      <c r="X104" s="263" t="str">
        <f>+X9</f>
        <v>% GDP</v>
      </c>
    </row>
    <row r="105" spans="1:24" ht="13.5" thickBot="1">
      <c r="A105" s="297" t="str">
        <f t="shared" ref="A105:A148" si="21">+CONCATENATE(A10,"p")</f>
        <v>7p</v>
      </c>
      <c r="B105" s="496" t="str">
        <f>+VLOOKUP(LEFT($A105,LEN(A105)-1)*1,Master!$D$27:$G$225,4,FALSE)</f>
        <v>Total Revenues</v>
      </c>
      <c r="C105" s="497"/>
      <c r="D105" s="497"/>
      <c r="E105" s="497"/>
      <c r="F105" s="497"/>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98" t="str">
        <f>+VLOOKUP(LEFT($A106,LEN(A106)-1)*1,Master!$D$27:$G$225,4,FALSE)</f>
        <v>Taxes</v>
      </c>
      <c r="C106" s="499"/>
      <c r="D106" s="499"/>
      <c r="E106" s="499"/>
      <c r="F106" s="499"/>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4" t="str">
        <f>+VLOOKUP(LEFT($A107,LEN(A107)-1)*1,Master!$D$27:$G$225,4,FALSE)</f>
        <v>Personal Income Tax</v>
      </c>
      <c r="C107" s="485"/>
      <c r="D107" s="485"/>
      <c r="E107" s="485"/>
      <c r="F107" s="48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4" t="str">
        <f>+VLOOKUP(LEFT($A108,LEN(A108)-1)*1,Master!$D$27:$G$225,4,FALSE)</f>
        <v>Corporate Income Tax</v>
      </c>
      <c r="C108" s="485"/>
      <c r="D108" s="485"/>
      <c r="E108" s="485"/>
      <c r="F108" s="48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4" t="str">
        <f>+VLOOKUP(LEFT($A109,LEN(A109)-1)*1,Master!$D$27:$G$225,4,FALSE)</f>
        <v xml:space="preserve">Taxes on Sales of Property </v>
      </c>
      <c r="C109" s="485"/>
      <c r="D109" s="485"/>
      <c r="E109" s="485"/>
      <c r="F109" s="48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4" t="str">
        <f>+VLOOKUP(LEFT($A110,LEN(A110)-1)*1,Master!$D$27:$G$225,4,FALSE)</f>
        <v>Value Added Tax</v>
      </c>
      <c r="C110" s="485"/>
      <c r="D110" s="485"/>
      <c r="E110" s="485"/>
      <c r="F110" s="48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4" t="str">
        <f>+VLOOKUP(LEFT($A111,LEN(A111)-1)*1,Master!$D$27:$G$225,4,FALSE)</f>
        <v>Excises</v>
      </c>
      <c r="C111" s="485"/>
      <c r="D111" s="485"/>
      <c r="E111" s="485"/>
      <c r="F111" s="48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4" t="str">
        <f>+VLOOKUP(LEFT($A112,LEN(A112)-1)*1,Master!$D$27:$G$225,4,FALSE)</f>
        <v>Tax on International Trade and Transactions</v>
      </c>
      <c r="C112" s="485"/>
      <c r="D112" s="485"/>
      <c r="E112" s="485"/>
      <c r="F112" s="48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4" t="e">
        <f>+VLOOKUP(LEFT($A113,LEN(A113)-1)*1,Master!$D$27:$G$225,4,FALSE)</f>
        <v>#N/A</v>
      </c>
      <c r="C113" s="485"/>
      <c r="D113" s="485"/>
      <c r="E113" s="485"/>
      <c r="F113" s="48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4" t="str">
        <f>+VLOOKUP(LEFT($A114,LEN(A114)-1)*1,Master!$D$27:$G$225,4,FALSE)</f>
        <v>Other Republic Taxes</v>
      </c>
      <c r="C114" s="485"/>
      <c r="D114" s="485"/>
      <c r="E114" s="485"/>
      <c r="F114" s="48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4" t="str">
        <f>+VLOOKUP(LEFT($A115,LEN(A115)-1)*1,Master!$D$27:$G$225,4,FALSE)</f>
        <v>Contributions</v>
      </c>
      <c r="C115" s="495"/>
      <c r="D115" s="495"/>
      <c r="E115" s="495"/>
      <c r="F115" s="495"/>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4" t="str">
        <f>+VLOOKUP(LEFT($A116,LEN(A116)-1)*1,Master!$D$27:$G$225,4,FALSE)</f>
        <v>Contributions for Pension and Disability Insurance</v>
      </c>
      <c r="C116" s="485"/>
      <c r="D116" s="485"/>
      <c r="E116" s="485"/>
      <c r="F116" s="48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4" t="str">
        <f>+VLOOKUP(LEFT($A117,LEN(A117)-1)*1,Master!$D$27:$G$225,4,FALSE)</f>
        <v>Contributions for Health Insurance</v>
      </c>
      <c r="C117" s="485"/>
      <c r="D117" s="485"/>
      <c r="E117" s="485"/>
      <c r="F117" s="48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4" t="str">
        <f>+VLOOKUP(LEFT($A118,LEN(A118)-1)*1,Master!$D$27:$G$225,4,FALSE)</f>
        <v>Contributions for  Unemployment Insurance</v>
      </c>
      <c r="C118" s="485"/>
      <c r="D118" s="485"/>
      <c r="E118" s="485"/>
      <c r="F118" s="48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4" t="str">
        <f>+VLOOKUP(LEFT($A119,LEN(A119)-1)*1,Master!$D$27:$G$225,4,FALSE)</f>
        <v>Other contributions</v>
      </c>
      <c r="C119" s="485"/>
      <c r="D119" s="485"/>
      <c r="E119" s="485"/>
      <c r="F119" s="48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86" t="str">
        <f>+VLOOKUP(LEFT($A120,LEN(A120)-1)*1,Master!$D$27:$G$225,4,FALSE)</f>
        <v>Duties</v>
      </c>
      <c r="C120" s="487"/>
      <c r="D120" s="487"/>
      <c r="E120" s="487"/>
      <c r="F120" s="48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86" t="str">
        <f>+VLOOKUP(LEFT($A121,LEN(A121)-1)*1,Master!$D$27:$G$225,4,FALSE)</f>
        <v>Fees</v>
      </c>
      <c r="C121" s="487"/>
      <c r="D121" s="487"/>
      <c r="E121" s="487"/>
      <c r="F121" s="48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86" t="str">
        <f>+VLOOKUP(LEFT($A122,LEN(A122)-1)*1,Master!$D$27:$G$225,4,FALSE)</f>
        <v>Other revenues</v>
      </c>
      <c r="C122" s="487"/>
      <c r="D122" s="487"/>
      <c r="E122" s="487"/>
      <c r="F122" s="48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86" t="str">
        <f>+VLOOKUP(LEFT($A123,LEN(A123)-1)*1,Master!$D$27:$G$225,4,FALSE)</f>
        <v>Receipts from Repayment of Loans and Funds Carried over from Previous Year</v>
      </c>
      <c r="C123" s="487"/>
      <c r="D123" s="487"/>
      <c r="E123" s="487"/>
      <c r="F123" s="48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88" t="str">
        <f>+VLOOKUP(LEFT($A124,LEN(A124)-1)*1,Master!$D$27:$G$225,4,FALSE)</f>
        <v>Grants and Transfers</v>
      </c>
      <c r="C124" s="489"/>
      <c r="D124" s="489"/>
      <c r="E124" s="489"/>
      <c r="F124" s="489"/>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4" t="str">
        <f>+VLOOKUP(LEFT($A125,LEN(A125)-1)*1,Master!$D$27:$G$225,4,FALSE)</f>
        <v>Total Expenditures</v>
      </c>
      <c r="C125" s="475"/>
      <c r="D125" s="475"/>
      <c r="E125" s="475"/>
      <c r="F125" s="475"/>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0" t="str">
        <f>+VLOOKUP(LEFT($A126,LEN(A126)-1)*1,Master!$D$27:$G$225,4,FALSE)</f>
        <v>Current Expenditures</v>
      </c>
      <c r="C126" s="491"/>
      <c r="D126" s="491"/>
      <c r="E126" s="491"/>
      <c r="F126" s="491"/>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2" t="str">
        <f>+VLOOKUP(LEFT($A127,LEN(A127)-1)*1,Master!$D$27:$G$225,4,FALSE)</f>
        <v>Current Budgetary Expenditures</v>
      </c>
      <c r="C127" s="493"/>
      <c r="D127" s="493"/>
      <c r="E127" s="493"/>
      <c r="F127" s="493"/>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4" t="str">
        <f>+VLOOKUP(LEFT($A128,LEN(A128)-1)*1,Master!$D$27:$G$225,4,FALSE)</f>
        <v>Gross Salaries and Contributions</v>
      </c>
      <c r="C128" s="485"/>
      <c r="D128" s="485"/>
      <c r="E128" s="485"/>
      <c r="F128" s="48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4" t="str">
        <f>+VLOOKUP(LEFT($A129,LEN(A129)-1)*1,Master!$D$27:$G$225,4,FALSE)</f>
        <v>Other Personal Income</v>
      </c>
      <c r="C129" s="485"/>
      <c r="D129" s="485"/>
      <c r="E129" s="485"/>
      <c r="F129" s="48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4" t="str">
        <f>+VLOOKUP(LEFT($A130,LEN(A130)-1)*1,Master!$D$27:$G$225,4,FALSE)</f>
        <v>Expenditures for Supplies</v>
      </c>
      <c r="C130" s="485"/>
      <c r="D130" s="485"/>
      <c r="E130" s="485"/>
      <c r="F130" s="48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4" t="str">
        <f>+VLOOKUP(LEFT($A131,LEN(A131)-1)*1,Master!$D$27:$G$225,4,FALSE)</f>
        <v>Expenditures for Services</v>
      </c>
      <c r="C131" s="485"/>
      <c r="D131" s="485"/>
      <c r="E131" s="485"/>
      <c r="F131" s="48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4" t="str">
        <f>+VLOOKUP(LEFT($A132,LEN(A132)-1)*1,Master!$D$27:$G$225,4,FALSE)</f>
        <v>Current Maintenance</v>
      </c>
      <c r="C132" s="485"/>
      <c r="D132" s="485"/>
      <c r="E132" s="485"/>
      <c r="F132" s="48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4" t="str">
        <f>+VLOOKUP(LEFT($A133,LEN(A133)-1)*1,Master!$D$27:$G$225,4,FALSE)</f>
        <v>Interests</v>
      </c>
      <c r="C133" s="485"/>
      <c r="D133" s="485"/>
      <c r="E133" s="485"/>
      <c r="F133" s="48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4" t="str">
        <f>+VLOOKUP(LEFT($A134,LEN(A134)-1)*1,Master!$D$27:$G$225,4,FALSE)</f>
        <v>Rent</v>
      </c>
      <c r="C134" s="485"/>
      <c r="D134" s="485"/>
      <c r="E134" s="485"/>
      <c r="F134" s="48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4" t="str">
        <f>+VLOOKUP(LEFT($A135,LEN(A135)-1)*1,Master!$D$27:$G$225,4,FALSE)</f>
        <v>Subsidies</v>
      </c>
      <c r="C135" s="485"/>
      <c r="D135" s="485"/>
      <c r="E135" s="485"/>
      <c r="F135" s="48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4" t="str">
        <f>+VLOOKUP(LEFT($A136,LEN(A136)-1)*1,Master!$D$27:$G$225,4,FALSE)</f>
        <v>Other expenditures</v>
      </c>
      <c r="C136" s="485"/>
      <c r="D136" s="485"/>
      <c r="E136" s="485"/>
      <c r="F136" s="48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4" t="str">
        <f>+VLOOKUP(LEFT($A137,LEN(A137)-1)*1,Master!$D$27:$G$225,4,FALSE)</f>
        <v>Current Capital Expenditure</v>
      </c>
      <c r="C137" s="485"/>
      <c r="D137" s="485"/>
      <c r="E137" s="485"/>
      <c r="F137" s="48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0" t="str">
        <f>+VLOOKUP(LEFT($A138,LEN(A138)-1)*1,Master!$D$27:$G$225,4,FALSE)</f>
        <v>Social Security Transfers</v>
      </c>
      <c r="C138" s="481"/>
      <c r="D138" s="481"/>
      <c r="E138" s="481"/>
      <c r="F138" s="48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4" t="str">
        <f>+VLOOKUP(LEFT($A139,LEN(A139)-1)*1,Master!$D$27:$G$225,4,FALSE)</f>
        <v>Social Security</v>
      </c>
      <c r="C139" s="485"/>
      <c r="D139" s="485"/>
      <c r="E139" s="485"/>
      <c r="F139" s="48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4" t="str">
        <f>+VLOOKUP(LEFT($A140,LEN(A140)-1)*1,Master!$D$27:$G$225,4,FALSE)</f>
        <v>Funds for redundant labor</v>
      </c>
      <c r="C140" s="485"/>
      <c r="D140" s="485"/>
      <c r="E140" s="485"/>
      <c r="F140" s="48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4" t="str">
        <f>+VLOOKUP(LEFT($A141,LEN(A141)-1)*1,Master!$D$27:$G$225,4,FALSE)</f>
        <v>Pension and Disability Insurance</v>
      </c>
      <c r="C141" s="485"/>
      <c r="D141" s="485"/>
      <c r="E141" s="485"/>
      <c r="F141" s="48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4" t="str">
        <f>+VLOOKUP(LEFT($A142,LEN(A142)-1)*1,Master!$D$27:$G$225,4,FALSE)</f>
        <v>Other Health Care Transfers</v>
      </c>
      <c r="C142" s="485"/>
      <c r="D142" s="485"/>
      <c r="E142" s="485"/>
      <c r="F142" s="48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4" t="str">
        <f>+VLOOKUP(LEFT($A143,LEN(A143)-1)*1,Master!$D$27:$G$225,4,FALSE)</f>
        <v>Other Health Care Insurance</v>
      </c>
      <c r="C143" s="485"/>
      <c r="D143" s="485"/>
      <c r="E143" s="485"/>
      <c r="F143" s="48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2" t="str">
        <f>+VLOOKUP(LEFT($A144,LEN(A144)-1)*1,Master!$D$27:$G$225,4,FALSE)</f>
        <v xml:space="preserve">Transfers to Institutions, Individuals, NGO and Public Sector </v>
      </c>
      <c r="C144" s="483"/>
      <c r="D144" s="483"/>
      <c r="E144" s="483"/>
      <c r="F144" s="483"/>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2" t="str">
        <f>+VLOOKUP(LEFT($A145,LEN(A145)-1)*1,Master!$D$27:$G$225,4,FALSE)</f>
        <v>Capital Expenditure</v>
      </c>
      <c r="C145" s="483"/>
      <c r="D145" s="483"/>
      <c r="E145" s="483"/>
      <c r="F145" s="483"/>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2" t="str">
        <f>+VLOOKUP(LEFT($A146,LEN(A146)-1)*1,Master!$D$27:$G$225,4,FALSE)</f>
        <v>Credits and Borrowings</v>
      </c>
      <c r="C146" s="453"/>
      <c r="D146" s="453"/>
      <c r="E146" s="453"/>
      <c r="F146" s="45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2" t="str">
        <f>+VLOOKUP(LEFT($A147,LEN(A147)-1)*1,Master!$D$27:$G$225,4,FALSE)</f>
        <v>Reserves</v>
      </c>
      <c r="C147" s="453"/>
      <c r="D147" s="453"/>
      <c r="E147" s="453"/>
      <c r="F147" s="45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0" t="str">
        <f>+VLOOKUP(LEFT($A148,LEN(A148)-1)*1,Master!$D$27:$G$225,4,FALSE)</f>
        <v>Repayment of Guarantees</v>
      </c>
      <c r="C148" s="471"/>
      <c r="D148" s="471"/>
      <c r="E148" s="471"/>
      <c r="F148" s="471"/>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0" t="str">
        <f>+VLOOKUP(LEFT($A151,LEN(A151)-1)*1,Master!$D$27:$G$225,4,FALSE)</f>
        <v>Repayment of Debt</v>
      </c>
      <c r="C151" s="481"/>
      <c r="D151" s="481"/>
      <c r="E151" s="481"/>
      <c r="F151" s="48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68" t="str">
        <f>+VLOOKUP(LEFT($A152,LEN(A152)-1)*1,Master!$D$27:$G$225,4,FALSE)</f>
        <v>Repayment of Domestic Debt</v>
      </c>
      <c r="C152" s="469"/>
      <c r="D152" s="469"/>
      <c r="E152" s="469"/>
      <c r="F152" s="469"/>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2" t="str">
        <f>+VLOOKUP(LEFT($A153,LEN(A153)-1)*1,Master!$D$27:$G$225,4,FALSE)</f>
        <v>Repayment of Foreign Debt</v>
      </c>
      <c r="C153" s="453"/>
      <c r="D153" s="453"/>
      <c r="E153" s="453"/>
      <c r="F153" s="45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0" t="str">
        <f>+VLOOKUP(LEFT($A154,LEN(A154)-1)*1,Master!$D$27:$G$225,4,FALSE)</f>
        <v>Repayments of Arrears</v>
      </c>
      <c r="C154" s="471"/>
      <c r="D154" s="471"/>
      <c r="E154" s="471"/>
      <c r="F154" s="471"/>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2" t="str">
        <f>+VLOOKUP(LEFT($A155,LEN(A155)-1)*1,Master!$D$27:$G$225,4,FALSE)</f>
        <v>Financing needs</v>
      </c>
      <c r="C155" s="473"/>
      <c r="D155" s="473"/>
      <c r="E155" s="473"/>
      <c r="F155" s="473"/>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4" t="str">
        <f>+VLOOKUP(LEFT($A156,LEN(A156)-1)*1,Master!$D$27:$G$225,4,FALSE)</f>
        <v>Financing</v>
      </c>
      <c r="C156" s="475"/>
      <c r="D156" s="475"/>
      <c r="E156" s="475"/>
      <c r="F156" s="475"/>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68" t="str">
        <f>+VLOOKUP(LEFT($A157,LEN(A157)-1)*1,Master!$D$27:$G$225,4,FALSE)</f>
        <v>Domestic Loans and Borrowings</v>
      </c>
      <c r="C157" s="469"/>
      <c r="D157" s="469"/>
      <c r="E157" s="469"/>
      <c r="F157" s="469"/>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2" t="str">
        <f>+VLOOKUP(LEFT($A158,LEN(A158)-1)*1,Master!$D$27:$G$225,4,FALSE)</f>
        <v>Foreign Loans and Borrowings</v>
      </c>
      <c r="C158" s="453"/>
      <c r="D158" s="453"/>
      <c r="E158" s="453"/>
      <c r="F158" s="45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2" t="str">
        <f>+VLOOKUP(LEFT($A159,LEN(A159)-1)*1,Master!$D$27:$G$225,4,FALSE)</f>
        <v>Revenues from Selling Assets</v>
      </c>
      <c r="C159" s="453"/>
      <c r="D159" s="453"/>
      <c r="E159" s="453"/>
      <c r="F159" s="45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518</v>
      </c>
      <c r="H6" s="69" t="s">
        <v>519</v>
      </c>
      <c r="I6" s="69" t="s">
        <v>520</v>
      </c>
      <c r="J6" s="69" t="s">
        <v>521</v>
      </c>
      <c r="K6" s="69" t="s">
        <v>522</v>
      </c>
      <c r="L6" s="69" t="s">
        <v>523</v>
      </c>
      <c r="M6" s="69" t="s">
        <v>524</v>
      </c>
      <c r="N6" s="69" t="s">
        <v>525</v>
      </c>
      <c r="O6" s="69" t="s">
        <v>526</v>
      </c>
      <c r="P6" s="69" t="s">
        <v>527</v>
      </c>
      <c r="Q6" s="69" t="s">
        <v>528</v>
      </c>
      <c r="R6" s="69" t="s">
        <v>529</v>
      </c>
    </row>
    <row r="7" spans="1:20" ht="15" customHeight="1" thickBot="1">
      <c r="B7" s="539" t="str">
        <f>+Master!G251</f>
        <v>Budget Execution</v>
      </c>
      <c r="C7" s="540"/>
      <c r="D7" s="540"/>
      <c r="E7" s="540"/>
      <c r="F7" s="540"/>
      <c r="G7" s="532">
        <v>2013</v>
      </c>
      <c r="H7" s="533"/>
      <c r="I7" s="533"/>
      <c r="J7" s="533"/>
      <c r="K7" s="533"/>
      <c r="L7" s="533"/>
      <c r="M7" s="533"/>
      <c r="N7" s="533"/>
      <c r="O7" s="533"/>
      <c r="P7" s="533"/>
      <c r="Q7" s="533"/>
      <c r="R7" s="534"/>
      <c r="S7" s="115" t="str">
        <f>+Master!G248</f>
        <v>GDP</v>
      </c>
      <c r="T7" s="116">
        <v>3393200615</v>
      </c>
    </row>
    <row r="8" spans="1:20" ht="16.5" customHeight="1">
      <c r="B8" s="541"/>
      <c r="C8" s="542"/>
      <c r="D8" s="542"/>
      <c r="E8" s="542"/>
      <c r="F8" s="543"/>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2" t="str">
        <f>+Master!G245</f>
        <v>Jan - Apr</v>
      </c>
      <c r="T8" s="534"/>
    </row>
    <row r="9" spans="1:20" ht="13.5" thickBot="1">
      <c r="B9" s="544"/>
      <c r="C9" s="545"/>
      <c r="D9" s="545"/>
      <c r="E9" s="545"/>
      <c r="F9" s="546"/>
      <c r="G9" s="68" t="s">
        <v>428</v>
      </c>
      <c r="H9" s="68" t="s">
        <v>428</v>
      </c>
      <c r="I9" s="68" t="s">
        <v>428</v>
      </c>
      <c r="J9" s="68" t="s">
        <v>428</v>
      </c>
      <c r="K9" s="68" t="s">
        <v>428</v>
      </c>
      <c r="L9" s="68" t="s">
        <v>428</v>
      </c>
      <c r="M9" s="68" t="s">
        <v>428</v>
      </c>
      <c r="N9" s="68" t="s">
        <v>428</v>
      </c>
      <c r="O9" s="68" t="s">
        <v>428</v>
      </c>
      <c r="P9" s="68" t="s">
        <v>428</v>
      </c>
      <c r="Q9" s="68" t="s">
        <v>428</v>
      </c>
      <c r="R9" s="68" t="s">
        <v>428</v>
      </c>
      <c r="S9" s="66" t="s">
        <v>428</v>
      </c>
      <c r="T9" s="67" t="str">
        <f>+Master!G249</f>
        <v>% GDP</v>
      </c>
    </row>
    <row r="10" spans="1:20" ht="13.5" thickBot="1">
      <c r="A10" s="72">
        <v>7</v>
      </c>
      <c r="B10" s="535" t="str">
        <f>+VLOOKUP($A10,Master!$D$27:$G$225,4,FALSE)</f>
        <v>Total Revenues</v>
      </c>
      <c r="C10" s="536"/>
      <c r="D10" s="536"/>
      <c r="E10" s="536"/>
      <c r="F10" s="536"/>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37" t="str">
        <f>+VLOOKUP($A11,Master!$D$27:$G$225,4,FALSE)</f>
        <v>Taxes</v>
      </c>
      <c r="C11" s="538"/>
      <c r="D11" s="538"/>
      <c r="E11" s="538"/>
      <c r="F11" s="538"/>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18" t="str">
        <f>+VLOOKUP($A12,Master!$D$27:$G$225,4,FALSE)</f>
        <v>Personal Income Tax</v>
      </c>
      <c r="C12" s="519"/>
      <c r="D12" s="519"/>
      <c r="E12" s="519"/>
      <c r="F12" s="519"/>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18" t="str">
        <f>+VLOOKUP($A13,Master!$D$27:$G$225,4,FALSE)</f>
        <v>Corporate Income Tax</v>
      </c>
      <c r="C13" s="519"/>
      <c r="D13" s="519"/>
      <c r="E13" s="519"/>
      <c r="F13" s="519"/>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18" t="str">
        <f>+VLOOKUP($A14,Master!$D$27:$G$225,4,FALSE)</f>
        <v xml:space="preserve">Taxes on Sales of Property </v>
      </c>
      <c r="C14" s="519"/>
      <c r="D14" s="519"/>
      <c r="E14" s="519"/>
      <c r="F14" s="519"/>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18" t="str">
        <f>+VLOOKUP($A15,Master!$D$27:$G$225,4,FALSE)</f>
        <v>Value Added Tax</v>
      </c>
      <c r="C15" s="519"/>
      <c r="D15" s="519"/>
      <c r="E15" s="519"/>
      <c r="F15" s="519"/>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18" t="str">
        <f>+VLOOKUP($A16,Master!$D$27:$G$225,4,FALSE)</f>
        <v>Excises</v>
      </c>
      <c r="C16" s="519"/>
      <c r="D16" s="519"/>
      <c r="E16" s="519"/>
      <c r="F16" s="519"/>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18" t="str">
        <f>+VLOOKUP($A17,Master!$D$27:$G$225,4,FALSE)</f>
        <v>Tax on International Trade and Transactions</v>
      </c>
      <c r="C17" s="519"/>
      <c r="D17" s="519"/>
      <c r="E17" s="519"/>
      <c r="F17" s="519"/>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18" t="e">
        <f>+VLOOKUP($A18,Master!$D$27:$G$225,4,FALSE)</f>
        <v>#N/A</v>
      </c>
      <c r="C18" s="519"/>
      <c r="D18" s="519"/>
      <c r="E18" s="519"/>
      <c r="F18" s="519"/>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18" t="str">
        <f>+VLOOKUP($A19,Master!$D$27:$G$225,4,FALSE)</f>
        <v>Other Republic Taxes</v>
      </c>
      <c r="C19" s="519"/>
      <c r="D19" s="519"/>
      <c r="E19" s="519"/>
      <c r="F19" s="519"/>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0" t="str">
        <f>+VLOOKUP($A20,Master!$D$27:$G$225,4,FALSE)</f>
        <v>Contributions</v>
      </c>
      <c r="C20" s="531"/>
      <c r="D20" s="531"/>
      <c r="E20" s="531"/>
      <c r="F20" s="531"/>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18" t="str">
        <f>+VLOOKUP($A21,Master!$D$27:$G$225,4,FALSE)</f>
        <v>Contributions for Pension and Disability Insurance</v>
      </c>
      <c r="C21" s="519"/>
      <c r="D21" s="519"/>
      <c r="E21" s="519"/>
      <c r="F21" s="519"/>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18" t="str">
        <f>+VLOOKUP($A22,Master!$D$27:$G$225,4,FALSE)</f>
        <v>Contributions for Health Insurance</v>
      </c>
      <c r="C22" s="519"/>
      <c r="D22" s="519"/>
      <c r="E22" s="519"/>
      <c r="F22" s="519"/>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18" t="str">
        <f>+VLOOKUP($A23,Master!$D$27:$G$225,4,FALSE)</f>
        <v>Contributions for  Unemployment Insurance</v>
      </c>
      <c r="C23" s="519"/>
      <c r="D23" s="519"/>
      <c r="E23" s="519"/>
      <c r="F23" s="519"/>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18" t="str">
        <f>+VLOOKUP($A24,Master!$D$27:$G$225,4,FALSE)</f>
        <v>Other contributions</v>
      </c>
      <c r="C24" s="519"/>
      <c r="D24" s="519"/>
      <c r="E24" s="519"/>
      <c r="F24" s="519"/>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2" t="str">
        <f>+VLOOKUP($A25,Master!$D$27:$G$225,4,FALSE)</f>
        <v>Duties</v>
      </c>
      <c r="C25" s="523"/>
      <c r="D25" s="523"/>
      <c r="E25" s="523"/>
      <c r="F25" s="523"/>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2" t="str">
        <f>+VLOOKUP($A26,Master!$D$27:$G$225,4,FALSE)</f>
        <v>Fees</v>
      </c>
      <c r="C26" s="523"/>
      <c r="D26" s="523"/>
      <c r="E26" s="523"/>
      <c r="F26" s="523"/>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2" t="str">
        <f>+VLOOKUP($A27,Master!$D$27:$G$225,4,FALSE)</f>
        <v>Other revenues</v>
      </c>
      <c r="C27" s="523"/>
      <c r="D27" s="523"/>
      <c r="E27" s="523"/>
      <c r="F27" s="523"/>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2" t="str">
        <f>+VLOOKUP($A28,Master!$D$27:$G$225,4,FALSE)</f>
        <v>Receipts from Repayment of Loans and Funds Carried over from Previous Year</v>
      </c>
      <c r="C28" s="523"/>
      <c r="D28" s="523"/>
      <c r="E28" s="523"/>
      <c r="F28" s="523"/>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4" t="str">
        <f>+VLOOKUP($A29,Master!$D$27:$G$225,4,FALSE)</f>
        <v>Grants and Transfers</v>
      </c>
      <c r="C29" s="525"/>
      <c r="D29" s="525"/>
      <c r="E29" s="525"/>
      <c r="F29" s="52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08" t="str">
        <f>+VLOOKUP($A30,Master!$D$27:$G$225,4,FALSE)</f>
        <v>Total Expenditures</v>
      </c>
      <c r="C30" s="509"/>
      <c r="D30" s="509"/>
      <c r="E30" s="509"/>
      <c r="F30" s="509"/>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26" t="str">
        <f>+VLOOKUP($A31,Master!$D$27:$G$225,4,FALSE)</f>
        <v>Current Expenditures</v>
      </c>
      <c r="C31" s="527"/>
      <c r="D31" s="527"/>
      <c r="E31" s="527"/>
      <c r="F31" s="527"/>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28" t="str">
        <f>+VLOOKUP($A32,Master!$D$27:$G$225,4,FALSE)</f>
        <v>Current Budgetary Expenditures</v>
      </c>
      <c r="C32" s="529"/>
      <c r="D32" s="529"/>
      <c r="E32" s="529"/>
      <c r="F32" s="529"/>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18" t="str">
        <f>+VLOOKUP($A33,Master!$D$27:$G$225,4,FALSE)</f>
        <v>Gross Salaries and Contributions</v>
      </c>
      <c r="C33" s="519"/>
      <c r="D33" s="519"/>
      <c r="E33" s="519"/>
      <c r="F33" s="519"/>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18" t="str">
        <f>+VLOOKUP($A34,Master!$D$27:$G$225,4,FALSE)</f>
        <v>Other Personal Income</v>
      </c>
      <c r="C34" s="519"/>
      <c r="D34" s="519"/>
      <c r="E34" s="519"/>
      <c r="F34" s="519"/>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18" t="str">
        <f>+VLOOKUP($A35,Master!$D$27:$G$225,4,FALSE)</f>
        <v>Expenditures for Supplies</v>
      </c>
      <c r="C35" s="519"/>
      <c r="D35" s="519"/>
      <c r="E35" s="519"/>
      <c r="F35" s="519"/>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18" t="str">
        <f>+VLOOKUP($A36,Master!$D$27:$G$225,4,FALSE)</f>
        <v>Expenditures for Services</v>
      </c>
      <c r="C36" s="519"/>
      <c r="D36" s="519"/>
      <c r="E36" s="519"/>
      <c r="F36" s="519"/>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18" t="str">
        <f>+VLOOKUP($A37,Master!$D$27:$G$225,4,FALSE)</f>
        <v>Current Maintenance</v>
      </c>
      <c r="C37" s="519"/>
      <c r="D37" s="519"/>
      <c r="E37" s="519"/>
      <c r="F37" s="519"/>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18" t="str">
        <f>+VLOOKUP($A38,Master!$D$27:$G$225,4,FALSE)</f>
        <v>Interests</v>
      </c>
      <c r="C38" s="519"/>
      <c r="D38" s="519"/>
      <c r="E38" s="519"/>
      <c r="F38" s="519"/>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18" t="str">
        <f>+VLOOKUP($A39,Master!$D$27:$G$225,4,FALSE)</f>
        <v>Rent</v>
      </c>
      <c r="C39" s="519"/>
      <c r="D39" s="519"/>
      <c r="E39" s="519"/>
      <c r="F39" s="519"/>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18" t="str">
        <f>+VLOOKUP($A40,Master!$D$27:$G$225,4,FALSE)</f>
        <v>Subsidies</v>
      </c>
      <c r="C40" s="519"/>
      <c r="D40" s="519"/>
      <c r="E40" s="519"/>
      <c r="F40" s="519"/>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18" t="str">
        <f>+VLOOKUP($A41,Master!$D$27:$G$225,4,FALSE)</f>
        <v>Other expenditures</v>
      </c>
      <c r="C41" s="519"/>
      <c r="D41" s="519"/>
      <c r="E41" s="519"/>
      <c r="F41" s="519"/>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18" t="str">
        <f>+VLOOKUP($A42,Master!$D$27:$G$225,4,FALSE)</f>
        <v>Current Capital Expenditure</v>
      </c>
      <c r="C42" s="519"/>
      <c r="D42" s="519"/>
      <c r="E42" s="519"/>
      <c r="F42" s="519"/>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4" t="str">
        <f>+VLOOKUP($A43,Master!$D$27:$G$225,4,FALSE)</f>
        <v>Social Security Transfers</v>
      </c>
      <c r="C43" s="515"/>
      <c r="D43" s="515"/>
      <c r="E43" s="515"/>
      <c r="F43" s="51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18" t="str">
        <f>+VLOOKUP($A44,Master!$D$27:$G$225,4,FALSE)</f>
        <v>Social Security</v>
      </c>
      <c r="C44" s="519"/>
      <c r="D44" s="519"/>
      <c r="E44" s="519"/>
      <c r="F44" s="519"/>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18" t="str">
        <f>+VLOOKUP($A45,Master!$D$27:$G$225,4,FALSE)</f>
        <v>Funds for redundant labor</v>
      </c>
      <c r="C45" s="519"/>
      <c r="D45" s="519"/>
      <c r="E45" s="519"/>
      <c r="F45" s="519"/>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18" t="str">
        <f>+VLOOKUP($A46,Master!$D$27:$G$225,4,FALSE)</f>
        <v>Pension and Disability Insurance</v>
      </c>
      <c r="C46" s="519"/>
      <c r="D46" s="519"/>
      <c r="E46" s="519"/>
      <c r="F46" s="519"/>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18" t="str">
        <f>+VLOOKUP($A47,Master!$D$27:$G$225,4,FALSE)</f>
        <v>Other Health Care Transfers</v>
      </c>
      <c r="C47" s="519"/>
      <c r="D47" s="519"/>
      <c r="E47" s="519"/>
      <c r="F47" s="519"/>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18" t="str">
        <f>+VLOOKUP($A48,Master!$D$27:$G$225,4,FALSE)</f>
        <v>Other Health Care Insurance</v>
      </c>
      <c r="C48" s="519"/>
      <c r="D48" s="519"/>
      <c r="E48" s="519"/>
      <c r="F48" s="519"/>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0" t="str">
        <f>+VLOOKUP($A49,Master!$D$27:$G$225,4,FALSE)</f>
        <v xml:space="preserve">Transfers to Institutions, Individuals, NGO and Public Sector </v>
      </c>
      <c r="C49" s="521"/>
      <c r="D49" s="521"/>
      <c r="E49" s="521"/>
      <c r="F49" s="521"/>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0" t="str">
        <f>+VLOOKUP($A50,Master!$D$27:$G$225,4,FALSE)</f>
        <v>Capital Expenditure</v>
      </c>
      <c r="C50" s="521"/>
      <c r="D50" s="521"/>
      <c r="E50" s="521"/>
      <c r="F50" s="521"/>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2" t="str">
        <f>+VLOOKUP($A51,Master!$D$27:$G$225,4,FALSE)</f>
        <v>Credits and Borrowings</v>
      </c>
      <c r="C51" s="503"/>
      <c r="D51" s="503"/>
      <c r="E51" s="503"/>
      <c r="F51" s="503"/>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2" t="str">
        <f>+VLOOKUP($A52,Master!$D$27:$G$225,4,FALSE)</f>
        <v>Reserves</v>
      </c>
      <c r="C52" s="503"/>
      <c r="D52" s="503"/>
      <c r="E52" s="503"/>
      <c r="F52" s="503"/>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16" t="str">
        <f>+VLOOKUP($A53,Master!$D$27:$G$225,4,FALSE)</f>
        <v>Repayment of Guarantees</v>
      </c>
      <c r="C53" s="517"/>
      <c r="D53" s="517"/>
      <c r="E53" s="517"/>
      <c r="F53" s="51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0" t="str">
        <f>+VLOOKUP($A54,Master!$D$27:$G$225,4,FALSE)</f>
        <v>Surplus / deficit</v>
      </c>
      <c r="C54" s="511"/>
      <c r="D54" s="511"/>
      <c r="E54" s="511"/>
      <c r="F54" s="511"/>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2" t="str">
        <f>+VLOOKUP($A55,Master!$D$27:$G$225,4,FALSE)</f>
        <v>Primary balance</v>
      </c>
      <c r="C55" s="513"/>
      <c r="D55" s="513"/>
      <c r="E55" s="513"/>
      <c r="F55" s="513"/>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4" t="str">
        <f>+VLOOKUP($A56,Master!$D$27:$G$225,4,FALSE)</f>
        <v>Repayment of Debt</v>
      </c>
      <c r="C56" s="515"/>
      <c r="D56" s="515"/>
      <c r="E56" s="515"/>
      <c r="F56" s="51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4" t="str">
        <f>+VLOOKUP($A57,Master!$D$27:$G$225,4,FALSE)</f>
        <v>Repayment of Domestic Debt</v>
      </c>
      <c r="C57" s="505"/>
      <c r="D57" s="505"/>
      <c r="E57" s="505"/>
      <c r="F57" s="505"/>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2" t="str">
        <f>+VLOOKUP($A58,Master!$D$27:$G$225,4,FALSE)</f>
        <v>Repayment of Foreign Debt</v>
      </c>
      <c r="C58" s="503"/>
      <c r="D58" s="503"/>
      <c r="E58" s="503"/>
      <c r="F58" s="503"/>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16" t="str">
        <f>+VLOOKUP($A59,Master!$D$27:$G$225,4,FALSE)</f>
        <v>Repayments of Arrears</v>
      </c>
      <c r="C59" s="517"/>
      <c r="D59" s="517"/>
      <c r="E59" s="517"/>
      <c r="F59" s="51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06" t="str">
        <f>+VLOOKUP($A60,Master!$D$27:$G$225,4,FALSE)</f>
        <v>Financing needs</v>
      </c>
      <c r="C60" s="507"/>
      <c r="D60" s="507"/>
      <c r="E60" s="507"/>
      <c r="F60" s="507"/>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08" t="str">
        <f>+VLOOKUP($A61,Master!$D$27:$G$225,4,FALSE)</f>
        <v>Financing</v>
      </c>
      <c r="C61" s="509"/>
      <c r="D61" s="509"/>
      <c r="E61" s="509"/>
      <c r="F61" s="509"/>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4" t="str">
        <f>+VLOOKUP($A62,Master!$D$27:$G$225,4,FALSE)</f>
        <v>Domestic Loans and Borrowings</v>
      </c>
      <c r="C62" s="505"/>
      <c r="D62" s="505"/>
      <c r="E62" s="505"/>
      <c r="F62" s="505"/>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2" t="str">
        <f>+VLOOKUP($A63,Master!$D$27:$G$225,4,FALSE)</f>
        <v>Foreign Loans and Borrowings</v>
      </c>
      <c r="C63" s="503"/>
      <c r="D63" s="503"/>
      <c r="E63" s="503"/>
      <c r="F63" s="503"/>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2" t="str">
        <f>+VLOOKUP($A64,Master!$D$27:$G$225,4,FALSE)</f>
        <v>Revenues from Selling Assets</v>
      </c>
      <c r="C64" s="503"/>
      <c r="D64" s="503"/>
      <c r="E64" s="503"/>
      <c r="F64" s="503"/>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57" t="str">
        <f>+Master!G252</f>
        <v>Planned Budget Execution</v>
      </c>
      <c r="C101" s="455"/>
      <c r="D101" s="455"/>
      <c r="E101" s="455"/>
      <c r="F101" s="455"/>
      <c r="G101" s="463">
        <v>2014</v>
      </c>
      <c r="H101" s="464"/>
      <c r="I101" s="464"/>
      <c r="J101" s="464"/>
      <c r="K101" s="464"/>
      <c r="L101" s="464"/>
      <c r="M101" s="464"/>
      <c r="N101" s="464"/>
      <c r="O101" s="464"/>
      <c r="P101" s="464"/>
      <c r="Q101" s="464"/>
      <c r="R101" s="467"/>
      <c r="S101" s="260" t="str">
        <f>+S7</f>
        <v>GDP</v>
      </c>
      <c r="T101" s="261">
        <v>3393200615</v>
      </c>
    </row>
    <row r="102" spans="1:20" ht="15.75" customHeight="1">
      <c r="A102" s="169"/>
      <c r="B102" s="456"/>
      <c r="C102" s="457"/>
      <c r="D102" s="457"/>
      <c r="E102" s="457"/>
      <c r="F102" s="458"/>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3" t="str">
        <f>+Master!G246</f>
        <v>Jan - Dec</v>
      </c>
      <c r="T102" s="467">
        <f t="shared" si="16"/>
        <v>0</v>
      </c>
    </row>
    <row r="103" spans="1:20" ht="13.5" thickBot="1">
      <c r="A103" s="169"/>
      <c r="B103" s="459"/>
      <c r="C103" s="460"/>
      <c r="D103" s="460"/>
      <c r="E103" s="460"/>
      <c r="F103" s="461"/>
      <c r="G103" s="162" t="s">
        <v>428</v>
      </c>
      <c r="H103" s="162" t="s">
        <v>428</v>
      </c>
      <c r="I103" s="162" t="s">
        <v>428</v>
      </c>
      <c r="J103" s="162" t="s">
        <v>428</v>
      </c>
      <c r="K103" s="162" t="s">
        <v>428</v>
      </c>
      <c r="L103" s="162" t="s">
        <v>428</v>
      </c>
      <c r="M103" s="162" t="s">
        <v>428</v>
      </c>
      <c r="N103" s="162" t="s">
        <v>428</v>
      </c>
      <c r="O103" s="162" t="s">
        <v>428</v>
      </c>
      <c r="P103" s="162" t="s">
        <v>428</v>
      </c>
      <c r="Q103" s="162" t="s">
        <v>428</v>
      </c>
      <c r="R103" s="162" t="s">
        <v>428</v>
      </c>
      <c r="S103" s="262" t="s">
        <v>428</v>
      </c>
      <c r="T103" s="263" t="str">
        <f>+T9</f>
        <v>% GDP</v>
      </c>
    </row>
    <row r="104" spans="1:20" ht="13.5" thickBot="1">
      <c r="A104" s="297" t="str">
        <f>+CONCATENATE(A10,"p")</f>
        <v>7p</v>
      </c>
      <c r="B104" s="496" t="str">
        <f>+VLOOKUP(LEFT($A104,LEN(A104)-1)*1,Master!$D$27:$G$225,4,FALSE)</f>
        <v>Total Revenues</v>
      </c>
      <c r="C104" s="497"/>
      <c r="D104" s="497"/>
      <c r="E104" s="497"/>
      <c r="F104" s="497"/>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98" t="str">
        <f>+VLOOKUP(LEFT($A105,LEN(A105)-1)*1,Master!$D$27:$G$225,4,FALSE)</f>
        <v>Taxes</v>
      </c>
      <c r="C105" s="499"/>
      <c r="D105" s="499"/>
      <c r="E105" s="499"/>
      <c r="F105" s="499"/>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4" t="str">
        <f>+VLOOKUP(LEFT($A106,LEN(A106)-1)*1,Master!$D$27:$G$225,4,FALSE)</f>
        <v>Personal Income Tax</v>
      </c>
      <c r="C106" s="485"/>
      <c r="D106" s="485"/>
      <c r="E106" s="485"/>
      <c r="F106" s="48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4" t="str">
        <f>+VLOOKUP(LEFT($A107,LEN(A107)-1)*1,Master!$D$27:$G$225,4,FALSE)</f>
        <v>Corporate Income Tax</v>
      </c>
      <c r="C107" s="485"/>
      <c r="D107" s="485"/>
      <c r="E107" s="485"/>
      <c r="F107" s="48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4" t="str">
        <f>+VLOOKUP(LEFT($A108,LEN(A108)-1)*1,Master!$D$27:$G$225,4,FALSE)</f>
        <v xml:space="preserve">Taxes on Sales of Property </v>
      </c>
      <c r="C108" s="485"/>
      <c r="D108" s="485"/>
      <c r="E108" s="485"/>
      <c r="F108" s="48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4" t="str">
        <f>+VLOOKUP(LEFT($A109,LEN(A109)-1)*1,Master!$D$27:$G$225,4,FALSE)</f>
        <v>Value Added Tax</v>
      </c>
      <c r="C109" s="485"/>
      <c r="D109" s="485"/>
      <c r="E109" s="485"/>
      <c r="F109" s="48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4" t="str">
        <f>+VLOOKUP(LEFT($A110,LEN(A110)-1)*1,Master!$D$27:$G$225,4,FALSE)</f>
        <v>Excises</v>
      </c>
      <c r="C110" s="485"/>
      <c r="D110" s="485"/>
      <c r="E110" s="485"/>
      <c r="F110" s="48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4" t="str">
        <f>+VLOOKUP(LEFT($A111,LEN(A111)-1)*1,Master!$D$27:$G$225,4,FALSE)</f>
        <v>Tax on International Trade and Transactions</v>
      </c>
      <c r="C111" s="485"/>
      <c r="D111" s="485"/>
      <c r="E111" s="485"/>
      <c r="F111" s="48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4" t="e">
        <f>+VLOOKUP(LEFT($A112,LEN(A112)-1)*1,Master!$D$27:$G$225,4,FALSE)</f>
        <v>#N/A</v>
      </c>
      <c r="C112" s="485"/>
      <c r="D112" s="485"/>
      <c r="E112" s="485"/>
      <c r="F112" s="48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4" t="str">
        <f>+VLOOKUP(LEFT($A113,LEN(A113)-1)*1,Master!$D$27:$G$225,4,FALSE)</f>
        <v>Other Republic Taxes</v>
      </c>
      <c r="C113" s="485"/>
      <c r="D113" s="485"/>
      <c r="E113" s="485"/>
      <c r="F113" s="48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4" t="str">
        <f>+VLOOKUP(LEFT($A114,LEN(A114)-1)*1,Master!$D$27:$G$225,4,FALSE)</f>
        <v>Contributions</v>
      </c>
      <c r="C114" s="495"/>
      <c r="D114" s="495"/>
      <c r="E114" s="495"/>
      <c r="F114" s="495"/>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4" t="str">
        <f>+VLOOKUP(LEFT($A115,LEN(A115)-1)*1,Master!$D$27:$G$225,4,FALSE)</f>
        <v>Contributions for Pension and Disability Insurance</v>
      </c>
      <c r="C115" s="485"/>
      <c r="D115" s="485"/>
      <c r="E115" s="485"/>
      <c r="F115" s="48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4" t="str">
        <f>+VLOOKUP(LEFT($A116,LEN(A116)-1)*1,Master!$D$27:$G$225,4,FALSE)</f>
        <v>Contributions for Health Insurance</v>
      </c>
      <c r="C116" s="485"/>
      <c r="D116" s="485"/>
      <c r="E116" s="485"/>
      <c r="F116" s="48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4" t="str">
        <f>+VLOOKUP(LEFT($A117,LEN(A117)-1)*1,Master!$D$27:$G$225,4,FALSE)</f>
        <v>Contributions for  Unemployment Insurance</v>
      </c>
      <c r="C117" s="485"/>
      <c r="D117" s="485"/>
      <c r="E117" s="485"/>
      <c r="F117" s="48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4" t="str">
        <f>+VLOOKUP(LEFT($A118,LEN(A118)-1)*1,Master!$D$27:$G$225,4,FALSE)</f>
        <v>Other contributions</v>
      </c>
      <c r="C118" s="485"/>
      <c r="D118" s="485"/>
      <c r="E118" s="485"/>
      <c r="F118" s="48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86" t="str">
        <f>+VLOOKUP(LEFT($A119,LEN(A119)-1)*1,Master!$D$27:$G$225,4,FALSE)</f>
        <v>Duties</v>
      </c>
      <c r="C119" s="487"/>
      <c r="D119" s="487"/>
      <c r="E119" s="487"/>
      <c r="F119" s="48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86" t="str">
        <f>+VLOOKUP(LEFT($A120,LEN(A120)-1)*1,Master!$D$27:$G$225,4,FALSE)</f>
        <v>Fees</v>
      </c>
      <c r="C120" s="487"/>
      <c r="D120" s="487"/>
      <c r="E120" s="487"/>
      <c r="F120" s="48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86" t="str">
        <f>+VLOOKUP(LEFT($A121,LEN(A121)-1)*1,Master!$D$27:$G$225,4,FALSE)</f>
        <v>Other revenues</v>
      </c>
      <c r="C121" s="487"/>
      <c r="D121" s="487"/>
      <c r="E121" s="487"/>
      <c r="F121" s="48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86" t="str">
        <f>+VLOOKUP(LEFT($A122,LEN(A122)-1)*1,Master!$D$27:$G$225,4,FALSE)</f>
        <v>Receipts from Repayment of Loans and Funds Carried over from Previous Year</v>
      </c>
      <c r="C122" s="487"/>
      <c r="D122" s="487"/>
      <c r="E122" s="487"/>
      <c r="F122" s="48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88" t="str">
        <f>+VLOOKUP(LEFT($A123,LEN(A123)-1)*1,Master!$D$27:$G$225,4,FALSE)</f>
        <v>Grants and Transfers</v>
      </c>
      <c r="C123" s="489"/>
      <c r="D123" s="489"/>
      <c r="E123" s="489"/>
      <c r="F123" s="489"/>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4" t="str">
        <f>+VLOOKUP(LEFT($A124,LEN(A124)-1)*1,Master!$D$27:$G$225,4,FALSE)</f>
        <v>Total Expenditures</v>
      </c>
      <c r="C124" s="475"/>
      <c r="D124" s="475"/>
      <c r="E124" s="475"/>
      <c r="F124" s="475"/>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0" t="str">
        <f>+VLOOKUP(LEFT($A125,LEN(A125)-1)*1,Master!$D$27:$G$225,4,FALSE)</f>
        <v>Current Expenditures</v>
      </c>
      <c r="C125" s="491"/>
      <c r="D125" s="491"/>
      <c r="E125" s="491"/>
      <c r="F125" s="491"/>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2" t="str">
        <f>+VLOOKUP(LEFT($A126,LEN(A126)-1)*1,Master!$D$27:$G$225,4,FALSE)</f>
        <v>Current Budgetary Expenditures</v>
      </c>
      <c r="C126" s="493"/>
      <c r="D126" s="493"/>
      <c r="E126" s="493"/>
      <c r="F126" s="493"/>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4" t="str">
        <f>+VLOOKUP(LEFT($A127,LEN(A127)-1)*1,Master!$D$27:$G$225,4,FALSE)</f>
        <v>Gross Salaries and Contributions</v>
      </c>
      <c r="C127" s="485"/>
      <c r="D127" s="485"/>
      <c r="E127" s="485"/>
      <c r="F127" s="48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4" t="str">
        <f>+VLOOKUP(LEFT($A128,LEN(A128)-1)*1,Master!$D$27:$G$225,4,FALSE)</f>
        <v>Other Personal Income</v>
      </c>
      <c r="C128" s="485"/>
      <c r="D128" s="485"/>
      <c r="E128" s="485"/>
      <c r="F128" s="48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4" t="str">
        <f>+VLOOKUP(LEFT($A129,LEN(A129)-1)*1,Master!$D$27:$G$225,4,FALSE)</f>
        <v>Expenditures for Supplies</v>
      </c>
      <c r="C129" s="485"/>
      <c r="D129" s="485"/>
      <c r="E129" s="485"/>
      <c r="F129" s="48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4" t="str">
        <f>+VLOOKUP(LEFT($A130,LEN(A130)-1)*1,Master!$D$27:$G$225,4,FALSE)</f>
        <v>Expenditures for Services</v>
      </c>
      <c r="C130" s="485"/>
      <c r="D130" s="485"/>
      <c r="E130" s="485"/>
      <c r="F130" s="48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4" t="str">
        <f>+VLOOKUP(LEFT($A131,LEN(A131)-1)*1,Master!$D$27:$G$225,4,FALSE)</f>
        <v>Current Maintenance</v>
      </c>
      <c r="C131" s="485"/>
      <c r="D131" s="485"/>
      <c r="E131" s="485"/>
      <c r="F131" s="48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4" t="str">
        <f>+VLOOKUP(LEFT($A132,LEN(A132)-1)*1,Master!$D$27:$G$225,4,FALSE)</f>
        <v>Interests</v>
      </c>
      <c r="C132" s="485"/>
      <c r="D132" s="485"/>
      <c r="E132" s="485"/>
      <c r="F132" s="48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4" t="str">
        <f>+VLOOKUP(LEFT($A133,LEN(A133)-1)*1,Master!$D$27:$G$225,4,FALSE)</f>
        <v>Rent</v>
      </c>
      <c r="C133" s="485"/>
      <c r="D133" s="485"/>
      <c r="E133" s="485"/>
      <c r="F133" s="48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4" t="str">
        <f>+VLOOKUP(LEFT($A134,LEN(A134)-1)*1,Master!$D$27:$G$225,4,FALSE)</f>
        <v>Subsidies</v>
      </c>
      <c r="C134" s="485"/>
      <c r="D134" s="485"/>
      <c r="E134" s="485"/>
      <c r="F134" s="48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4" t="str">
        <f>+VLOOKUP(LEFT($A135,LEN(A135)-1)*1,Master!$D$27:$G$225,4,FALSE)</f>
        <v>Other expenditures</v>
      </c>
      <c r="C135" s="485"/>
      <c r="D135" s="485"/>
      <c r="E135" s="485"/>
      <c r="F135" s="48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4" t="str">
        <f>+VLOOKUP(LEFT($A136,LEN(A136)-1)*1,Master!$D$27:$G$225,4,FALSE)</f>
        <v>Current Capital Expenditure</v>
      </c>
      <c r="C136" s="485"/>
      <c r="D136" s="485"/>
      <c r="E136" s="485"/>
      <c r="F136" s="48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0" t="str">
        <f>+VLOOKUP(LEFT($A137,LEN(A137)-1)*1,Master!$D$27:$G$225,4,FALSE)</f>
        <v>Social Security Transfers</v>
      </c>
      <c r="C137" s="481"/>
      <c r="D137" s="481"/>
      <c r="E137" s="481"/>
      <c r="F137" s="48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4" t="str">
        <f>+VLOOKUP(LEFT($A138,LEN(A138)-1)*1,Master!$D$27:$G$225,4,FALSE)</f>
        <v>Social Security</v>
      </c>
      <c r="C138" s="485"/>
      <c r="D138" s="485"/>
      <c r="E138" s="485"/>
      <c r="F138" s="48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4" t="str">
        <f>+VLOOKUP(LEFT($A139,LEN(A139)-1)*1,Master!$D$27:$G$225,4,FALSE)</f>
        <v>Funds for redundant labor</v>
      </c>
      <c r="C139" s="485"/>
      <c r="D139" s="485"/>
      <c r="E139" s="485"/>
      <c r="F139" s="48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4" t="str">
        <f>+VLOOKUP(LEFT($A140,LEN(A140)-1)*1,Master!$D$27:$G$225,4,FALSE)</f>
        <v>Pension and Disability Insurance</v>
      </c>
      <c r="C140" s="485"/>
      <c r="D140" s="485"/>
      <c r="E140" s="485"/>
      <c r="F140" s="48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4" t="str">
        <f>+VLOOKUP(LEFT($A141,LEN(A141)-1)*1,Master!$D$27:$G$225,4,FALSE)</f>
        <v>Other Health Care Transfers</v>
      </c>
      <c r="C141" s="485"/>
      <c r="D141" s="485"/>
      <c r="E141" s="485"/>
      <c r="F141" s="48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4" t="str">
        <f>+VLOOKUP(LEFT($A142,LEN(A142)-1)*1,Master!$D$27:$G$225,4,FALSE)</f>
        <v>Other Health Care Insurance</v>
      </c>
      <c r="C142" s="485"/>
      <c r="D142" s="485"/>
      <c r="E142" s="485"/>
      <c r="F142" s="48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2" t="str">
        <f>+VLOOKUP(LEFT($A143,LEN(A143)-1)*1,Master!$D$27:$G$225,4,FALSE)</f>
        <v xml:space="preserve">Transfers to Institutions, Individuals, NGO and Public Sector </v>
      </c>
      <c r="C143" s="483"/>
      <c r="D143" s="483"/>
      <c r="E143" s="483"/>
      <c r="F143" s="483"/>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2" t="str">
        <f>+VLOOKUP(LEFT($A144,LEN(A144)-1)*1,Master!$D$27:$G$225,4,FALSE)</f>
        <v>Capital Expenditure</v>
      </c>
      <c r="C144" s="483"/>
      <c r="D144" s="483"/>
      <c r="E144" s="483"/>
      <c r="F144" s="483"/>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2" t="str">
        <f>+VLOOKUP(LEFT($A145,LEN(A145)-1)*1,Master!$D$27:$G$225,4,FALSE)</f>
        <v>Credits and Borrowings</v>
      </c>
      <c r="C145" s="453"/>
      <c r="D145" s="453"/>
      <c r="E145" s="453"/>
      <c r="F145" s="45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2" t="str">
        <f>+VLOOKUP(LEFT($A146,LEN(A146)-1)*1,Master!$D$27:$G$225,4,FALSE)</f>
        <v>Reserves</v>
      </c>
      <c r="C146" s="453"/>
      <c r="D146" s="453"/>
      <c r="E146" s="453"/>
      <c r="F146" s="45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0" t="str">
        <f>+VLOOKUP(LEFT($A147,LEN(A147)-1)*1,Master!$D$27:$G$225,4,FALSE)</f>
        <v>Repayment of Guarantees</v>
      </c>
      <c r="C147" s="471"/>
      <c r="D147" s="471"/>
      <c r="E147" s="471"/>
      <c r="F147" s="471"/>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0" t="str">
        <f>+VLOOKUP(LEFT($A150,LEN(A150)-1)*1,Master!$D$27:$G$225,4,FALSE)</f>
        <v>Repayment of Debt</v>
      </c>
      <c r="C150" s="481"/>
      <c r="D150" s="481"/>
      <c r="E150" s="481"/>
      <c r="F150" s="48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68" t="str">
        <f>+VLOOKUP(LEFT($A151,LEN(A151)-1)*1,Master!$D$27:$G$225,4,FALSE)</f>
        <v>Repayment of Domestic Debt</v>
      </c>
      <c r="C151" s="469"/>
      <c r="D151" s="469"/>
      <c r="E151" s="469"/>
      <c r="F151" s="469"/>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2" t="str">
        <f>+VLOOKUP(LEFT($A152,LEN(A152)-1)*1,Master!$D$27:$G$225,4,FALSE)</f>
        <v>Repayment of Foreign Debt</v>
      </c>
      <c r="C152" s="453"/>
      <c r="D152" s="453"/>
      <c r="E152" s="453"/>
      <c r="F152" s="45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0" t="str">
        <f>+VLOOKUP(LEFT($A153,LEN(A153)-1)*1,Master!$D$27:$G$225,4,FALSE)</f>
        <v>Repayments of Arrears</v>
      </c>
      <c r="C153" s="471"/>
      <c r="D153" s="471"/>
      <c r="E153" s="471"/>
      <c r="F153" s="471"/>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2" t="str">
        <f>+VLOOKUP(LEFT($A154,LEN(A154)-1)*1,Master!$D$27:$G$225,4,FALSE)</f>
        <v>Financing needs</v>
      </c>
      <c r="C154" s="473"/>
      <c r="D154" s="473"/>
      <c r="E154" s="473"/>
      <c r="F154" s="473"/>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4" t="str">
        <f>+VLOOKUP(LEFT($A155,LEN(A155)-1)*1,Master!$D$27:$G$225,4,FALSE)</f>
        <v>Financing</v>
      </c>
      <c r="C155" s="475"/>
      <c r="D155" s="475"/>
      <c r="E155" s="475"/>
      <c r="F155" s="475"/>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68" t="str">
        <f>+VLOOKUP(LEFT($A156,LEN(A156)-1)*1,Master!$D$27:$G$225,4,FALSE)</f>
        <v>Domestic Loans and Borrowings</v>
      </c>
      <c r="C156" s="469"/>
      <c r="D156" s="469"/>
      <c r="E156" s="469"/>
      <c r="F156" s="469"/>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2" t="str">
        <f>+VLOOKUP(LEFT($A157,LEN(A157)-1)*1,Master!$D$27:$G$225,4,FALSE)</f>
        <v>Foreign Loans and Borrowings</v>
      </c>
      <c r="C157" s="453"/>
      <c r="D157" s="453"/>
      <c r="E157" s="453"/>
      <c r="F157" s="45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2" t="str">
        <f>+VLOOKUP(LEFT($A158,LEN(A158)-1)*1,Master!$D$27:$G$225,4,FALSE)</f>
        <v>Revenues from Selling Assets</v>
      </c>
      <c r="C158" s="453"/>
      <c r="D158" s="453"/>
      <c r="E158" s="453"/>
      <c r="F158" s="45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B8" activePane="bottomRight" state="frozen"/>
      <selection pane="topRight" activeCell="F1" sqref="F1"/>
      <selection pane="bottomLeft" activeCell="A8" sqref="A8"/>
      <selection pane="bottomRight" activeCell="FF10" sqref="FF10:FI185"/>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569</v>
      </c>
      <c r="F6" s="560">
        <v>2006</v>
      </c>
      <c r="G6" s="561"/>
      <c r="H6" s="561"/>
      <c r="I6" s="561"/>
      <c r="J6" s="561"/>
      <c r="K6" s="561"/>
      <c r="L6" s="561"/>
      <c r="M6" s="561"/>
      <c r="N6" s="561"/>
      <c r="O6" s="561"/>
      <c r="P6" s="561"/>
      <c r="Q6" s="562"/>
      <c r="R6" s="560">
        <v>2007</v>
      </c>
      <c r="S6" s="561"/>
      <c r="T6" s="561"/>
      <c r="U6" s="561"/>
      <c r="V6" s="561"/>
      <c r="W6" s="561"/>
      <c r="X6" s="561"/>
      <c r="Y6" s="561"/>
      <c r="Z6" s="561"/>
      <c r="AA6" s="561"/>
      <c r="AB6" s="561"/>
      <c r="AC6" s="562"/>
      <c r="AD6" s="560">
        <v>2008</v>
      </c>
      <c r="AE6" s="561"/>
      <c r="AF6" s="561"/>
      <c r="AG6" s="561"/>
      <c r="AH6" s="561"/>
      <c r="AI6" s="561"/>
      <c r="AJ6" s="561"/>
      <c r="AK6" s="561"/>
      <c r="AL6" s="561"/>
      <c r="AM6" s="561"/>
      <c r="AN6" s="561"/>
      <c r="AO6" s="562"/>
      <c r="AP6" s="560">
        <v>2009</v>
      </c>
      <c r="AQ6" s="561"/>
      <c r="AR6" s="561"/>
      <c r="AS6" s="561"/>
      <c r="AT6" s="561"/>
      <c r="AU6" s="561"/>
      <c r="AV6" s="561"/>
      <c r="AW6" s="561"/>
      <c r="AX6" s="561"/>
      <c r="AY6" s="561"/>
      <c r="AZ6" s="561"/>
      <c r="BA6" s="562"/>
      <c r="BB6" s="560">
        <v>2010</v>
      </c>
      <c r="BC6" s="561"/>
      <c r="BD6" s="561"/>
      <c r="BE6" s="561"/>
      <c r="BF6" s="561"/>
      <c r="BG6" s="561"/>
      <c r="BH6" s="561"/>
      <c r="BI6" s="561"/>
      <c r="BJ6" s="561"/>
      <c r="BK6" s="561"/>
      <c r="BL6" s="561"/>
      <c r="BM6" s="562"/>
      <c r="BN6" s="560">
        <v>2011</v>
      </c>
      <c r="BO6" s="561"/>
      <c r="BP6" s="561"/>
      <c r="BQ6" s="561"/>
      <c r="BR6" s="561"/>
      <c r="BS6" s="561"/>
      <c r="BT6" s="561"/>
      <c r="BU6" s="561"/>
      <c r="BV6" s="561"/>
      <c r="BW6" s="561"/>
      <c r="BX6" s="561"/>
      <c r="BY6" s="562"/>
      <c r="BZ6" s="561">
        <v>2012</v>
      </c>
      <c r="CA6" s="561"/>
      <c r="CB6" s="561"/>
      <c r="CC6" s="561"/>
      <c r="CD6" s="561"/>
      <c r="CE6" s="561"/>
      <c r="CF6" s="561"/>
      <c r="CG6" s="561"/>
      <c r="CH6" s="561"/>
      <c r="CI6" s="561"/>
      <c r="CJ6" s="561"/>
      <c r="CK6" s="561"/>
      <c r="CL6" s="560">
        <v>2013</v>
      </c>
      <c r="CM6" s="561"/>
      <c r="CN6" s="561"/>
      <c r="CO6" s="561"/>
      <c r="CP6" s="561"/>
      <c r="CQ6" s="561"/>
      <c r="CR6" s="561"/>
      <c r="CS6" s="561"/>
      <c r="CT6" s="561"/>
      <c r="CU6" s="561"/>
      <c r="CV6" s="561"/>
      <c r="CW6" s="562"/>
      <c r="CX6" s="560">
        <v>2014</v>
      </c>
      <c r="CY6" s="561"/>
      <c r="CZ6" s="561"/>
      <c r="DA6" s="561"/>
      <c r="DB6" s="561"/>
      <c r="DC6" s="561"/>
      <c r="DD6" s="561"/>
      <c r="DE6" s="561"/>
      <c r="DF6" s="561"/>
      <c r="DG6" s="561"/>
      <c r="DH6" s="561"/>
      <c r="DI6" s="562"/>
      <c r="DJ6" s="560">
        <v>2015</v>
      </c>
      <c r="DK6" s="561"/>
      <c r="DL6" s="561"/>
      <c r="DM6" s="561"/>
      <c r="DN6" s="561"/>
      <c r="DO6" s="561"/>
      <c r="DP6" s="561"/>
      <c r="DQ6" s="561"/>
      <c r="DR6" s="561"/>
      <c r="DS6" s="561"/>
      <c r="DT6" s="561"/>
      <c r="DU6" s="562"/>
    </row>
    <row r="7" spans="1:321">
      <c r="E7" s="563"/>
      <c r="F7" s="75" t="s">
        <v>434</v>
      </c>
      <c r="G7" s="76" t="s">
        <v>435</v>
      </c>
      <c r="H7" s="76" t="s">
        <v>436</v>
      </c>
      <c r="I7" s="76" t="s">
        <v>437</v>
      </c>
      <c r="J7" s="76" t="s">
        <v>438</v>
      </c>
      <c r="K7" s="76" t="s">
        <v>439</v>
      </c>
      <c r="L7" s="76" t="s">
        <v>440</v>
      </c>
      <c r="M7" s="76" t="s">
        <v>441</v>
      </c>
      <c r="N7" s="76" t="s">
        <v>442</v>
      </c>
      <c r="O7" s="76" t="s">
        <v>443</v>
      </c>
      <c r="P7" s="76" t="s">
        <v>444</v>
      </c>
      <c r="Q7" s="77" t="s">
        <v>445</v>
      </c>
      <c r="R7" s="75" t="s">
        <v>446</v>
      </c>
      <c r="S7" s="76" t="s">
        <v>447</v>
      </c>
      <c r="T7" s="76" t="s">
        <v>448</v>
      </c>
      <c r="U7" s="76" t="s">
        <v>449</v>
      </c>
      <c r="V7" s="76" t="s">
        <v>450</v>
      </c>
      <c r="W7" s="76" t="s">
        <v>451</v>
      </c>
      <c r="X7" s="76" t="s">
        <v>452</v>
      </c>
      <c r="Y7" s="76" t="s">
        <v>453</v>
      </c>
      <c r="Z7" s="76" t="s">
        <v>454</v>
      </c>
      <c r="AA7" s="76" t="s">
        <v>455</v>
      </c>
      <c r="AB7" s="76" t="s">
        <v>456</v>
      </c>
      <c r="AC7" s="77" t="s">
        <v>457</v>
      </c>
      <c r="AD7" s="75" t="s">
        <v>459</v>
      </c>
      <c r="AE7" s="76" t="s">
        <v>460</v>
      </c>
      <c r="AF7" s="76" t="s">
        <v>461</v>
      </c>
      <c r="AG7" s="76" t="s">
        <v>462</v>
      </c>
      <c r="AH7" s="76" t="s">
        <v>463</v>
      </c>
      <c r="AI7" s="76" t="s">
        <v>464</v>
      </c>
      <c r="AJ7" s="76" t="s">
        <v>465</v>
      </c>
      <c r="AK7" s="76" t="s">
        <v>466</v>
      </c>
      <c r="AL7" s="76" t="s">
        <v>467</v>
      </c>
      <c r="AM7" s="76" t="s">
        <v>468</v>
      </c>
      <c r="AN7" s="76" t="s">
        <v>469</v>
      </c>
      <c r="AO7" s="77" t="s">
        <v>458</v>
      </c>
      <c r="AP7" s="75" t="s">
        <v>470</v>
      </c>
      <c r="AQ7" s="76" t="s">
        <v>471</v>
      </c>
      <c r="AR7" s="76" t="s">
        <v>472</v>
      </c>
      <c r="AS7" s="76" t="s">
        <v>473</v>
      </c>
      <c r="AT7" s="76" t="s">
        <v>474</v>
      </c>
      <c r="AU7" s="76" t="s">
        <v>475</v>
      </c>
      <c r="AV7" s="76" t="s">
        <v>476</v>
      </c>
      <c r="AW7" s="76" t="s">
        <v>477</v>
      </c>
      <c r="AX7" s="76" t="s">
        <v>478</v>
      </c>
      <c r="AY7" s="76" t="s">
        <v>479</v>
      </c>
      <c r="AZ7" s="76" t="s">
        <v>480</v>
      </c>
      <c r="BA7" s="77" t="s">
        <v>481</v>
      </c>
      <c r="BB7" s="75" t="s">
        <v>482</v>
      </c>
      <c r="BC7" s="76" t="s">
        <v>483</v>
      </c>
      <c r="BD7" s="76" t="s">
        <v>484</v>
      </c>
      <c r="BE7" s="76" t="s">
        <v>485</v>
      </c>
      <c r="BF7" s="76" t="s">
        <v>486</v>
      </c>
      <c r="BG7" s="76" t="s">
        <v>487</v>
      </c>
      <c r="BH7" s="76" t="s">
        <v>488</v>
      </c>
      <c r="BI7" s="76" t="s">
        <v>489</v>
      </c>
      <c r="BJ7" s="76" t="s">
        <v>490</v>
      </c>
      <c r="BK7" s="76" t="s">
        <v>491</v>
      </c>
      <c r="BL7" s="76" t="s">
        <v>492</v>
      </c>
      <c r="BM7" s="77" t="s">
        <v>493</v>
      </c>
      <c r="BN7" s="75" t="s">
        <v>494</v>
      </c>
      <c r="BO7" s="76" t="s">
        <v>495</v>
      </c>
      <c r="BP7" s="76" t="s">
        <v>496</v>
      </c>
      <c r="BQ7" s="76" t="s">
        <v>497</v>
      </c>
      <c r="BR7" s="76" t="s">
        <v>498</v>
      </c>
      <c r="BS7" s="76" t="s">
        <v>499</v>
      </c>
      <c r="BT7" s="76" t="s">
        <v>500</v>
      </c>
      <c r="BU7" s="76" t="s">
        <v>501</v>
      </c>
      <c r="BV7" s="76" t="s">
        <v>502</v>
      </c>
      <c r="BW7" s="76" t="s">
        <v>503</v>
      </c>
      <c r="BX7" s="76" t="s">
        <v>504</v>
      </c>
      <c r="BY7" s="77" t="s">
        <v>505</v>
      </c>
      <c r="BZ7" s="76" t="s">
        <v>506</v>
      </c>
      <c r="CA7" s="76" t="s">
        <v>507</v>
      </c>
      <c r="CB7" s="76" t="s">
        <v>508</v>
      </c>
      <c r="CC7" s="76" t="s">
        <v>509</v>
      </c>
      <c r="CD7" s="76" t="s">
        <v>510</v>
      </c>
      <c r="CE7" s="76" t="s">
        <v>511</v>
      </c>
      <c r="CF7" s="76" t="s">
        <v>512</v>
      </c>
      <c r="CG7" s="76" t="s">
        <v>513</v>
      </c>
      <c r="CH7" s="76" t="s">
        <v>514</v>
      </c>
      <c r="CI7" s="76" t="s">
        <v>515</v>
      </c>
      <c r="CJ7" s="76" t="s">
        <v>516</v>
      </c>
      <c r="CK7" s="76" t="s">
        <v>517</v>
      </c>
      <c r="CL7" s="75" t="s">
        <v>518</v>
      </c>
      <c r="CM7" s="76" t="s">
        <v>519</v>
      </c>
      <c r="CN7" s="76" t="s">
        <v>520</v>
      </c>
      <c r="CO7" s="76" t="s">
        <v>521</v>
      </c>
      <c r="CP7" s="76" t="s">
        <v>522</v>
      </c>
      <c r="CQ7" s="76" t="s">
        <v>523</v>
      </c>
      <c r="CR7" s="76" t="s">
        <v>524</v>
      </c>
      <c r="CS7" s="76" t="s">
        <v>525</v>
      </c>
      <c r="CT7" s="76" t="s">
        <v>526</v>
      </c>
      <c r="CU7" s="76" t="s">
        <v>527</v>
      </c>
      <c r="CV7" s="76" t="s">
        <v>528</v>
      </c>
      <c r="CW7" s="77" t="s">
        <v>529</v>
      </c>
      <c r="CX7" s="75" t="s">
        <v>530</v>
      </c>
      <c r="CY7" s="76" t="s">
        <v>531</v>
      </c>
      <c r="CZ7" s="76" t="s">
        <v>532</v>
      </c>
      <c r="DA7" s="76" t="s">
        <v>533</v>
      </c>
      <c r="DB7" s="76" t="s">
        <v>534</v>
      </c>
      <c r="DC7" s="76" t="s">
        <v>535</v>
      </c>
      <c r="DD7" s="76" t="s">
        <v>536</v>
      </c>
      <c r="DE7" s="76" t="s">
        <v>537</v>
      </c>
      <c r="DF7" s="76" t="s">
        <v>538</v>
      </c>
      <c r="DG7" s="76" t="s">
        <v>539</v>
      </c>
      <c r="DH7" s="76" t="s">
        <v>540</v>
      </c>
      <c r="DI7" s="77" t="s">
        <v>541</v>
      </c>
      <c r="DJ7" s="75" t="s">
        <v>542</v>
      </c>
      <c r="DK7" s="76" t="s">
        <v>543</v>
      </c>
      <c r="DL7" s="76" t="s">
        <v>544</v>
      </c>
      <c r="DM7" s="76" t="s">
        <v>545</v>
      </c>
      <c r="DN7" s="76" t="s">
        <v>546</v>
      </c>
      <c r="DO7" s="76" t="s">
        <v>547</v>
      </c>
      <c r="DP7" s="76" t="s">
        <v>548</v>
      </c>
      <c r="DQ7" s="76" t="s">
        <v>549</v>
      </c>
      <c r="DR7" s="76" t="s">
        <v>550</v>
      </c>
      <c r="DS7" s="76" t="s">
        <v>551</v>
      </c>
      <c r="DT7" s="76" t="s">
        <v>552</v>
      </c>
      <c r="DU7" s="77" t="s">
        <v>553</v>
      </c>
      <c r="DV7" s="42" t="s">
        <v>708</v>
      </c>
      <c r="DW7" s="42" t="s">
        <v>709</v>
      </c>
      <c r="DX7" s="42" t="s">
        <v>710</v>
      </c>
      <c r="DY7" s="42" t="s">
        <v>711</v>
      </c>
      <c r="DZ7" s="42" t="s">
        <v>712</v>
      </c>
      <c r="EA7" s="42" t="s">
        <v>713</v>
      </c>
      <c r="EB7" s="42" t="s">
        <v>714</v>
      </c>
      <c r="EC7" s="42" t="s">
        <v>715</v>
      </c>
      <c r="ED7" s="42" t="s">
        <v>716</v>
      </c>
      <c r="EE7" s="42" t="s">
        <v>717</v>
      </c>
      <c r="EF7" s="42" t="s">
        <v>718</v>
      </c>
      <c r="EG7" s="42" t="s">
        <v>719</v>
      </c>
      <c r="EH7" s="42" t="s">
        <v>742</v>
      </c>
      <c r="EI7" s="42" t="s">
        <v>743</v>
      </c>
      <c r="EJ7" s="42" t="s">
        <v>744</v>
      </c>
      <c r="EK7" s="42" t="s">
        <v>745</v>
      </c>
      <c r="EL7" s="42" t="s">
        <v>746</v>
      </c>
      <c r="EM7" s="42" t="s">
        <v>747</v>
      </c>
      <c r="EN7" s="42" t="s">
        <v>748</v>
      </c>
      <c r="EO7" s="42" t="s">
        <v>749</v>
      </c>
      <c r="EP7" s="42" t="s">
        <v>750</v>
      </c>
      <c r="EQ7" s="42" t="s">
        <v>751</v>
      </c>
      <c r="ER7" s="42" t="s">
        <v>752</v>
      </c>
      <c r="ES7" s="42" t="s">
        <v>753</v>
      </c>
      <c r="ET7" s="393" t="s">
        <v>760</v>
      </c>
      <c r="EU7" s="393" t="s">
        <v>761</v>
      </c>
      <c r="EV7" s="393" t="s">
        <v>762</v>
      </c>
      <c r="EW7" s="393" t="s">
        <v>763</v>
      </c>
      <c r="EX7" s="393" t="s">
        <v>764</v>
      </c>
      <c r="EY7" s="393" t="s">
        <v>765</v>
      </c>
      <c r="EZ7" s="393" t="s">
        <v>766</v>
      </c>
      <c r="FA7" s="393" t="s">
        <v>767</v>
      </c>
      <c r="FB7" s="393" t="s">
        <v>768</v>
      </c>
      <c r="FC7" s="393" t="s">
        <v>769</v>
      </c>
      <c r="FD7" s="393" t="s">
        <v>770</v>
      </c>
      <c r="FE7" s="393" t="s">
        <v>771</v>
      </c>
      <c r="FF7" s="393" t="s">
        <v>783</v>
      </c>
      <c r="FG7" s="393" t="s">
        <v>784</v>
      </c>
      <c r="FH7" s="393" t="s">
        <v>785</v>
      </c>
      <c r="FI7" s="393" t="s">
        <v>786</v>
      </c>
      <c r="FJ7" s="393" t="s">
        <v>787</v>
      </c>
      <c r="FK7" s="393" t="s">
        <v>788</v>
      </c>
      <c r="FL7" s="393" t="s">
        <v>789</v>
      </c>
      <c r="FM7" s="393" t="s">
        <v>790</v>
      </c>
      <c r="FN7" s="393" t="s">
        <v>791</v>
      </c>
      <c r="FO7" s="393" t="s">
        <v>792</v>
      </c>
      <c r="FP7" s="393" t="s">
        <v>793</v>
      </c>
      <c r="FQ7" s="393" t="s">
        <v>794</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v>41047599.18</v>
      </c>
      <c r="FI18" s="378">
        <v>50290988.939999998</v>
      </c>
      <c r="FJ18" s="378"/>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814937.81</v>
      </c>
      <c r="EU23" s="378">
        <v>993423.94</v>
      </c>
      <c r="EV23" s="378">
        <v>1111103.6599999999</v>
      </c>
      <c r="EW23" s="378">
        <v>1198538.77</v>
      </c>
      <c r="EX23" s="378">
        <v>1382138.78</v>
      </c>
      <c r="EY23" s="378">
        <v>1616613.69</v>
      </c>
      <c r="EZ23" s="378">
        <v>2005608.26</v>
      </c>
      <c r="FA23" s="378">
        <v>1882210.04</v>
      </c>
      <c r="FB23" s="378">
        <v>1545122.56</v>
      </c>
      <c r="FC23" s="378">
        <v>1572482.29</v>
      </c>
      <c r="FD23" s="378">
        <v>1331866.75</v>
      </c>
      <c r="FE23" s="378">
        <v>1446961.78</v>
      </c>
      <c r="FF23" s="378">
        <v>851162.27</v>
      </c>
      <c r="FG23" s="378">
        <v>1041125.39</v>
      </c>
      <c r="FH23" s="378">
        <v>1066481.8799999999</v>
      </c>
      <c r="FI23" s="378">
        <v>1290371.49</v>
      </c>
      <c r="FJ23" s="378"/>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v>949723.87</v>
      </c>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772</v>
      </c>
      <c r="EN32" s="376" t="s">
        <v>773</v>
      </c>
      <c r="EO32" s="376">
        <v>608693.02</v>
      </c>
      <c r="EP32" s="376" t="s">
        <v>774</v>
      </c>
      <c r="EQ32" s="376">
        <v>179273.43</v>
      </c>
      <c r="ER32" s="376" t="s">
        <v>775</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2425522.83</v>
      </c>
      <c r="EU35" s="378">
        <v>1609741.96</v>
      </c>
      <c r="EV35" s="378">
        <v>1991465.56</v>
      </c>
      <c r="EW35" s="378">
        <v>5482661.4299999997</v>
      </c>
      <c r="EX35" s="378">
        <v>2151496.35</v>
      </c>
      <c r="EY35" s="378">
        <v>2746748.26</v>
      </c>
      <c r="EZ35" s="378">
        <v>3904620.91</v>
      </c>
      <c r="FA35" s="378">
        <v>3453591.6</v>
      </c>
      <c r="FB35" s="378">
        <v>37485104.390000001</v>
      </c>
      <c r="FC35" s="378">
        <v>2268381.7599999998</v>
      </c>
      <c r="FD35" s="378">
        <v>3459602.91</v>
      </c>
      <c r="FE35" s="378">
        <v>4336127.47</v>
      </c>
      <c r="FF35" s="378">
        <v>1567288.04</v>
      </c>
      <c r="FG35" s="378">
        <v>2199531.1</v>
      </c>
      <c r="FH35" s="378">
        <v>3194097.81</v>
      </c>
      <c r="FI35" s="378">
        <v>2385711.15</v>
      </c>
      <c r="FJ35" s="378"/>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248874.56</v>
      </c>
      <c r="FH36" s="376">
        <v>186917.08</v>
      </c>
      <c r="FI36" s="376">
        <v>63897.01</v>
      </c>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248883.21</v>
      </c>
      <c r="FH38" s="376">
        <v>328409.52</v>
      </c>
      <c r="FI38" s="376">
        <v>261152.7</v>
      </c>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763520.47</v>
      </c>
      <c r="FH39" s="376">
        <v>1649538.05</v>
      </c>
      <c r="FI39" s="376">
        <v>1042259.6</v>
      </c>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2374596.09</v>
      </c>
      <c r="EZ43" s="378">
        <v>178131.97</v>
      </c>
      <c r="FA43" s="378">
        <v>146792.74</v>
      </c>
      <c r="FB43" s="378">
        <v>907089.49</v>
      </c>
      <c r="FC43" s="378">
        <v>525509.51</v>
      </c>
      <c r="FD43" s="378">
        <v>4230114.6399999997</v>
      </c>
      <c r="FE43" s="378">
        <v>942551.18</v>
      </c>
      <c r="FF43" s="378">
        <v>69158.880000000005</v>
      </c>
      <c r="FG43" s="378">
        <v>378338.04</v>
      </c>
      <c r="FH43" s="378">
        <v>257172.98</v>
      </c>
      <c r="FI43" s="378">
        <v>349238.34</v>
      </c>
      <c r="FJ43" s="378"/>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716886.96</v>
      </c>
      <c r="FA46" s="378">
        <v>259046.56</v>
      </c>
      <c r="FB46" s="378">
        <v>658145.13</v>
      </c>
      <c r="FC46" s="378">
        <v>1526158.48</v>
      </c>
      <c r="FD46" s="378">
        <v>4414865.1500000004</v>
      </c>
      <c r="FE46" s="378">
        <v>3855321.16</v>
      </c>
      <c r="FF46" s="378">
        <v>13526711.25</v>
      </c>
      <c r="FG46" s="378">
        <v>1001055.74</v>
      </c>
      <c r="FH46" s="378">
        <v>861265.77</v>
      </c>
      <c r="FI46" s="378">
        <v>627154.51</v>
      </c>
      <c r="FJ46" s="378"/>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503121949.51999998</v>
      </c>
      <c r="EX52" s="376">
        <v>7673073.0999999996</v>
      </c>
      <c r="EY52" s="376">
        <v>266189636.84999999</v>
      </c>
      <c r="EZ52" s="376">
        <v>15363581.189999999</v>
      </c>
      <c r="FA52" s="376">
        <v>13117458.42</v>
      </c>
      <c r="FB52" s="376">
        <v>16543113.73</v>
      </c>
      <c r="FC52" s="376">
        <v>18813731.219999999</v>
      </c>
      <c r="FD52" s="376">
        <v>38823788.329999998</v>
      </c>
      <c r="FE52" s="376">
        <v>24442619.199999999</v>
      </c>
      <c r="FF52" s="376">
        <v>25745826.41</v>
      </c>
      <c r="FG52" s="376">
        <v>3819449.69</v>
      </c>
      <c r="FH52" s="376">
        <v>14059999.119999999</v>
      </c>
      <c r="FI52" s="376">
        <v>6496285.4699999997</v>
      </c>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v>39174668.049999997</v>
      </c>
      <c r="FI55" s="376">
        <v>38923552.049999997</v>
      </c>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1028193.82</v>
      </c>
      <c r="EU69" s="376">
        <v>2319006.39</v>
      </c>
      <c r="EV69" s="376">
        <v>3799655</v>
      </c>
      <c r="EW69" s="376">
        <v>2444213.75</v>
      </c>
      <c r="EX69" s="376">
        <v>2819164.34</v>
      </c>
      <c r="EY69" s="376">
        <v>2228904.96</v>
      </c>
      <c r="EZ69" s="376">
        <v>2858658.74</v>
      </c>
      <c r="FA69" s="376">
        <v>2382536.89</v>
      </c>
      <c r="FB69" s="376">
        <v>1933588.85</v>
      </c>
      <c r="FC69" s="376">
        <v>3004874.41</v>
      </c>
      <c r="FD69" s="376">
        <v>3031428.93</v>
      </c>
      <c r="FE69" s="376">
        <v>8894630.3100000005</v>
      </c>
      <c r="FF69" s="376">
        <v>854167.64</v>
      </c>
      <c r="FG69" s="376">
        <v>2492370.9900000002</v>
      </c>
      <c r="FH69" s="376">
        <v>2599448.7799999998</v>
      </c>
      <c r="FI69" s="376">
        <v>2488394.38</v>
      </c>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1680235.02</v>
      </c>
      <c r="EU76" s="376">
        <v>3138627.78</v>
      </c>
      <c r="EV76" s="376">
        <v>4224659.0199999996</v>
      </c>
      <c r="EW76" s="376">
        <v>4569774.72</v>
      </c>
      <c r="EX76" s="376">
        <v>4902792.45</v>
      </c>
      <c r="EY76" s="376">
        <v>14378872.84</v>
      </c>
      <c r="EZ76" s="376">
        <v>4934074.01</v>
      </c>
      <c r="FA76" s="376">
        <v>3590546.61</v>
      </c>
      <c r="FB76" s="376">
        <v>5520674.5999999996</v>
      </c>
      <c r="FC76" s="376">
        <v>5584761.9900000002</v>
      </c>
      <c r="FD76" s="376">
        <v>5166021.46</v>
      </c>
      <c r="FE76" s="376">
        <v>17447882.190000001</v>
      </c>
      <c r="FF76" s="376">
        <v>2813388.82</v>
      </c>
      <c r="FG76" s="376">
        <v>4369547.51</v>
      </c>
      <c r="FH76" s="376">
        <v>4665504.76</v>
      </c>
      <c r="FI76" s="376">
        <v>4354225.75</v>
      </c>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v>1602730.43</v>
      </c>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17000784.449999999</v>
      </c>
      <c r="EX90" s="376">
        <v>10064809.060000001</v>
      </c>
      <c r="EY90" s="376">
        <v>1838720.63</v>
      </c>
      <c r="EZ90" s="376">
        <v>7518062.3499999996</v>
      </c>
      <c r="FA90" s="376">
        <v>1134154.94</v>
      </c>
      <c r="FB90" s="376">
        <v>3617355.6</v>
      </c>
      <c r="FC90" s="376">
        <v>1538688.3</v>
      </c>
      <c r="FD90" s="376">
        <v>4283049.2</v>
      </c>
      <c r="FE90" s="376">
        <v>5677848.6699999999</v>
      </c>
      <c r="FF90" s="376">
        <v>6154852.9000000004</v>
      </c>
      <c r="FG90" s="376">
        <v>950797.68</v>
      </c>
      <c r="FH90" s="376">
        <v>28695513.649999999</v>
      </c>
      <c r="FI90" s="376">
        <v>18405321.859999999</v>
      </c>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933048.68</v>
      </c>
      <c r="EY93" s="376">
        <v>835746.88</v>
      </c>
      <c r="EZ93" s="376">
        <v>824828.88</v>
      </c>
      <c r="FA93" s="376">
        <v>555711.06999999995</v>
      </c>
      <c r="FB93" s="376">
        <v>949304.64</v>
      </c>
      <c r="FC93" s="376">
        <v>827176.94</v>
      </c>
      <c r="FD93" s="376">
        <v>584262.68000000005</v>
      </c>
      <c r="FE93" s="376">
        <v>2717616.81</v>
      </c>
      <c r="FF93" s="376">
        <v>220526.46</v>
      </c>
      <c r="FG93" s="376">
        <v>779733.65</v>
      </c>
      <c r="FH93" s="376">
        <v>803370.53</v>
      </c>
      <c r="FI93" s="376">
        <v>1122402.21</v>
      </c>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3360527.27</v>
      </c>
      <c r="FH101" s="376">
        <v>2355712.6800000002</v>
      </c>
      <c r="FI101" s="376">
        <v>5380146.8200000003</v>
      </c>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739</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v>1075486.77</v>
      </c>
      <c r="FI137" s="376">
        <v>779978.55</v>
      </c>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v>16109431.9</v>
      </c>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734</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2060574.27</v>
      </c>
      <c r="EU159" s="376">
        <v>2958395.49</v>
      </c>
      <c r="EV159" s="376">
        <v>10806505.67</v>
      </c>
      <c r="EW159" s="376">
        <v>28775491.48</v>
      </c>
      <c r="EX159" s="376">
        <v>12314358.92</v>
      </c>
      <c r="EY159" s="376">
        <v>22250596.559999999</v>
      </c>
      <c r="EZ159" s="376">
        <v>22219463.719999999</v>
      </c>
      <c r="FA159" s="376">
        <v>7067070.5700000003</v>
      </c>
      <c r="FB159" s="376">
        <v>38353416.07</v>
      </c>
      <c r="FC159" s="376">
        <v>27286098.32</v>
      </c>
      <c r="FD159" s="376">
        <v>24712008.18</v>
      </c>
      <c r="FE159" s="376">
        <v>44558470.93</v>
      </c>
      <c r="FF159" s="376">
        <v>26660880.449999999</v>
      </c>
      <c r="FG159" s="376">
        <v>3690450.01</v>
      </c>
      <c r="FH159" s="376">
        <v>14930197.6</v>
      </c>
      <c r="FI159" s="376">
        <v>12096117.390000001</v>
      </c>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425</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3266992.16</v>
      </c>
      <c r="EU160" s="376">
        <v>1252962.76</v>
      </c>
      <c r="EV160" s="376">
        <v>2398205.81</v>
      </c>
      <c r="EW160" s="376">
        <v>2567489.7200000002</v>
      </c>
      <c r="EX160" s="376">
        <v>3090956.98</v>
      </c>
      <c r="EY160" s="376">
        <v>5031700.74</v>
      </c>
      <c r="EZ160" s="376">
        <v>2615698.5299999998</v>
      </c>
      <c r="FA160" s="376">
        <v>2782160.17</v>
      </c>
      <c r="FB160" s="376">
        <v>3339367.45</v>
      </c>
      <c r="FC160" s="376">
        <v>5912379.6799999997</v>
      </c>
      <c r="FD160" s="376">
        <v>28699706.960000001</v>
      </c>
      <c r="FE160" s="376">
        <v>17413656</v>
      </c>
      <c r="FF160" s="376">
        <v>888388.89</v>
      </c>
      <c r="FG160" s="376">
        <v>3462137.86</v>
      </c>
      <c r="FH160" s="376">
        <v>1772948.37</v>
      </c>
      <c r="FI160" s="376">
        <v>2074285.0700000003</v>
      </c>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4562283.55</v>
      </c>
      <c r="FA184" s="376">
        <v>924617.69</v>
      </c>
      <c r="FB184" s="376">
        <v>872755.39</v>
      </c>
      <c r="FC184" s="376">
        <v>1966075.9</v>
      </c>
      <c r="FD184" s="376">
        <v>1659582.3</v>
      </c>
      <c r="FE184" s="376">
        <v>1578931.59</v>
      </c>
      <c r="FF184" s="376">
        <v>1205053.3500000001</v>
      </c>
      <c r="FG184" s="376">
        <v>1334117.25</v>
      </c>
      <c r="FH184" s="376">
        <v>1729429.23</v>
      </c>
      <c r="FI184" s="376">
        <v>1788599.55</v>
      </c>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1807504.1</v>
      </c>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699</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690</v>
      </c>
      <c r="F215" s="560">
        <v>2006</v>
      </c>
      <c r="G215" s="561"/>
      <c r="H215" s="561"/>
      <c r="I215" s="561"/>
      <c r="J215" s="561"/>
      <c r="K215" s="561"/>
      <c r="L215" s="561"/>
      <c r="M215" s="561"/>
      <c r="N215" s="561"/>
      <c r="O215" s="561"/>
      <c r="P215" s="561"/>
      <c r="Q215" s="562"/>
      <c r="R215" s="560">
        <v>2007</v>
      </c>
      <c r="S215" s="561"/>
      <c r="T215" s="561"/>
      <c r="U215" s="561"/>
      <c r="V215" s="561"/>
      <c r="W215" s="561"/>
      <c r="X215" s="561"/>
      <c r="Y215" s="561"/>
      <c r="Z215" s="561"/>
      <c r="AA215" s="561"/>
      <c r="AB215" s="561"/>
      <c r="AC215" s="562"/>
      <c r="AD215" s="560">
        <v>2008</v>
      </c>
      <c r="AE215" s="561"/>
      <c r="AF215" s="561"/>
      <c r="AG215" s="561"/>
      <c r="AH215" s="561"/>
      <c r="AI215" s="561"/>
      <c r="AJ215" s="561"/>
      <c r="AK215" s="561"/>
      <c r="AL215" s="561"/>
      <c r="AM215" s="561"/>
      <c r="AN215" s="561"/>
      <c r="AO215" s="562"/>
      <c r="AP215" s="560">
        <v>2009</v>
      </c>
      <c r="AQ215" s="561"/>
      <c r="AR215" s="561"/>
      <c r="AS215" s="561"/>
      <c r="AT215" s="561"/>
      <c r="AU215" s="561"/>
      <c r="AV215" s="561"/>
      <c r="AW215" s="561"/>
      <c r="AX215" s="561"/>
      <c r="AY215" s="561"/>
      <c r="AZ215" s="561"/>
      <c r="BA215" s="562"/>
      <c r="BB215" s="560">
        <v>2010</v>
      </c>
      <c r="BC215" s="561"/>
      <c r="BD215" s="561"/>
      <c r="BE215" s="561"/>
      <c r="BF215" s="561"/>
      <c r="BG215" s="561"/>
      <c r="BH215" s="561"/>
      <c r="BI215" s="561"/>
      <c r="BJ215" s="561"/>
      <c r="BK215" s="561"/>
      <c r="BL215" s="561"/>
      <c r="BM215" s="562"/>
      <c r="BN215" s="560">
        <v>2011</v>
      </c>
      <c r="BO215" s="561"/>
      <c r="BP215" s="561"/>
      <c r="BQ215" s="561"/>
      <c r="BR215" s="561"/>
      <c r="BS215" s="561"/>
      <c r="BT215" s="561"/>
      <c r="BU215" s="561"/>
      <c r="BV215" s="561"/>
      <c r="BW215" s="561"/>
      <c r="BX215" s="561"/>
      <c r="BY215" s="562"/>
      <c r="BZ215" s="561">
        <v>2012</v>
      </c>
      <c r="CA215" s="561"/>
      <c r="CB215" s="561"/>
      <c r="CC215" s="561"/>
      <c r="CD215" s="561"/>
      <c r="CE215" s="561"/>
      <c r="CF215" s="561"/>
      <c r="CG215" s="561"/>
      <c r="CH215" s="561"/>
      <c r="CI215" s="561"/>
      <c r="CJ215" s="561"/>
      <c r="CK215" s="561"/>
      <c r="CL215" s="560">
        <v>2013</v>
      </c>
      <c r="CM215" s="561"/>
      <c r="CN215" s="561"/>
      <c r="CO215" s="561"/>
      <c r="CP215" s="561"/>
      <c r="CQ215" s="561"/>
      <c r="CR215" s="561"/>
      <c r="CS215" s="561"/>
      <c r="CT215" s="561"/>
      <c r="CU215" s="561"/>
      <c r="CV215" s="561"/>
      <c r="CW215" s="562"/>
      <c r="CX215" s="560">
        <v>2014</v>
      </c>
      <c r="CY215" s="561"/>
      <c r="CZ215" s="561"/>
      <c r="DA215" s="561"/>
      <c r="DB215" s="561"/>
      <c r="DC215" s="561"/>
      <c r="DD215" s="561"/>
      <c r="DE215" s="561"/>
      <c r="DF215" s="561"/>
      <c r="DG215" s="561"/>
      <c r="DH215" s="561"/>
      <c r="DI215" s="562"/>
      <c r="DJ215" s="560">
        <v>2015</v>
      </c>
      <c r="DK215" s="561"/>
      <c r="DL215" s="561"/>
      <c r="DM215" s="561"/>
      <c r="DN215" s="561"/>
      <c r="DO215" s="561"/>
      <c r="DP215" s="561"/>
      <c r="DQ215" s="561"/>
      <c r="DR215" s="561"/>
      <c r="DS215" s="561"/>
      <c r="DT215" s="561"/>
      <c r="DU215" s="562"/>
    </row>
    <row r="216" spans="1:175">
      <c r="E216" s="563"/>
      <c r="F216" s="75" t="s">
        <v>570</v>
      </c>
      <c r="G216" s="76" t="s">
        <v>571</v>
      </c>
      <c r="H216" s="76" t="s">
        <v>572</v>
      </c>
      <c r="I216" s="76" t="s">
        <v>573</v>
      </c>
      <c r="J216" s="76" t="s">
        <v>574</v>
      </c>
      <c r="K216" s="76" t="s">
        <v>575</v>
      </c>
      <c r="L216" s="76" t="s">
        <v>576</v>
      </c>
      <c r="M216" s="76" t="s">
        <v>577</v>
      </c>
      <c r="N216" s="76" t="s">
        <v>578</v>
      </c>
      <c r="O216" s="76" t="s">
        <v>579</v>
      </c>
      <c r="P216" s="76" t="s">
        <v>580</v>
      </c>
      <c r="Q216" s="77" t="s">
        <v>581</v>
      </c>
      <c r="R216" s="75" t="s">
        <v>582</v>
      </c>
      <c r="S216" s="76" t="s">
        <v>583</v>
      </c>
      <c r="T216" s="76" t="s">
        <v>584</v>
      </c>
      <c r="U216" s="76" t="s">
        <v>585</v>
      </c>
      <c r="V216" s="76" t="s">
        <v>586</v>
      </c>
      <c r="W216" s="76" t="s">
        <v>587</v>
      </c>
      <c r="X216" s="76" t="s">
        <v>588</v>
      </c>
      <c r="Y216" s="76" t="s">
        <v>589</v>
      </c>
      <c r="Z216" s="76" t="s">
        <v>590</v>
      </c>
      <c r="AA216" s="76" t="s">
        <v>591</v>
      </c>
      <c r="AB216" s="76" t="s">
        <v>592</v>
      </c>
      <c r="AC216" s="77" t="s">
        <v>593</v>
      </c>
      <c r="AD216" s="75" t="s">
        <v>594</v>
      </c>
      <c r="AE216" s="76" t="s">
        <v>595</v>
      </c>
      <c r="AF216" s="76" t="s">
        <v>596</v>
      </c>
      <c r="AG216" s="76" t="s">
        <v>597</v>
      </c>
      <c r="AH216" s="76" t="s">
        <v>598</v>
      </c>
      <c r="AI216" s="76" t="s">
        <v>599</v>
      </c>
      <c r="AJ216" s="76" t="s">
        <v>600</v>
      </c>
      <c r="AK216" s="76" t="s">
        <v>601</v>
      </c>
      <c r="AL216" s="76" t="s">
        <v>602</v>
      </c>
      <c r="AM216" s="76" t="s">
        <v>603</v>
      </c>
      <c r="AN216" s="76" t="s">
        <v>604</v>
      </c>
      <c r="AO216" s="77" t="s">
        <v>605</v>
      </c>
      <c r="AP216" s="75" t="s">
        <v>606</v>
      </c>
      <c r="AQ216" s="76" t="s">
        <v>607</v>
      </c>
      <c r="AR216" s="76" t="s">
        <v>608</v>
      </c>
      <c r="AS216" s="76" t="s">
        <v>609</v>
      </c>
      <c r="AT216" s="76" t="s">
        <v>610</v>
      </c>
      <c r="AU216" s="76" t="s">
        <v>611</v>
      </c>
      <c r="AV216" s="76" t="s">
        <v>612</v>
      </c>
      <c r="AW216" s="76" t="s">
        <v>613</v>
      </c>
      <c r="AX216" s="76" t="s">
        <v>614</v>
      </c>
      <c r="AY216" s="76" t="s">
        <v>615</v>
      </c>
      <c r="AZ216" s="76" t="s">
        <v>616</v>
      </c>
      <c r="BA216" s="77" t="s">
        <v>617</v>
      </c>
      <c r="BB216" s="75" t="s">
        <v>618</v>
      </c>
      <c r="BC216" s="76" t="s">
        <v>619</v>
      </c>
      <c r="BD216" s="76" t="s">
        <v>620</v>
      </c>
      <c r="BE216" s="76" t="s">
        <v>621</v>
      </c>
      <c r="BF216" s="76" t="s">
        <v>622</v>
      </c>
      <c r="BG216" s="76" t="s">
        <v>623</v>
      </c>
      <c r="BH216" s="76" t="s">
        <v>624</v>
      </c>
      <c r="BI216" s="76" t="s">
        <v>625</v>
      </c>
      <c r="BJ216" s="76" t="s">
        <v>626</v>
      </c>
      <c r="BK216" s="76" t="s">
        <v>627</v>
      </c>
      <c r="BL216" s="76" t="s">
        <v>628</v>
      </c>
      <c r="BM216" s="77" t="s">
        <v>629</v>
      </c>
      <c r="BN216" s="75" t="s">
        <v>630</v>
      </c>
      <c r="BO216" s="76" t="s">
        <v>631</v>
      </c>
      <c r="BP216" s="76" t="s">
        <v>632</v>
      </c>
      <c r="BQ216" s="76" t="s">
        <v>633</v>
      </c>
      <c r="BR216" s="76" t="s">
        <v>634</v>
      </c>
      <c r="BS216" s="76" t="s">
        <v>635</v>
      </c>
      <c r="BT216" s="76" t="s">
        <v>636</v>
      </c>
      <c r="BU216" s="76" t="s">
        <v>637</v>
      </c>
      <c r="BV216" s="76" t="s">
        <v>638</v>
      </c>
      <c r="BW216" s="76" t="s">
        <v>639</v>
      </c>
      <c r="BX216" s="76" t="s">
        <v>640</v>
      </c>
      <c r="BY216" s="77" t="s">
        <v>641</v>
      </c>
      <c r="BZ216" s="76" t="s">
        <v>642</v>
      </c>
      <c r="CA216" s="76" t="s">
        <v>643</v>
      </c>
      <c r="CB216" s="76" t="s">
        <v>644</v>
      </c>
      <c r="CC216" s="76" t="s">
        <v>645</v>
      </c>
      <c r="CD216" s="76" t="s">
        <v>646</v>
      </c>
      <c r="CE216" s="76" t="s">
        <v>647</v>
      </c>
      <c r="CF216" s="76" t="s">
        <v>648</v>
      </c>
      <c r="CG216" s="76" t="s">
        <v>649</v>
      </c>
      <c r="CH216" s="76" t="s">
        <v>650</v>
      </c>
      <c r="CI216" s="76" t="s">
        <v>651</v>
      </c>
      <c r="CJ216" s="76" t="s">
        <v>652</v>
      </c>
      <c r="CK216" s="76" t="s">
        <v>653</v>
      </c>
      <c r="CL216" s="75" t="s">
        <v>654</v>
      </c>
      <c r="CM216" s="76" t="s">
        <v>655</v>
      </c>
      <c r="CN216" s="76" t="s">
        <v>656</v>
      </c>
      <c r="CO216" s="76" t="s">
        <v>657</v>
      </c>
      <c r="CP216" s="76" t="s">
        <v>658</v>
      </c>
      <c r="CQ216" s="76" t="s">
        <v>659</v>
      </c>
      <c r="CR216" s="76" t="s">
        <v>660</v>
      </c>
      <c r="CS216" s="76" t="s">
        <v>661</v>
      </c>
      <c r="CT216" s="76" t="s">
        <v>662</v>
      </c>
      <c r="CU216" s="76" t="s">
        <v>663</v>
      </c>
      <c r="CV216" s="76" t="s">
        <v>664</v>
      </c>
      <c r="CW216" s="77" t="s">
        <v>665</v>
      </c>
      <c r="CX216" s="75" t="s">
        <v>666</v>
      </c>
      <c r="CY216" s="76" t="s">
        <v>667</v>
      </c>
      <c r="CZ216" s="76" t="s">
        <v>668</v>
      </c>
      <c r="DA216" s="76" t="s">
        <v>669</v>
      </c>
      <c r="DB216" s="76" t="s">
        <v>670</v>
      </c>
      <c r="DC216" s="76" t="s">
        <v>671</v>
      </c>
      <c r="DD216" s="76" t="s">
        <v>672</v>
      </c>
      <c r="DE216" s="76" t="s">
        <v>673</v>
      </c>
      <c r="DF216" s="76" t="s">
        <v>674</v>
      </c>
      <c r="DG216" s="76" t="s">
        <v>675</v>
      </c>
      <c r="DH216" s="76" t="s">
        <v>676</v>
      </c>
      <c r="DI216" s="77" t="s">
        <v>677</v>
      </c>
      <c r="DJ216" s="75" t="s">
        <v>678</v>
      </c>
      <c r="DK216" s="76" t="s">
        <v>679</v>
      </c>
      <c r="DL216" s="76" t="s">
        <v>680</v>
      </c>
      <c r="DM216" s="76" t="s">
        <v>681</v>
      </c>
      <c r="DN216" s="76" t="s">
        <v>682</v>
      </c>
      <c r="DO216" s="76" t="s">
        <v>683</v>
      </c>
      <c r="DP216" s="76" t="s">
        <v>684</v>
      </c>
      <c r="DQ216" s="76" t="s">
        <v>685</v>
      </c>
      <c r="DR216" s="76" t="s">
        <v>686</v>
      </c>
      <c r="DS216" s="76" t="s">
        <v>687</v>
      </c>
      <c r="DT216" s="76" t="s">
        <v>688</v>
      </c>
      <c r="DU216" s="77" t="s">
        <v>689</v>
      </c>
      <c r="DV216" s="42" t="s">
        <v>720</v>
      </c>
      <c r="DW216" s="42" t="s">
        <v>721</v>
      </c>
      <c r="DX216" s="42" t="s">
        <v>722</v>
      </c>
      <c r="DY216" s="42" t="s">
        <v>723</v>
      </c>
      <c r="DZ216" s="42" t="s">
        <v>724</v>
      </c>
      <c r="EA216" s="42" t="s">
        <v>725</v>
      </c>
      <c r="EB216" s="42" t="s">
        <v>726</v>
      </c>
      <c r="EC216" s="42" t="s">
        <v>727</v>
      </c>
      <c r="ED216" s="42" t="s">
        <v>728</v>
      </c>
      <c r="EE216" s="42" t="s">
        <v>729</v>
      </c>
      <c r="EF216" s="42" t="s">
        <v>730</v>
      </c>
      <c r="EG216" s="42" t="s">
        <v>731</v>
      </c>
      <c r="EH216" s="393" t="s">
        <v>742</v>
      </c>
      <c r="EI216" s="393" t="s">
        <v>743</v>
      </c>
      <c r="EJ216" s="393" t="s">
        <v>744</v>
      </c>
      <c r="EK216" s="393" t="s">
        <v>745</v>
      </c>
      <c r="EL216" s="393" t="s">
        <v>746</v>
      </c>
      <c r="EM216" s="393" t="s">
        <v>747</v>
      </c>
      <c r="EN216" s="393" t="s">
        <v>748</v>
      </c>
      <c r="EO216" s="393" t="s">
        <v>749</v>
      </c>
      <c r="EP216" s="393" t="s">
        <v>750</v>
      </c>
      <c r="EQ216" s="393" t="s">
        <v>751</v>
      </c>
      <c r="ER216" s="393" t="s">
        <v>752</v>
      </c>
      <c r="ES216" s="393" t="s">
        <v>753</v>
      </c>
      <c r="ET216" s="393" t="s">
        <v>760</v>
      </c>
      <c r="EU216" s="393" t="s">
        <v>761</v>
      </c>
      <c r="EV216" s="393" t="s">
        <v>762</v>
      </c>
      <c r="EW216" s="393" t="s">
        <v>763</v>
      </c>
      <c r="EX216" s="393" t="s">
        <v>764</v>
      </c>
      <c r="EY216" s="393" t="s">
        <v>765</v>
      </c>
      <c r="EZ216" s="393" t="s">
        <v>766</v>
      </c>
      <c r="FA216" s="393" t="s">
        <v>767</v>
      </c>
      <c r="FB216" s="393" t="s">
        <v>768</v>
      </c>
      <c r="FC216" s="393" t="s">
        <v>769</v>
      </c>
      <c r="FD216" s="393" t="s">
        <v>770</v>
      </c>
      <c r="FE216" s="393" t="s">
        <v>771</v>
      </c>
      <c r="FF216" s="393" t="s">
        <v>783</v>
      </c>
      <c r="FG216" s="393" t="s">
        <v>784</v>
      </c>
      <c r="FH216" s="393" t="s">
        <v>785</v>
      </c>
      <c r="FI216" s="393" t="s">
        <v>786</v>
      </c>
      <c r="FJ216" s="393" t="s">
        <v>787</v>
      </c>
      <c r="FK216" s="393" t="s">
        <v>788</v>
      </c>
      <c r="FL216" s="393" t="s">
        <v>789</v>
      </c>
      <c r="FM216" s="393" t="s">
        <v>790</v>
      </c>
      <c r="FN216" s="393" t="s">
        <v>791</v>
      </c>
      <c r="FO216" s="393" t="s">
        <v>792</v>
      </c>
      <c r="FP216" s="393" t="s">
        <v>793</v>
      </c>
      <c r="FQ216" s="393" t="s">
        <v>794</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554</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425</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699</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3" sqref="B3"/>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4</v>
      </c>
      <c r="C3" s="56" t="s">
        <v>1</v>
      </c>
      <c r="E3" s="9" t="s">
        <v>2</v>
      </c>
      <c r="F3" s="10" t="s">
        <v>3</v>
      </c>
      <c r="G3" s="52" t="str">
        <f>+IF(ISBLANK(IF($B$2=1,E3,F3)),"",IF($B$2=1,E3,F3))</f>
        <v>Engleski</v>
      </c>
    </row>
    <row r="4" spans="2:7" ht="15.75" thickBot="1">
      <c r="B4" s="305">
        <v>2019</v>
      </c>
      <c r="C4" s="56" t="s">
        <v>694</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781</v>
      </c>
      <c r="F11" s="12" t="s">
        <v>782</v>
      </c>
      <c r="G11" s="52" t="str">
        <f t="shared" si="0"/>
        <v>Montly Data 2019</v>
      </c>
    </row>
    <row r="12" spans="2:7">
      <c r="D12" s="41"/>
      <c r="E12" s="11" t="s">
        <v>779</v>
      </c>
      <c r="F12" s="12" t="s">
        <v>780</v>
      </c>
      <c r="G12" s="52" t="str">
        <f t="shared" si="0"/>
        <v>Montly Data 2018</v>
      </c>
    </row>
    <row r="13" spans="2:7">
      <c r="D13" s="41"/>
      <c r="E13" s="11" t="s">
        <v>754</v>
      </c>
      <c r="F13" s="12" t="s">
        <v>755</v>
      </c>
      <c r="G13" s="52" t="str">
        <f t="shared" si="0"/>
        <v>Montly Data 2017</v>
      </c>
    </row>
    <row r="14" spans="2:7">
      <c r="D14" s="41"/>
      <c r="E14" s="11" t="s">
        <v>732</v>
      </c>
      <c r="F14" s="12" t="s">
        <v>733</v>
      </c>
      <c r="G14" s="52" t="str">
        <f t="shared" si="0"/>
        <v>Montly Data 2016</v>
      </c>
    </row>
    <row r="15" spans="2:7">
      <c r="E15" s="11" t="s">
        <v>703</v>
      </c>
      <c r="F15" s="12" t="s">
        <v>704</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756</v>
      </c>
      <c r="F18" s="12" t="s">
        <v>757</v>
      </c>
      <c r="G18" s="52" t="str">
        <f t="shared" si="0"/>
        <v>Montly Data 2012</v>
      </c>
    </row>
    <row r="19" spans="2:7">
      <c r="E19" s="11" t="s">
        <v>758</v>
      </c>
      <c r="F19" s="12" t="s">
        <v>759</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695</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738</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776</v>
      </c>
      <c r="F79" s="16" t="s">
        <v>123</v>
      </c>
      <c r="G79" s="52" t="str">
        <f t="shared" si="1"/>
        <v>Total Expenditures</v>
      </c>
    </row>
    <row r="80" spans="2:7">
      <c r="B80" s="20"/>
      <c r="C80" s="44"/>
      <c r="D80" s="44">
        <v>40</v>
      </c>
      <c r="E80" s="15" t="s">
        <v>423</v>
      </c>
      <c r="F80" s="16" t="s">
        <v>424</v>
      </c>
      <c r="G80" s="52" t="str">
        <f t="shared" si="1"/>
        <v>Current Budgetary Expenditures</v>
      </c>
    </row>
    <row r="81" spans="2:7">
      <c r="B81" s="13"/>
      <c r="C81" s="44"/>
      <c r="D81" s="44">
        <v>41</v>
      </c>
      <c r="E81" s="15" t="s">
        <v>124</v>
      </c>
      <c r="F81" s="16" t="s">
        <v>125</v>
      </c>
      <c r="G81" s="52" t="str">
        <f t="shared" si="1"/>
        <v>Current Expenditures</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735</v>
      </c>
      <c r="F96" s="22" t="s">
        <v>737</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735</v>
      </c>
      <c r="F148" s="22" t="s">
        <v>736</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554</v>
      </c>
      <c r="F187" s="16" t="s">
        <v>325</v>
      </c>
      <c r="G187" s="52" t="str">
        <f t="shared" si="2"/>
        <v>Capital Expenditure</v>
      </c>
    </row>
    <row r="188" spans="2:7">
      <c r="B188" s="25"/>
      <c r="C188" s="44"/>
      <c r="D188" s="44">
        <v>440</v>
      </c>
      <c r="E188" s="15" t="s">
        <v>425</v>
      </c>
      <c r="F188" s="16" t="s">
        <v>426</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557</v>
      </c>
      <c r="F219" s="96" t="s">
        <v>558</v>
      </c>
      <c r="G219" s="52" t="str">
        <f t="shared" si="3"/>
        <v>Surplus / deficit</v>
      </c>
    </row>
    <row r="220" spans="2:7">
      <c r="B220" s="25"/>
      <c r="C220" s="49"/>
      <c r="D220" s="49">
        <v>1001</v>
      </c>
      <c r="E220" s="30" t="s">
        <v>559</v>
      </c>
      <c r="F220" s="96" t="s">
        <v>560</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555</v>
      </c>
      <c r="F222" s="96" t="s">
        <v>561</v>
      </c>
      <c r="G222" s="52" t="str">
        <f t="shared" si="3"/>
        <v>Financing needs</v>
      </c>
    </row>
    <row r="223" spans="2:7">
      <c r="B223" s="25"/>
      <c r="C223" s="49"/>
      <c r="D223" s="49">
        <v>1003</v>
      </c>
      <c r="E223" s="30" t="s">
        <v>556</v>
      </c>
      <c r="F223" s="96" t="s">
        <v>562</v>
      </c>
      <c r="G223" s="52" t="str">
        <f t="shared" si="3"/>
        <v>Financing</v>
      </c>
    </row>
    <row r="224" spans="2:7">
      <c r="B224" s="25"/>
      <c r="C224" s="49"/>
      <c r="D224" s="49"/>
      <c r="E224" s="30"/>
      <c r="F224" s="96"/>
      <c r="G224" s="52" t="str">
        <f t="shared" si="3"/>
        <v/>
      </c>
    </row>
    <row r="225" spans="2:7">
      <c r="B225" s="25"/>
      <c r="C225" s="49"/>
      <c r="D225" s="49">
        <v>1004</v>
      </c>
      <c r="E225" s="30" t="s">
        <v>563</v>
      </c>
      <c r="F225" s="96" t="s">
        <v>564</v>
      </c>
      <c r="G225" s="52" t="str">
        <f t="shared" si="3"/>
        <v>Increase / decrease of deposits</v>
      </c>
    </row>
    <row r="226" spans="2:7">
      <c r="B226" s="25"/>
      <c r="C226" s="49"/>
      <c r="D226" s="49"/>
      <c r="E226" s="30"/>
      <c r="F226" s="96"/>
    </row>
    <row r="227" spans="2:7">
      <c r="B227" s="25"/>
      <c r="C227" s="49"/>
      <c r="D227" s="49">
        <v>1005</v>
      </c>
      <c r="E227" s="30" t="s">
        <v>699</v>
      </c>
      <c r="F227" s="96" t="s">
        <v>700</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427</v>
      </c>
      <c r="D231" s="49">
        <v>1</v>
      </c>
      <c r="E231" s="9" t="s">
        <v>379</v>
      </c>
      <c r="F231" s="10" t="s">
        <v>380</v>
      </c>
      <c r="G231" s="52" t="str">
        <f t="shared" si="3"/>
        <v>January</v>
      </c>
    </row>
    <row r="232" spans="2:7">
      <c r="C232" s="41" t="s">
        <v>432</v>
      </c>
      <c r="D232" s="49">
        <v>2</v>
      </c>
      <c r="E232" s="9" t="s">
        <v>381</v>
      </c>
      <c r="F232" s="10" t="s">
        <v>382</v>
      </c>
      <c r="G232" s="52" t="str">
        <f t="shared" si="3"/>
        <v>February</v>
      </c>
    </row>
    <row r="233" spans="2:7">
      <c r="C233" s="41" t="s">
        <v>433</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April</v>
      </c>
    </row>
    <row r="245" spans="4:7">
      <c r="D245" s="49"/>
      <c r="E245" s="9"/>
      <c r="F245" s="10"/>
      <c r="G245" s="52" t="str">
        <f>+CONCATENATE("Jan - ",LEFT(G244,3))</f>
        <v>Jan - Apr</v>
      </c>
    </row>
    <row r="246" spans="4:7">
      <c r="D246" s="49"/>
      <c r="E246" s="9"/>
      <c r="F246" s="10"/>
      <c r="G246" s="52" t="str">
        <f>+CONCATENATE("Jan - ",LEFT(G242,3))</f>
        <v>Jan - Dec</v>
      </c>
    </row>
    <row r="247" spans="4:7">
      <c r="D247" s="49"/>
      <c r="E247" s="9"/>
      <c r="F247" s="10"/>
    </row>
    <row r="248" spans="4:7">
      <c r="D248" s="46"/>
      <c r="E248" s="9" t="s">
        <v>430</v>
      </c>
      <c r="F248" s="10" t="s">
        <v>431</v>
      </c>
      <c r="G248" s="52" t="str">
        <f t="shared" si="3"/>
        <v>GDP</v>
      </c>
    </row>
    <row r="249" spans="4:7">
      <c r="D249" s="46"/>
      <c r="E249" s="9"/>
      <c r="F249" s="10"/>
      <c r="G249" s="52" t="str">
        <f>+CONCATENATE("% ",G248)</f>
        <v>% GDP</v>
      </c>
    </row>
    <row r="250" spans="4:7">
      <c r="D250" s="46"/>
      <c r="E250" s="9"/>
      <c r="F250" s="10"/>
    </row>
    <row r="251" spans="4:7">
      <c r="D251" s="46"/>
      <c r="E251" s="9" t="s">
        <v>568</v>
      </c>
      <c r="F251" s="10" t="s">
        <v>565</v>
      </c>
      <c r="G251" s="52" t="str">
        <f t="shared" si="3"/>
        <v>Budget Execution</v>
      </c>
    </row>
    <row r="252" spans="4:7">
      <c r="D252" s="46"/>
      <c r="E252" s="9" t="s">
        <v>566</v>
      </c>
      <c r="F252" s="10" t="s">
        <v>567</v>
      </c>
      <c r="G252" s="52" t="str">
        <f t="shared" si="3"/>
        <v>Planned Budget Execution</v>
      </c>
    </row>
    <row r="253" spans="4:7">
      <c r="D253" s="46"/>
      <c r="E253" s="9" t="str">
        <f>+CONCATENATE("Analitika za period ",G244)</f>
        <v>Analitika za period April</v>
      </c>
      <c r="F253" s="10" t="str">
        <f>+CONCATENATE("Analytics for period ",G244)</f>
        <v>Analytics for period April</v>
      </c>
      <c r="G253" s="52" t="str">
        <f>+IF(ISBLANK(IF($B$2=1,E253,F253)),"",IF($B$2=1,E253,F253))</f>
        <v>Analytics for period April</v>
      </c>
    </row>
    <row r="254" spans="4:7">
      <c r="D254" s="46"/>
      <c r="E254" s="9" t="str">
        <f>+CONCATENATE("Analitika za period ",G245)</f>
        <v>Analitika za period Jan - Apr</v>
      </c>
      <c r="F254" s="10" t="str">
        <f>+CONCATENATE("Analytics for period ",G245)</f>
        <v>Analytics for period Jan - Apr</v>
      </c>
      <c r="G254" s="52" t="str">
        <f>+IF(ISBLANK(IF($B$2=1,E254,F254)),"",IF($B$2=1,E254,F254))</f>
        <v>Analytics for period Jan - Apr</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691</v>
      </c>
      <c r="F260" s="10" t="s">
        <v>692</v>
      </c>
      <c r="G260" s="52" t="str">
        <f t="shared" si="3"/>
        <v>Deviation</v>
      </c>
    </row>
    <row r="261" spans="4:7">
      <c r="D261" s="46"/>
      <c r="E261" s="9"/>
      <c r="F261" s="10"/>
    </row>
    <row r="262" spans="4:7">
      <c r="D262" s="46"/>
      <c r="E262" s="9" t="s">
        <v>696</v>
      </c>
      <c r="F262" s="10" t="s">
        <v>697</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429</v>
      </c>
      <c r="E269" s="9" t="s">
        <v>402</v>
      </c>
      <c r="F269" s="10" t="s">
        <v>403</v>
      </c>
      <c r="G269" s="52" t="str">
        <f>+CONCATENATE(IF(ISBLANK(IF($B$2=1,E269,F269)),"",IF($B$2=1,E269,F269))," ",$G$244)</f>
        <v>Revenues for April</v>
      </c>
    </row>
    <row r="270" spans="4:7">
      <c r="E270" s="9" t="s">
        <v>404</v>
      </c>
      <c r="F270" s="10" t="s">
        <v>405</v>
      </c>
      <c r="G270" s="52" t="str">
        <f>+CONCATENATE(IF(ISBLANK(IF($B$2=1,E270,F270)),"",IF($B$2=1,E270,F270))," ",$G$244)</f>
        <v>Expenditures for April</v>
      </c>
    </row>
    <row r="271" spans="4:7">
      <c r="E271" s="9" t="s">
        <v>741</v>
      </c>
      <c r="F271" s="10" t="s">
        <v>406</v>
      </c>
      <c r="G271" s="52" t="str">
        <f>+CONCATENATE(IF(ISBLANK(IF($B$2=1,E271,F271)),"",IF($B$2=1,E271,F271))," ",$G$244)</f>
        <v>Deficit for April</v>
      </c>
    </row>
    <row r="273" spans="5:7">
      <c r="E273" s="9" t="s">
        <v>407</v>
      </c>
      <c r="F273" s="10" t="s">
        <v>411</v>
      </c>
      <c r="G273" s="52" t="str">
        <f>+CONCATENATE(IF(ISBLANK(IF($B$2=1,E273,F273)),"",IF($B$2=1,E273,F273))," ",$G$244)</f>
        <v>Revenues for period January - April</v>
      </c>
    </row>
    <row r="274" spans="5:7">
      <c r="E274" s="9" t="s">
        <v>408</v>
      </c>
      <c r="F274" s="10" t="s">
        <v>412</v>
      </c>
      <c r="G274" s="52" t="str">
        <f>+CONCATENATE(IF(ISBLANK(IF($B$2=1,E274,F274)),"",IF($B$2=1,E274,F274))," ",$G$244)</f>
        <v>Expenditures for period January - April</v>
      </c>
    </row>
    <row r="275" spans="5:7">
      <c r="E275" s="9" t="s">
        <v>409</v>
      </c>
      <c r="F275" s="10" t="s">
        <v>413</v>
      </c>
      <c r="G275" s="52" t="str">
        <f>+CONCATENATE(IF(ISBLANK(IF($B$2=1,E275,F275)),"",IF($B$2=1,E275,F275))," ",$G$244)</f>
        <v>Deficit for period January - April</v>
      </c>
    </row>
    <row r="277" spans="5:7">
      <c r="E277" s="9" t="s">
        <v>416</v>
      </c>
      <c r="F277" s="10" t="s">
        <v>417</v>
      </c>
      <c r="G277" s="52" t="str">
        <f t="shared" si="3"/>
        <v>Public debt (% GDP)</v>
      </c>
    </row>
    <row r="279" spans="5:7">
      <c r="E279" s="9" t="s">
        <v>414</v>
      </c>
      <c r="F279" s="10" t="s">
        <v>415</v>
      </c>
      <c r="G279" s="52" t="str">
        <f t="shared" si="3"/>
        <v>Breakdown</v>
      </c>
    </row>
    <row r="281" spans="5:7" ht="60">
      <c r="E281" s="301" t="s">
        <v>701</v>
      </c>
      <c r="F281" s="60" t="s">
        <v>702</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abSelected="1"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April</v>
      </c>
      <c r="E11" s="157"/>
      <c r="F11" s="157"/>
      <c r="G11" s="157"/>
      <c r="H11" s="318" t="str">
        <f>+Master!G273</f>
        <v>Revenues for period January - April</v>
      </c>
      <c r="I11" s="319"/>
      <c r="J11" s="307"/>
      <c r="K11" s="158"/>
    </row>
    <row r="12" spans="3:11">
      <c r="C12" s="156"/>
      <c r="D12" s="160">
        <f>+'Analytics - 2019'!N10</f>
        <v>165045416.32999998</v>
      </c>
      <c r="E12" s="161">
        <f>+D12/'2019'!T7</f>
        <v>3.4466319243620258E-2</v>
      </c>
      <c r="F12" s="157"/>
      <c r="G12" s="157"/>
      <c r="H12" s="320">
        <f>+'Analytics - 2019'!G10</f>
        <v>536392658.49999994</v>
      </c>
      <c r="I12" s="321">
        <f>+H12/'2019'!T7</f>
        <v>0.1120145049701374</v>
      </c>
      <c r="J12" s="307"/>
      <c r="K12" s="158"/>
    </row>
    <row r="13" spans="3:11">
      <c r="C13" s="156"/>
      <c r="D13" s="162" t="s">
        <v>428</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April</v>
      </c>
      <c r="E15" s="157"/>
      <c r="F15" s="157"/>
      <c r="G15" s="157"/>
      <c r="H15" s="318" t="str">
        <f>+Master!G274</f>
        <v>Expenditures for period January - April</v>
      </c>
      <c r="I15" s="319"/>
      <c r="J15" s="307"/>
      <c r="K15" s="158"/>
    </row>
    <row r="16" spans="3:11">
      <c r="C16" s="156"/>
      <c r="D16" s="160">
        <f>+'Analytics - 2019'!N29</f>
        <v>154896985.79999998</v>
      </c>
      <c r="E16" s="161">
        <f>+D16/'2019'!T7</f>
        <v>3.2347029570229294E-2</v>
      </c>
      <c r="F16" s="157"/>
      <c r="G16" s="157"/>
      <c r="H16" s="320">
        <f>+'Analytics - 2019'!G29</f>
        <v>597537319.59000003</v>
      </c>
      <c r="I16" s="321">
        <f>+H16/'2019'!T7</f>
        <v>0.12478330192331789</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April</v>
      </c>
      <c r="E19" s="157"/>
      <c r="F19" s="157"/>
      <c r="G19" s="157"/>
      <c r="H19" s="318" t="str">
        <f>+Master!G275</f>
        <v>Deficit for period January - April</v>
      </c>
      <c r="I19" s="319"/>
      <c r="J19" s="307"/>
      <c r="K19" s="158"/>
    </row>
    <row r="20" spans="3:11">
      <c r="C20" s="156"/>
      <c r="D20" s="160">
        <f>+'Analytics - 2019'!N55</f>
        <v>10148430.530000001</v>
      </c>
      <c r="E20" s="161">
        <f>+D20/'2019'!T7</f>
        <v>2.1192896733909705E-3</v>
      </c>
      <c r="F20" s="157"/>
      <c r="G20" s="157"/>
      <c r="H20" s="320">
        <f>+'Analytics - 2019'!G55</f>
        <v>-61144661.090000078</v>
      </c>
      <c r="I20" s="321">
        <f>+H20/'2019'!T7</f>
        <v>-1.2768796953180487E-2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zoomScaleNormal="100" workbookViewId="0">
      <pane ySplit="5" topLeftCell="A6" activePane="bottomLeft" state="frozen"/>
      <selection activeCell="DK219" sqref="DK219"/>
      <selection pane="bottomLeft" activeCell="H36" sqref="H36"/>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2019-04</v>
      </c>
      <c r="O6" s="168" t="str">
        <f>+CONCATENATE(N6,"p")</f>
        <v>2019-04p</v>
      </c>
      <c r="P6" s="152"/>
      <c r="Q6" s="152"/>
      <c r="R6" s="168" t="str">
        <f>+IF(Master!B3-10&gt;=0,CONCATENATE(Master!B4-1,"-",Master!B3),CONCATENATE(Master!B4-1,"-0",Master!B3))</f>
        <v>2018-04</v>
      </c>
      <c r="S6" s="152"/>
      <c r="T6" s="152"/>
    </row>
    <row r="7" spans="1:20">
      <c r="A7" s="169"/>
      <c r="B7" s="454" t="str">
        <f>+Master!G253</f>
        <v>Analytics for period April</v>
      </c>
      <c r="C7" s="455"/>
      <c r="D7" s="455"/>
      <c r="E7" s="455"/>
      <c r="F7" s="455"/>
      <c r="G7" s="463" t="str">
        <f>+Master!G245</f>
        <v>Jan - Apr</v>
      </c>
      <c r="H7" s="464"/>
      <c r="I7" s="464"/>
      <c r="J7" s="464"/>
      <c r="K7" s="464"/>
      <c r="L7" s="464"/>
      <c r="M7" s="465"/>
      <c r="N7" s="466" t="str">
        <f>+Master!G244</f>
        <v>April</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Apr 2018</v>
      </c>
      <c r="L8" s="450" t="str">
        <f>+I8</f>
        <v>Deviation</v>
      </c>
      <c r="M8" s="462"/>
      <c r="N8" s="171" t="str">
        <f>+G8</f>
        <v>Execution</v>
      </c>
      <c r="O8" s="170" t="str">
        <f>+H8</f>
        <v>Plan</v>
      </c>
      <c r="P8" s="450" t="str">
        <f>+I8</f>
        <v>Deviation</v>
      </c>
      <c r="Q8" s="450"/>
      <c r="R8" s="170" t="str">
        <f>+CONCATENATE(Master!G244," ",Master!B4-1)</f>
        <v>April 2018</v>
      </c>
      <c r="S8" s="450" t="str">
        <f>+P8</f>
        <v>Deviation</v>
      </c>
      <c r="T8" s="451"/>
    </row>
    <row r="9" spans="1:20" ht="15.75" thickBot="1">
      <c r="A9" s="169"/>
      <c r="B9" s="459"/>
      <c r="C9" s="460"/>
      <c r="D9" s="460"/>
      <c r="E9" s="460"/>
      <c r="F9" s="46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96" t="str">
        <f>+VLOOKUP($A10,Master!$D$27:$G$225,4,FALSE)</f>
        <v>Total Revenues</v>
      </c>
      <c r="C10" s="497"/>
      <c r="D10" s="497"/>
      <c r="E10" s="497"/>
      <c r="F10" s="497"/>
      <c r="G10" s="176">
        <f>+SUMPRODUCT(('2019'!$G10:$R10)*('2019'!$G$5:$R$5&lt;=Master!$B$3)*($A10='2019'!$A$10:$A$66))</f>
        <v>536392658.49999994</v>
      </c>
      <c r="H10" s="176">
        <f>+SUMPRODUCT(('2019'!$G105:$R105)*('2019'!$G$5:$R$5&lt;=Master!$B$3))</f>
        <v>511093255.84219062</v>
      </c>
      <c r="I10" s="177">
        <f>+G10-H10</f>
        <v>25299402.657809317</v>
      </c>
      <c r="J10" s="178">
        <f>+IF(ISNUMBER(G10/H10-1),G10/H10-1,"…")</f>
        <v>4.9500560550579831E-2</v>
      </c>
      <c r="K10" s="176">
        <f>+SUMPRODUCT(('2018'!$G10:$R10)*('2018'!$G$5:$R$5&lt;=Master!$B$3))</f>
        <v>484316093.38999999</v>
      </c>
      <c r="L10" s="177">
        <f>+G10-K10</f>
        <v>52076565.109999955</v>
      </c>
      <c r="M10" s="179">
        <f>+IF(ISNUMBER(G10/K10-1),G10/K10-1,"…")</f>
        <v>0.10752598524134704</v>
      </c>
      <c r="N10" s="176">
        <f>+INDEX('2019'!$1:$1048576,MATCH('Analytics - 2019'!$A10,'2019'!$A:$A,0),MATCH('Analytics - 2019'!$N$6,'2019'!$6:$6,0))</f>
        <v>165045416.32999998</v>
      </c>
      <c r="O10" s="176">
        <f>+INDEX('2019'!$1:$1048576,MATCH(CONCATENATE('Analytics - 2019'!$A10,"p"),'2019'!$A:$A,0),MATCH('Analytics - 2019'!$O$6,'2019'!$101:$101,0))</f>
        <v>156434731.13342205</v>
      </c>
      <c r="P10" s="177">
        <f>+N10-O10</f>
        <v>8610685.1965779364</v>
      </c>
      <c r="Q10" s="178">
        <f>+IF(ISNUMBER(N10/O10-1),N10/O10-1,"…")</f>
        <v>5.5043308696161253E-2</v>
      </c>
      <c r="R10" s="176">
        <f>+INDEX('2018'!$1:$1048576,MATCH('Analytics - 2019'!$A10,'2018'!$A:$A,0),MATCH('Analytics - 2019'!$R$6,'2018'!$6:$6,0))</f>
        <v>156838196.73000002</v>
      </c>
      <c r="S10" s="177">
        <f>+N10-R10</f>
        <v>8207219.5999999642</v>
      </c>
      <c r="T10" s="179">
        <f>+IF(ISNUMBER(N10/R10-1),N10/R10-1,"…")</f>
        <v>5.2329214254668077E-2</v>
      </c>
    </row>
    <row r="11" spans="1:20">
      <c r="A11" s="175">
        <v>711</v>
      </c>
      <c r="B11" s="498" t="str">
        <f>+VLOOKUP($A11,Master!$D$27:$G$225,4,FALSE)</f>
        <v>Taxes</v>
      </c>
      <c r="C11" s="499"/>
      <c r="D11" s="499"/>
      <c r="E11" s="499"/>
      <c r="F11" s="499"/>
      <c r="G11" s="341">
        <f>+SUMPRODUCT(('2019'!$G11:$R11)*('2019'!$G$5:$R$5&lt;=Master!$B$3)*($A11='2019'!$A$10:$A$66))</f>
        <v>346402002.88999999</v>
      </c>
      <c r="H11" s="341">
        <f>+SUMPRODUCT(('2019'!$G106:$R106)*('2019'!$G$5:$R$5&lt;=Master!$B$3))</f>
        <v>328065961.21941239</v>
      </c>
      <c r="I11" s="183">
        <f t="shared" ref="I11:I59" si="0">+G11-H11</f>
        <v>18336041.670587599</v>
      </c>
      <c r="J11" s="184">
        <f t="shared" ref="J11:J59" si="1">+IF(ISNUMBER(G11/H11-1),G11/H11-1,"…")</f>
        <v>5.5891326251687357E-2</v>
      </c>
      <c r="K11" s="341">
        <f>+SUMPRODUCT(('2018'!$G11:$R11)*('2018'!$G$5:$R$5&lt;=Master!$B$3))</f>
        <v>312155092.52999997</v>
      </c>
      <c r="L11" s="183">
        <f>+G11-K11</f>
        <v>34246910.360000014</v>
      </c>
      <c r="M11" s="185">
        <f t="shared" ref="M11:M59" si="2">+IF(ISNUMBER(G11/K11-1),G11/K11-1,"…")</f>
        <v>0.10971120183377647</v>
      </c>
      <c r="N11" s="341">
        <f>+INDEX('2019'!$1:$1048576,MATCH('Analytics - 2019'!$A11,'2019'!$A:$A,0),MATCH('Analytics - 2019'!$N$6,'2019'!$6:$6,0))</f>
        <v>106791818.52</v>
      </c>
      <c r="O11" s="341">
        <f>+INDEX('2019'!$1:$1048576,MATCH(CONCATENATE('Analytics - 2019'!$A11,"p"),'2019'!$A:$A,0),MATCH('Analytics - 2019'!$O$6,'2019'!$101:$101,0))</f>
        <v>102239095.0183354</v>
      </c>
      <c r="P11" s="183">
        <f t="shared" ref="P11:P59" si="3">+N11-O11</f>
        <v>4552723.5016645938</v>
      </c>
      <c r="Q11" s="184">
        <f t="shared" ref="Q11:Q59" si="4">+IF(ISNUMBER(N11/O11-1),N11/O11-1,"…")</f>
        <v>4.4530162369376569E-2</v>
      </c>
      <c r="R11" s="341">
        <f>+INDEX('2018'!$1:$1048576,MATCH('Analytics - 2019'!$A11,'2018'!$A:$A,0),MATCH('Analytics - 2019'!$R$6,'2018'!$6:$6,0))</f>
        <v>97799793.080000013</v>
      </c>
      <c r="S11" s="183">
        <f t="shared" ref="S11:S59" si="5">+N11-R11</f>
        <v>8992025.4399999827</v>
      </c>
      <c r="T11" s="185">
        <f t="shared" ref="T11:T59" si="6">+IF(ISNUMBER(N11/R11-1),N11/R11-1,"…")</f>
        <v>9.1943194937483375E-2</v>
      </c>
    </row>
    <row r="12" spans="1:20">
      <c r="A12" s="175">
        <v>7111</v>
      </c>
      <c r="B12" s="484" t="str">
        <f>+VLOOKUP($A12,Master!$D$27:$G$225,4,FALSE)</f>
        <v>Personal Income Tax</v>
      </c>
      <c r="C12" s="485"/>
      <c r="D12" s="485"/>
      <c r="E12" s="485"/>
      <c r="F12" s="485"/>
      <c r="G12" s="188">
        <f>+SUMPRODUCT(('2019'!$G12:$R12)*('2019'!$G$5:$R$5&lt;=Master!$B$3)*($A12='2019'!$A$10:$A$66))</f>
        <v>33414638.34</v>
      </c>
      <c r="H12" s="188">
        <f>+SUMPRODUCT(('2019'!$G107:$R107)*('2019'!$G$5:$R$5&lt;=Master!$B$3))</f>
        <v>29620470.940629281</v>
      </c>
      <c r="I12" s="189">
        <f t="shared" si="0"/>
        <v>3794167.3993707187</v>
      </c>
      <c r="J12" s="190">
        <f t="shared" si="1"/>
        <v>0.12809274393292647</v>
      </c>
      <c r="K12" s="188">
        <f>+SUMPRODUCT(('2018'!$G12:$R12)*('2018'!$G$5:$R$5&lt;=Master!$B$3))</f>
        <v>32295150.18</v>
      </c>
      <c r="L12" s="189">
        <f>+G12-K12</f>
        <v>1119488.1600000001</v>
      </c>
      <c r="M12" s="191">
        <f t="shared" si="2"/>
        <v>3.4664280975949424E-2</v>
      </c>
      <c r="N12" s="188">
        <f>+INDEX('2019'!$1:$1048576,MATCH('Analytics - 2019'!$A12,'2019'!$A:$A,0),MATCH('Analytics - 2019'!$N$6,'2019'!$6:$6,0))</f>
        <v>10767101.800000001</v>
      </c>
      <c r="O12" s="188">
        <f>+INDEX('2019'!$1:$1048576,MATCH(CONCATENATE('Analytics - 2019'!$A12,"p"),'2019'!$A:$A,0),MATCH('Analytics - 2019'!$O$6,'2019'!$101:$101,0))</f>
        <v>8926461.2777662594</v>
      </c>
      <c r="P12" s="189">
        <f t="shared" si="3"/>
        <v>1840640.5222337414</v>
      </c>
      <c r="Q12" s="190">
        <f t="shared" si="4"/>
        <v>0.20620047126831209</v>
      </c>
      <c r="R12" s="188">
        <f>+INDEX('2018'!$1:$1048576,MATCH('Analytics - 2019'!$A12,'2018'!$A:$A,0),MATCH('Analytics - 2019'!$R$6,'2018'!$6:$6,0))</f>
        <v>9899613.5099999998</v>
      </c>
      <c r="S12" s="189">
        <f t="shared" si="5"/>
        <v>867488.29000000097</v>
      </c>
      <c r="T12" s="191">
        <f t="shared" si="6"/>
        <v>8.7628500761541384E-2</v>
      </c>
    </row>
    <row r="13" spans="1:20">
      <c r="A13" s="175">
        <v>7112</v>
      </c>
      <c r="B13" s="484" t="str">
        <f>+VLOOKUP($A13,Master!$D$27:$G$225,4,FALSE)</f>
        <v>Corporate Income Tax</v>
      </c>
      <c r="C13" s="485"/>
      <c r="D13" s="485"/>
      <c r="E13" s="485"/>
      <c r="F13" s="485"/>
      <c r="G13" s="188">
        <f>+SUMPRODUCT(('2019'!$G13:$R13)*('2019'!$G$5:$R$5&lt;=Master!$B$3)*($A13='2019'!$A$10:$A$66))</f>
        <v>45773490.659999996</v>
      </c>
      <c r="H13" s="188">
        <f>+SUMPRODUCT(('2019'!$G108:$R108)*('2019'!$G$5:$R$5&lt;=Master!$B$3))</f>
        <v>44735628.673708022</v>
      </c>
      <c r="I13" s="189">
        <f t="shared" si="0"/>
        <v>1037861.9862919748</v>
      </c>
      <c r="J13" s="190">
        <f t="shared" si="1"/>
        <v>2.3199897197419883E-2</v>
      </c>
      <c r="K13" s="188">
        <f>+SUMPRODUCT(('2018'!$G13:$R13)*('2018'!$G$5:$R$5&lt;=Master!$B$3))</f>
        <v>42475594.549999997</v>
      </c>
      <c r="L13" s="189">
        <f t="shared" ref="L13:L59" si="7">+G13-K13</f>
        <v>3297896.1099999994</v>
      </c>
      <c r="M13" s="191">
        <f t="shared" si="2"/>
        <v>7.7642141209298243E-2</v>
      </c>
      <c r="N13" s="188">
        <f>+INDEX('2019'!$1:$1048576,MATCH('Analytics - 2019'!$A13,'2019'!$A:$A,0),MATCH('Analytics - 2019'!$N$6,'2019'!$6:$6,0))</f>
        <v>20408432.98</v>
      </c>
      <c r="O13" s="188">
        <f>+INDEX('2019'!$1:$1048576,MATCH(CONCATENATE('Analytics - 2019'!$A13,"p"),'2019'!$A:$A,0),MATCH('Analytics - 2019'!$O$6,'2019'!$101:$101,0))</f>
        <v>19058662.940981645</v>
      </c>
      <c r="P13" s="189">
        <f t="shared" si="3"/>
        <v>1349770.0390183553</v>
      </c>
      <c r="Q13" s="190">
        <f t="shared" si="4"/>
        <v>7.0821864219863917E-2</v>
      </c>
      <c r="R13" s="188">
        <f>+INDEX('2018'!$1:$1048576,MATCH('Analytics - 2019'!$A13,'2018'!$A:$A,0),MATCH('Analytics - 2019'!$R$6,'2018'!$6:$6,0))</f>
        <v>18095823.48</v>
      </c>
      <c r="S13" s="189">
        <f t="shared" si="5"/>
        <v>2312609.5</v>
      </c>
      <c r="T13" s="191">
        <f t="shared" si="6"/>
        <v>0.12779796965614532</v>
      </c>
    </row>
    <row r="14" spans="1:20">
      <c r="A14" s="175">
        <v>7113</v>
      </c>
      <c r="B14" s="484" t="str">
        <f>+VLOOKUP($A14,Master!$D$27:$G$225,4,FALSE)</f>
        <v xml:space="preserve">Taxes on Sales of Property </v>
      </c>
      <c r="C14" s="485"/>
      <c r="D14" s="485"/>
      <c r="E14" s="485"/>
      <c r="F14" s="485"/>
      <c r="G14" s="188">
        <f>+SUMPRODUCT(('2019'!$G14:$R14)*('2019'!$G$5:$R$5&lt;=Master!$B$3)*($A14='2019'!$A$10:$A$66))</f>
        <v>638523.46</v>
      </c>
      <c r="H14" s="188">
        <f>+SUMPRODUCT(('2019'!$G109:$R109)*('2019'!$G$5:$R$5&lt;=Master!$B$3))</f>
        <v>547060.05006175442</v>
      </c>
      <c r="I14" s="189">
        <f t="shared" si="0"/>
        <v>91463.409938245546</v>
      </c>
      <c r="J14" s="190">
        <f t="shared" si="1"/>
        <v>0.16719080460713731</v>
      </c>
      <c r="K14" s="188">
        <f>+SUMPRODUCT(('2018'!$G14:$R14)*('2018'!$G$5:$R$5&lt;=Master!$B$3))</f>
        <v>530755.94999999995</v>
      </c>
      <c r="L14" s="189">
        <f t="shared" si="7"/>
        <v>107767.51000000001</v>
      </c>
      <c r="M14" s="191">
        <f t="shared" si="2"/>
        <v>0.2030453167788322</v>
      </c>
      <c r="N14" s="188">
        <f>+INDEX('2019'!$1:$1048576,MATCH('Analytics - 2019'!$A14,'2019'!$A:$A,0),MATCH('Analytics - 2019'!$N$6,'2019'!$6:$6,0))</f>
        <v>204359.36</v>
      </c>
      <c r="O14" s="188">
        <f>+INDEX('2019'!$1:$1048576,MATCH(CONCATENATE('Analytics - 2019'!$A14,"p"),'2019'!$A:$A,0),MATCH('Analytics - 2019'!$O$6,'2019'!$101:$101,0))</f>
        <v>121004.94574649777</v>
      </c>
      <c r="P14" s="189">
        <f t="shared" si="3"/>
        <v>83354.414253502211</v>
      </c>
      <c r="Q14" s="190">
        <f t="shared" si="4"/>
        <v>0.68885130057516442</v>
      </c>
      <c r="R14" s="188">
        <f>+INDEX('2018'!$1:$1048576,MATCH('Analytics - 2019'!$A14,'2018'!$A:$A,0),MATCH('Analytics - 2019'!$R$6,'2018'!$6:$6,0))</f>
        <v>117398.62</v>
      </c>
      <c r="S14" s="189">
        <f t="shared" si="5"/>
        <v>86960.739999999991</v>
      </c>
      <c r="T14" s="191">
        <f t="shared" si="6"/>
        <v>0.74073051284589209</v>
      </c>
    </row>
    <row r="15" spans="1:20">
      <c r="A15" s="175">
        <v>7114</v>
      </c>
      <c r="B15" s="484" t="str">
        <f>+VLOOKUP($A15,Master!$D$27:$G$225,4,FALSE)</f>
        <v>Value Added Tax</v>
      </c>
      <c r="C15" s="485"/>
      <c r="D15" s="485"/>
      <c r="E15" s="485"/>
      <c r="F15" s="485"/>
      <c r="G15" s="188">
        <f>+SUMPRODUCT(('2019'!$G15:$R15)*('2019'!$G$5:$R$5&lt;=Master!$B$3)*($A15='2019'!$A$10:$A$66))</f>
        <v>194446645.22</v>
      </c>
      <c r="H15" s="188">
        <f>+SUMPRODUCT(('2019'!$G110:$R110)*('2019'!$G$5:$R$5&lt;=Master!$B$3))</f>
        <v>181958723.59087908</v>
      </c>
      <c r="I15" s="189">
        <f t="shared" si="0"/>
        <v>12487921.629120916</v>
      </c>
      <c r="J15" s="190">
        <f t="shared" si="1"/>
        <v>6.8630518958789244E-2</v>
      </c>
      <c r="K15" s="188">
        <f>+SUMPRODUCT(('2018'!$G15:$R15)*('2018'!$G$5:$R$5&lt;=Master!$B$3))</f>
        <v>170050212.05000001</v>
      </c>
      <c r="L15" s="189">
        <f t="shared" si="7"/>
        <v>24396433.169999987</v>
      </c>
      <c r="M15" s="191">
        <f t="shared" si="2"/>
        <v>0.14346605556026404</v>
      </c>
      <c r="N15" s="188">
        <f>+INDEX('2019'!$1:$1048576,MATCH('Analytics - 2019'!$A15,'2019'!$A:$A,0),MATCH('Analytics - 2019'!$N$6,'2019'!$6:$6,0))</f>
        <v>55142838.460000001</v>
      </c>
      <c r="O15" s="188">
        <f>+INDEX('2019'!$1:$1048576,MATCH(CONCATENATE('Analytics - 2019'!$A15,"p"),'2019'!$A:$A,0),MATCH('Analytics - 2019'!$O$6,'2019'!$101:$101,0))</f>
        <v>53276433.401434079</v>
      </c>
      <c r="P15" s="189">
        <f t="shared" si="3"/>
        <v>1866405.0585659221</v>
      </c>
      <c r="Q15" s="190">
        <f t="shared" si="4"/>
        <v>3.5032470069884303E-2</v>
      </c>
      <c r="R15" s="188">
        <f>+INDEX('2018'!$1:$1048576,MATCH('Analytics - 2019'!$A15,'2018'!$A:$A,0),MATCH('Analytics - 2019'!$R$6,'2018'!$6:$6,0))</f>
        <v>50343037.649999999</v>
      </c>
      <c r="S15" s="189">
        <f t="shared" si="5"/>
        <v>4799800.8100000024</v>
      </c>
      <c r="T15" s="191">
        <f t="shared" si="6"/>
        <v>9.5341898980543682E-2</v>
      </c>
    </row>
    <row r="16" spans="1:20">
      <c r="A16" s="175">
        <v>7115</v>
      </c>
      <c r="B16" s="484" t="str">
        <f>+VLOOKUP($A16,Master!$D$27:$G$225,4,FALSE)</f>
        <v>Excises</v>
      </c>
      <c r="C16" s="485"/>
      <c r="D16" s="485"/>
      <c r="E16" s="485"/>
      <c r="F16" s="485"/>
      <c r="G16" s="188">
        <f>+SUMPRODUCT(('2019'!$G16:$R16)*('2019'!$G$5:$R$5&lt;=Master!$B$3)*($A16='2019'!$A$10:$A$66))</f>
        <v>58468744.810000002</v>
      </c>
      <c r="H16" s="188">
        <f>+SUMPRODUCT(('2019'!$G111:$R111)*('2019'!$G$5:$R$5&lt;=Master!$B$3))</f>
        <v>60883295.853211537</v>
      </c>
      <c r="I16" s="189">
        <f t="shared" si="0"/>
        <v>-2414551.0432115346</v>
      </c>
      <c r="J16" s="190">
        <f t="shared" si="1"/>
        <v>-3.9658678285633076E-2</v>
      </c>
      <c r="K16" s="188">
        <f>+SUMPRODUCT(('2018'!$G16:$R16)*('2018'!$G$5:$R$5&lt;=Master!$B$3))</f>
        <v>56757400.090000004</v>
      </c>
      <c r="L16" s="189">
        <f t="shared" si="7"/>
        <v>1711344.7199999988</v>
      </c>
      <c r="M16" s="191">
        <f t="shared" si="2"/>
        <v>3.0151922344686888E-2</v>
      </c>
      <c r="N16" s="188">
        <f>+INDEX('2019'!$1:$1048576,MATCH('Analytics - 2019'!$A16,'2019'!$A:$A,0),MATCH('Analytics - 2019'!$N$6,'2019'!$6:$6,0))</f>
        <v>16826313.73</v>
      </c>
      <c r="O16" s="188">
        <f>+INDEX('2019'!$1:$1048576,MATCH(CONCATENATE('Analytics - 2019'!$A16,"p"),'2019'!$A:$A,0),MATCH('Analytics - 2019'!$O$6,'2019'!$101:$101,0))</f>
        <v>17858265.727539971</v>
      </c>
      <c r="P16" s="189">
        <f t="shared" si="3"/>
        <v>-1031951.997539971</v>
      </c>
      <c r="Q16" s="190">
        <f t="shared" si="4"/>
        <v>-5.7785678255898865E-2</v>
      </c>
      <c r="R16" s="188">
        <f>+INDEX('2018'!$1:$1048576,MATCH('Analytics - 2019'!$A16,'2018'!$A:$A,0),MATCH('Analytics - 2019'!$R$6,'2018'!$6:$6,0))</f>
        <v>16425170.310000001</v>
      </c>
      <c r="S16" s="189">
        <f t="shared" si="5"/>
        <v>401143.41999999993</v>
      </c>
      <c r="T16" s="191">
        <f t="shared" si="6"/>
        <v>2.4422481619918113E-2</v>
      </c>
    </row>
    <row r="17" spans="1:20">
      <c r="A17" s="175">
        <v>7116</v>
      </c>
      <c r="B17" s="484" t="str">
        <f>+VLOOKUP($A17,Master!$D$27:$G$225,4,FALSE)</f>
        <v>Tax on International Trade and Transactions</v>
      </c>
      <c r="C17" s="485"/>
      <c r="D17" s="485"/>
      <c r="E17" s="485"/>
      <c r="F17" s="485"/>
      <c r="G17" s="188">
        <f>+SUMPRODUCT(('2019'!$G17:$R17)*('2019'!$G$5:$R$5&lt;=Master!$B$3)*($A17='2019'!$A$10:$A$66))</f>
        <v>8152865.9000000004</v>
      </c>
      <c r="H17" s="188">
        <f>+SUMPRODUCT(('2019'!$G112:$R112)*('2019'!$G$5:$R$5&lt;=Master!$B$3))</f>
        <v>7508670.1561132371</v>
      </c>
      <c r="I17" s="189">
        <f t="shared" si="0"/>
        <v>644195.74388676323</v>
      </c>
      <c r="J17" s="190">
        <f t="shared" si="1"/>
        <v>8.5793586679564937E-2</v>
      </c>
      <c r="K17" s="188">
        <f>+SUMPRODUCT(('2018'!$G17:$R17)*('2018'!$G$5:$R$5&lt;=Master!$B$3))</f>
        <v>7318192.1399999997</v>
      </c>
      <c r="L17" s="189">
        <f t="shared" si="7"/>
        <v>834673.76000000071</v>
      </c>
      <c r="M17" s="191">
        <f t="shared" si="2"/>
        <v>0.11405463863647625</v>
      </c>
      <c r="N17" s="188">
        <f>+INDEX('2019'!$1:$1048576,MATCH('Analytics - 2019'!$A17,'2019'!$A:$A,0),MATCH('Analytics - 2019'!$N$6,'2019'!$6:$6,0))</f>
        <v>2531899.16</v>
      </c>
      <c r="O17" s="188">
        <f>+INDEX('2019'!$1:$1048576,MATCH(CONCATENATE('Analytics - 2019'!$A17,"p"),'2019'!$A:$A,0),MATCH('Analytics - 2019'!$O$6,'2019'!$101:$101,0))</f>
        <v>2249532.0000431878</v>
      </c>
      <c r="P17" s="189">
        <f t="shared" si="3"/>
        <v>282367.15995681239</v>
      </c>
      <c r="Q17" s="190">
        <f t="shared" si="4"/>
        <v>0.12552262423979355</v>
      </c>
      <c r="R17" s="188">
        <f>+INDEX('2018'!$1:$1048576,MATCH('Analytics - 2019'!$A17,'2018'!$A:$A,0),MATCH('Analytics - 2019'!$R$6,'2018'!$6:$6,0))</f>
        <v>2192466.4500000002</v>
      </c>
      <c r="S17" s="189">
        <f t="shared" si="5"/>
        <v>339432.70999999996</v>
      </c>
      <c r="T17" s="191">
        <f t="shared" si="6"/>
        <v>0.15481774418942651</v>
      </c>
    </row>
    <row r="18" spans="1:20">
      <c r="A18" s="175">
        <v>7118</v>
      </c>
      <c r="B18" s="484" t="str">
        <f>+VLOOKUP($A18,Master!$D$27:$G$225,4,FALSE)</f>
        <v>Other Republic Taxes</v>
      </c>
      <c r="C18" s="485"/>
      <c r="D18" s="485"/>
      <c r="E18" s="485"/>
      <c r="F18" s="485"/>
      <c r="G18" s="188">
        <f>+SUMPRODUCT(('2019'!$G18:$R18)*('2019'!$G$5:$R$5&lt;=Master!$B$3)*($A18='2019'!$A$10:$A$66))</f>
        <v>5507094.5</v>
      </c>
      <c r="H18" s="188">
        <f>+SUMPRODUCT(('2019'!$G113:$R113)*('2019'!$G$5:$R$5&lt;=Master!$B$3))</f>
        <v>2812111.9548094659</v>
      </c>
      <c r="I18" s="189">
        <f t="shared" si="0"/>
        <v>2694982.5451905341</v>
      </c>
      <c r="J18" s="190">
        <f t="shared" si="1"/>
        <v>0.95834824093023419</v>
      </c>
      <c r="K18" s="188">
        <f>+SUMPRODUCT(('2018'!$G18:$R18)*('2018'!$G$5:$R$5&lt;=Master!$B$3))</f>
        <v>2727787.5700000003</v>
      </c>
      <c r="L18" s="189">
        <f t="shared" si="7"/>
        <v>2779306.9299999997</v>
      </c>
      <c r="M18" s="191">
        <f t="shared" si="2"/>
        <v>1.0188868666191624</v>
      </c>
      <c r="N18" s="188">
        <f>+INDEX('2019'!$1:$1048576,MATCH('Analytics - 2019'!$A18,'2019'!$A:$A,0),MATCH('Analytics - 2019'!$N$6,'2019'!$6:$6,0))</f>
        <v>910873.03</v>
      </c>
      <c r="O18" s="188">
        <f>+INDEX('2019'!$1:$1048576,MATCH(CONCATENATE('Analytics - 2019'!$A18,"p"),'2019'!$A:$A,0),MATCH('Analytics - 2019'!$O$6,'2019'!$101:$101,0))</f>
        <v>748734.72482375184</v>
      </c>
      <c r="P18" s="189">
        <f t="shared" si="3"/>
        <v>162138.30517624819</v>
      </c>
      <c r="Q18" s="190">
        <f t="shared" si="4"/>
        <v>0.21654973357141238</v>
      </c>
      <c r="R18" s="188">
        <f>+INDEX('2018'!$1:$1048576,MATCH('Analytics - 2019'!$A18,'2018'!$A:$A,0),MATCH('Analytics - 2019'!$R$6,'2018'!$6:$6,0))</f>
        <v>726283.06</v>
      </c>
      <c r="S18" s="189">
        <f t="shared" si="5"/>
        <v>184589.96999999997</v>
      </c>
      <c r="T18" s="191">
        <f t="shared" si="6"/>
        <v>0.25415706377620872</v>
      </c>
    </row>
    <row r="19" spans="1:20">
      <c r="A19" s="175">
        <v>712</v>
      </c>
      <c r="B19" s="494" t="str">
        <f>+VLOOKUP($A19,Master!$D$27:$G$225,4,FALSE)</f>
        <v>Contributions</v>
      </c>
      <c r="C19" s="495"/>
      <c r="D19" s="495"/>
      <c r="E19" s="495"/>
      <c r="F19" s="495"/>
      <c r="G19" s="194">
        <f>+SUMPRODUCT(('2019'!$G19:$R19)*('2019'!$G$5:$R$5&lt;=Master!$B$3)*($A19='2019'!$A$10:$A$66))</f>
        <v>149749738.97999999</v>
      </c>
      <c r="H19" s="194">
        <f>+SUMPRODUCT(('2019'!$G114:$R114)*('2019'!$G$5:$R$5&lt;=Master!$B$3))</f>
        <v>137314202.49985558</v>
      </c>
      <c r="I19" s="195">
        <f t="shared" si="0"/>
        <v>12435536.480144411</v>
      </c>
      <c r="J19" s="196">
        <f t="shared" si="1"/>
        <v>9.0562638487140301E-2</v>
      </c>
      <c r="K19" s="194">
        <f>+SUMPRODUCT(('2018'!$G19:$R19)*('2018'!$G$5:$R$5&lt;=Master!$B$3))</f>
        <v>135593999.03</v>
      </c>
      <c r="L19" s="195">
        <f t="shared" si="7"/>
        <v>14155739.949999988</v>
      </c>
      <c r="M19" s="197">
        <f t="shared" si="2"/>
        <v>0.10439798258968702</v>
      </c>
      <c r="N19" s="194">
        <f>+INDEX('2019'!$1:$1048576,MATCH('Analytics - 2019'!$A19,'2019'!$A:$A,0),MATCH('Analytics - 2019'!$N$6,'2019'!$6:$6,0))</f>
        <v>50290988.939999998</v>
      </c>
      <c r="O19" s="194">
        <f>+INDEX('2019'!$1:$1048576,MATCH(CONCATENATE('Analytics - 2019'!$A19,"p"),'2019'!$A:$A,0),MATCH('Analytics - 2019'!$O$6,'2019'!$101:$101,0))</f>
        <v>41553058.121337146</v>
      </c>
      <c r="P19" s="195">
        <f t="shared" si="3"/>
        <v>8737930.818662852</v>
      </c>
      <c r="Q19" s="196">
        <f t="shared" si="4"/>
        <v>0.21028370025492782</v>
      </c>
      <c r="R19" s="194">
        <f>+INDEX('2018'!$1:$1048576,MATCH('Analytics - 2019'!$A19,'2018'!$A:$A,0),MATCH('Analytics - 2019'!$R$6,'2018'!$6:$6,0))</f>
        <v>41029948</v>
      </c>
      <c r="S19" s="195">
        <f t="shared" si="5"/>
        <v>9261040.9399999976</v>
      </c>
      <c r="T19" s="197">
        <f t="shared" si="6"/>
        <v>0.22571417687392636</v>
      </c>
    </row>
    <row r="20" spans="1:20">
      <c r="A20" s="175">
        <v>7121</v>
      </c>
      <c r="B20" s="484" t="str">
        <f>+VLOOKUP($A20,Master!$D$27:$G$225,4,FALSE)</f>
        <v>Contributions for Pension and Disability Insurance</v>
      </c>
      <c r="C20" s="485"/>
      <c r="D20" s="485"/>
      <c r="E20" s="485"/>
      <c r="F20" s="485"/>
      <c r="G20" s="188">
        <f>+SUMPRODUCT(('2019'!$G20:$R20)*('2019'!$G$5:$R$5&lt;=Master!$B$3)*($A20='2019'!$A$10:$A$66))</f>
        <v>87863904.430000007</v>
      </c>
      <c r="H20" s="188">
        <f>+SUMPRODUCT(('2019'!$G115:$R115)*('2019'!$G$5:$R$5&lt;=Master!$B$3))</f>
        <v>83634917.611589462</v>
      </c>
      <c r="I20" s="189">
        <f t="shared" si="0"/>
        <v>4228986.8184105456</v>
      </c>
      <c r="J20" s="190">
        <f t="shared" si="1"/>
        <v>5.0564847066036034E-2</v>
      </c>
      <c r="K20" s="188">
        <f>+SUMPRODUCT(('2018'!$G20:$R20)*('2018'!$G$5:$R$5&lt;=Master!$B$3))</f>
        <v>82413612.469999999</v>
      </c>
      <c r="L20" s="189">
        <f t="shared" si="7"/>
        <v>5450291.9600000083</v>
      </c>
      <c r="M20" s="191">
        <f t="shared" si="2"/>
        <v>6.6133394674138479E-2</v>
      </c>
      <c r="N20" s="188">
        <f>+INDEX('2019'!$1:$1048576,MATCH('Analytics - 2019'!$A20,'2019'!$A:$A,0),MATCH('Analytics - 2019'!$N$6,'2019'!$6:$6,0))</f>
        <v>29650595.870000001</v>
      </c>
      <c r="O20" s="188">
        <f>+INDEX('2019'!$1:$1048576,MATCH(CONCATENATE('Analytics - 2019'!$A20,"p"),'2019'!$A:$A,0),MATCH('Analytics - 2019'!$O$6,'2019'!$101:$101,0))</f>
        <v>25260565.437348519</v>
      </c>
      <c r="P20" s="189">
        <f t="shared" si="3"/>
        <v>4390030.4326514825</v>
      </c>
      <c r="Q20" s="190">
        <f t="shared" si="4"/>
        <v>0.17378987194644058</v>
      </c>
      <c r="R20" s="188">
        <f>+INDEX('2018'!$1:$1048576,MATCH('Analytics - 2019'!$A20,'2018'!$A:$A,0),MATCH('Analytics - 2019'!$R$6,'2018'!$6:$6,0))</f>
        <v>24891690.100000001</v>
      </c>
      <c r="S20" s="189">
        <f t="shared" si="5"/>
        <v>4758905.7699999996</v>
      </c>
      <c r="T20" s="191">
        <f t="shared" si="6"/>
        <v>0.19118451784035351</v>
      </c>
    </row>
    <row r="21" spans="1:20">
      <c r="A21" s="175">
        <v>7122</v>
      </c>
      <c r="B21" s="484" t="str">
        <f>+VLOOKUP($A21,Master!$D$27:$G$225,4,FALSE)</f>
        <v>Contributions for Health Insurance</v>
      </c>
      <c r="C21" s="485"/>
      <c r="D21" s="485"/>
      <c r="E21" s="485"/>
      <c r="F21" s="485"/>
      <c r="G21" s="188">
        <f>+SUMPRODUCT(('2019'!$G21:$R21)*('2019'!$G$5:$R$5&lt;=Master!$B$3)*($A21='2019'!$A$10:$A$66))</f>
        <v>53787959.429999992</v>
      </c>
      <c r="H21" s="188">
        <f>+SUMPRODUCT(('2019'!$G116:$R116)*('2019'!$G$5:$R$5&lt;=Master!$B$3))</f>
        <v>46829728.372111291</v>
      </c>
      <c r="I21" s="189">
        <f t="shared" si="0"/>
        <v>6958231.0578887016</v>
      </c>
      <c r="J21" s="190">
        <f t="shared" si="1"/>
        <v>0.148585765917715</v>
      </c>
      <c r="K21" s="188">
        <f>+SUMPRODUCT(('2018'!$G21:$R21)*('2018'!$G$5:$R$5&lt;=Master!$B$3))</f>
        <v>46428444.410000004</v>
      </c>
      <c r="L21" s="189">
        <f t="shared" si="7"/>
        <v>7359515.0199999884</v>
      </c>
      <c r="M21" s="191">
        <f t="shared" si="2"/>
        <v>0.15851306485760386</v>
      </c>
      <c r="N21" s="188">
        <f>+INDEX('2019'!$1:$1048576,MATCH('Analytics - 2019'!$A21,'2019'!$A:$A,0),MATCH('Analytics - 2019'!$N$6,'2019'!$6:$6,0))</f>
        <v>17925167.550000001</v>
      </c>
      <c r="O21" s="188">
        <f>+INDEX('2019'!$1:$1048576,MATCH(CONCATENATE('Analytics - 2019'!$A21,"p"),'2019'!$A:$A,0),MATCH('Analytics - 2019'!$O$6,'2019'!$101:$101,0))</f>
        <v>14198899.515922202</v>
      </c>
      <c r="P21" s="189">
        <f t="shared" si="3"/>
        <v>3726268.0340777989</v>
      </c>
      <c r="Q21" s="190">
        <f t="shared" si="4"/>
        <v>0.262433580144664</v>
      </c>
      <c r="R21" s="188">
        <f>+INDEX('2018'!$1:$1048576,MATCH('Analytics - 2019'!$A21,'2018'!$A:$A,0),MATCH('Analytics - 2019'!$R$6,'2018'!$6:$6,0))</f>
        <v>14077229.140000001</v>
      </c>
      <c r="S21" s="189">
        <f t="shared" si="5"/>
        <v>3847938.41</v>
      </c>
      <c r="T21" s="191">
        <f t="shared" si="6"/>
        <v>0.27334487289591713</v>
      </c>
    </row>
    <row r="22" spans="1:20">
      <c r="A22" s="175">
        <v>7123</v>
      </c>
      <c r="B22" s="484" t="str">
        <f>+VLOOKUP($A22,Master!$D$27:$G$225,4,FALSE)</f>
        <v>Contributions for  Unemployment Insurance</v>
      </c>
      <c r="C22" s="485"/>
      <c r="D22" s="485"/>
      <c r="E22" s="485"/>
      <c r="F22" s="485"/>
      <c r="G22" s="188">
        <f>+SUMPRODUCT(('2019'!$G22:$R22)*('2019'!$G$5:$R$5&lt;=Master!$B$3)*($A22='2019'!$A$10:$A$66))</f>
        <v>4131685.75</v>
      </c>
      <c r="H22" s="188">
        <f>+SUMPRODUCT(('2019'!$G117:$R117)*('2019'!$G$5:$R$5&lt;=Master!$B$3))</f>
        <v>3345804.4881414305</v>
      </c>
      <c r="I22" s="189">
        <f t="shared" si="0"/>
        <v>785881.26185856946</v>
      </c>
      <c r="J22" s="190">
        <f t="shared" si="1"/>
        <v>0.23488559019033439</v>
      </c>
      <c r="K22" s="188">
        <f>+SUMPRODUCT(('2018'!$G22:$R22)*('2018'!$G$5:$R$5&lt;=Master!$B$3))</f>
        <v>3479912.97</v>
      </c>
      <c r="L22" s="189">
        <f t="shared" si="7"/>
        <v>651772.7799999998</v>
      </c>
      <c r="M22" s="191">
        <f t="shared" si="2"/>
        <v>0.187295712743069</v>
      </c>
      <c r="N22" s="188">
        <f>+INDEX('2019'!$1:$1048576,MATCH('Analytics - 2019'!$A22,'2019'!$A:$A,0),MATCH('Analytics - 2019'!$N$6,'2019'!$6:$6,0))</f>
        <v>1375720.59</v>
      </c>
      <c r="O22" s="188">
        <f>+INDEX('2019'!$1:$1048576,MATCH(CONCATENATE('Analytics - 2019'!$A22,"p"),'2019'!$A:$A,0),MATCH('Analytics - 2019'!$O$6,'2019'!$101:$101,0))</f>
        <v>996973.05599738541</v>
      </c>
      <c r="P22" s="189">
        <f t="shared" si="3"/>
        <v>378747.53400261467</v>
      </c>
      <c r="Q22" s="190">
        <f t="shared" si="4"/>
        <v>0.37989746234787702</v>
      </c>
      <c r="R22" s="188">
        <f>+INDEX('2018'!$1:$1048576,MATCH('Analytics - 2019'!$A22,'2018'!$A:$A,0),MATCH('Analytics - 2019'!$R$6,'2018'!$6:$6,0))</f>
        <v>1036934.31</v>
      </c>
      <c r="S22" s="189">
        <f t="shared" si="5"/>
        <v>338786.28</v>
      </c>
      <c r="T22" s="191">
        <f t="shared" si="6"/>
        <v>0.32671913421400833</v>
      </c>
    </row>
    <row r="23" spans="1:20">
      <c r="A23" s="175">
        <v>7124</v>
      </c>
      <c r="B23" s="484" t="str">
        <f>+VLOOKUP($A23,Master!$D$27:$G$225,4,FALSE)</f>
        <v>Other contributions</v>
      </c>
      <c r="C23" s="485"/>
      <c r="D23" s="485"/>
      <c r="E23" s="485"/>
      <c r="F23" s="485"/>
      <c r="G23" s="188">
        <f>+SUMPRODUCT(('2019'!$G23:$R23)*('2019'!$G$5:$R$5&lt;=Master!$B$3)*($A23='2019'!$A$10:$A$66))</f>
        <v>3966189.37</v>
      </c>
      <c r="H23" s="188">
        <f>+SUMPRODUCT(('2019'!$G118:$R118)*('2019'!$G$5:$R$5&lt;=Master!$B$3))</f>
        <v>3503752.0280133928</v>
      </c>
      <c r="I23" s="189">
        <f t="shared" si="0"/>
        <v>462437.34198660729</v>
      </c>
      <c r="J23" s="190">
        <f t="shared" si="1"/>
        <v>0.13198346751976242</v>
      </c>
      <c r="K23" s="188">
        <f>+SUMPRODUCT(('2018'!$G23:$R23)*('2018'!$G$5:$R$5&lt;=Master!$B$3))</f>
        <v>3272029.1799999997</v>
      </c>
      <c r="L23" s="189">
        <f t="shared" si="7"/>
        <v>694160.19000000041</v>
      </c>
      <c r="M23" s="191">
        <f t="shared" si="2"/>
        <v>0.21214975533928482</v>
      </c>
      <c r="N23" s="188">
        <f>+INDEX('2019'!$1:$1048576,MATCH('Analytics - 2019'!$A23,'2019'!$A:$A,0),MATCH('Analytics - 2019'!$N$6,'2019'!$6:$6,0))</f>
        <v>1339504.93</v>
      </c>
      <c r="O23" s="188">
        <f>+INDEX('2019'!$1:$1048576,MATCH(CONCATENATE('Analytics - 2019'!$A23,"p"),'2019'!$A:$A,0),MATCH('Analytics - 2019'!$O$6,'2019'!$101:$101,0))</f>
        <v>1096620.1120690373</v>
      </c>
      <c r="P23" s="189">
        <f t="shared" si="3"/>
        <v>242884.81793096266</v>
      </c>
      <c r="Q23" s="190">
        <f t="shared" si="4"/>
        <v>0.2214849201267175</v>
      </c>
      <c r="R23" s="188">
        <f>+INDEX('2018'!$1:$1048576,MATCH('Analytics - 2019'!$A23,'2018'!$A:$A,0),MATCH('Analytics - 2019'!$R$6,'2018'!$6:$6,0))</f>
        <v>1024094.45</v>
      </c>
      <c r="S23" s="189">
        <f t="shared" si="5"/>
        <v>315410.48</v>
      </c>
      <c r="T23" s="191">
        <f t="shared" si="6"/>
        <v>0.30798963904159415</v>
      </c>
    </row>
    <row r="24" spans="1:20">
      <c r="A24" s="175">
        <v>713</v>
      </c>
      <c r="B24" s="486" t="str">
        <f>+VLOOKUP($A24,Master!$D$27:$G$225,4,FALSE)</f>
        <v>Duties</v>
      </c>
      <c r="C24" s="487"/>
      <c r="D24" s="487"/>
      <c r="E24" s="487"/>
      <c r="F24" s="487"/>
      <c r="G24" s="200">
        <f>+SUMPRODUCT(('2019'!$G24:$R24)*('2019'!$G$5:$R$5&lt;=Master!$B$3)*($A24='2019'!$A$10:$A$66))</f>
        <v>4249141.03</v>
      </c>
      <c r="H24" s="200">
        <f>+SUMPRODUCT(('2019'!$G119:$R119)*('2019'!$G$5:$R$5&lt;=Master!$B$3))</f>
        <v>3541399.2643829715</v>
      </c>
      <c r="I24" s="201">
        <f t="shared" si="0"/>
        <v>707741.76561702881</v>
      </c>
      <c r="J24" s="202">
        <f t="shared" si="1"/>
        <v>0.19984805800775485</v>
      </c>
      <c r="K24" s="200">
        <f>+SUMPRODUCT(('2018'!$G24:$R24)*('2018'!$G$5:$R$5&lt;=Master!$B$3))</f>
        <v>4118004.18</v>
      </c>
      <c r="L24" s="201">
        <f t="shared" si="7"/>
        <v>131136.85000000009</v>
      </c>
      <c r="M24" s="203">
        <f t="shared" si="2"/>
        <v>3.1844758836548914E-2</v>
      </c>
      <c r="N24" s="200">
        <f>+INDEX('2019'!$1:$1048576,MATCH('Analytics - 2019'!$A24,'2019'!$A:$A,0),MATCH('Analytics - 2019'!$N$6,'2019'!$6:$6,0))</f>
        <v>1290371.49</v>
      </c>
      <c r="O24" s="200">
        <f>+INDEX('2019'!$1:$1048576,MATCH(CONCATENATE('Analytics - 2019'!$A24,"p"),'2019'!$A:$A,0),MATCH('Analytics - 2019'!$O$6,'2019'!$101:$101,0))</f>
        <v>1037067.5822273893</v>
      </c>
      <c r="P24" s="201">
        <f t="shared" si="3"/>
        <v>253303.90777261066</v>
      </c>
      <c r="Q24" s="202">
        <f t="shared" si="4"/>
        <v>0.24425014542308854</v>
      </c>
      <c r="R24" s="200">
        <f>+INDEX('2018'!$1:$1048576,MATCH('Analytics - 2019'!$A24,'2018'!$A:$A,0),MATCH('Analytics - 2019'!$R$6,'2018'!$6:$6,0))</f>
        <v>1198538.77</v>
      </c>
      <c r="S24" s="201">
        <f t="shared" si="5"/>
        <v>91832.719999999972</v>
      </c>
      <c r="T24" s="203">
        <f t="shared" si="6"/>
        <v>7.6620566892466879E-2</v>
      </c>
    </row>
    <row r="25" spans="1:20">
      <c r="A25" s="175">
        <v>714</v>
      </c>
      <c r="B25" s="486" t="str">
        <f>+VLOOKUP($A25,Master!$D$27:$G$225,4,FALSE)</f>
        <v>Fees</v>
      </c>
      <c r="C25" s="487"/>
      <c r="D25" s="487"/>
      <c r="E25" s="487"/>
      <c r="F25" s="487"/>
      <c r="G25" s="200">
        <f>+SUMPRODUCT(('2019'!$G25:$R25)*('2019'!$G$5:$R$5&lt;=Master!$B$3)*($A25='2019'!$A$10:$A$66))</f>
        <v>9575051.9900000002</v>
      </c>
      <c r="H25" s="200">
        <f>+SUMPRODUCT(('2019'!$G120:$R120)*('2019'!$G$5:$R$5&lt;=Master!$B$3))</f>
        <v>8744227.9314721338</v>
      </c>
      <c r="I25" s="201">
        <f t="shared" si="0"/>
        <v>830824.05852786638</v>
      </c>
      <c r="J25" s="202">
        <f t="shared" si="1"/>
        <v>9.5013998381443532E-2</v>
      </c>
      <c r="K25" s="200">
        <f>+SUMPRODUCT(('2018'!$G25:$R25)*('2018'!$G$5:$R$5&lt;=Master!$B$3))</f>
        <v>8051376.8699999992</v>
      </c>
      <c r="L25" s="201">
        <f t="shared" si="7"/>
        <v>1523675.120000001</v>
      </c>
      <c r="M25" s="203">
        <f t="shared" si="2"/>
        <v>0.18924404416806295</v>
      </c>
      <c r="N25" s="200">
        <f>+INDEX('2019'!$1:$1048576,MATCH('Analytics - 2019'!$A25,'2019'!$A:$A,0),MATCH('Analytics - 2019'!$N$6,'2019'!$6:$6,0))</f>
        <v>3310133.38</v>
      </c>
      <c r="O25" s="200">
        <f>+INDEX('2019'!$1:$1048576,MATCH(CONCATENATE('Analytics - 2019'!$A25,"p"),'2019'!$A:$A,0),MATCH('Analytics - 2019'!$O$6,'2019'!$101:$101,0))</f>
        <v>2520043.5685495138</v>
      </c>
      <c r="P25" s="201">
        <f t="shared" si="3"/>
        <v>790089.81145048607</v>
      </c>
      <c r="Q25" s="202">
        <f t="shared" si="4"/>
        <v>0.31352228243626978</v>
      </c>
      <c r="R25" s="200">
        <f>+INDEX('2018'!$1:$1048576,MATCH('Analytics - 2019'!$A25,'2018'!$A:$A,0),MATCH('Analytics - 2019'!$R$6,'2018'!$6:$6,0))</f>
        <v>2389766.7799999998</v>
      </c>
      <c r="S25" s="201">
        <f t="shared" si="5"/>
        <v>920366.60000000009</v>
      </c>
      <c r="T25" s="203">
        <f t="shared" si="6"/>
        <v>0.38512820903803857</v>
      </c>
    </row>
    <row r="26" spans="1:20">
      <c r="A26" s="175">
        <v>715</v>
      </c>
      <c r="B26" s="486" t="str">
        <f>+VLOOKUP($A26,Master!$D$27:$G$225,4,FALSE)</f>
        <v>Other revenues</v>
      </c>
      <c r="C26" s="487"/>
      <c r="D26" s="487"/>
      <c r="E26" s="487"/>
      <c r="F26" s="487"/>
      <c r="G26" s="200">
        <f>+SUMPRODUCT(('2019'!$G26:$R26)*('2019'!$G$5:$R$5&lt;=Master!$B$3)*($A26='2019'!$A$10:$A$66))</f>
        <v>9346628.0999999996</v>
      </c>
      <c r="H26" s="200">
        <f>+SUMPRODUCT(('2019'!$G121:$R121)*('2019'!$G$5:$R$5&lt;=Master!$B$3))</f>
        <v>11878848.386830753</v>
      </c>
      <c r="I26" s="201">
        <f t="shared" si="0"/>
        <v>-2532220.2868307531</v>
      </c>
      <c r="J26" s="202">
        <f t="shared" si="1"/>
        <v>-0.21317051993340097</v>
      </c>
      <c r="K26" s="200">
        <f>+SUMPRODUCT(('2018'!$G26:$R26)*('2018'!$G$5:$R$5&lt;=Master!$B$3))</f>
        <v>11509391.779999999</v>
      </c>
      <c r="L26" s="201">
        <f t="shared" si="7"/>
        <v>-2162763.6799999997</v>
      </c>
      <c r="M26" s="203">
        <f t="shared" si="2"/>
        <v>-0.18791294286795057</v>
      </c>
      <c r="N26" s="200">
        <f>+INDEX('2019'!$1:$1048576,MATCH('Analytics - 2019'!$A26,'2019'!$A:$A,0),MATCH('Analytics - 2019'!$N$6,'2019'!$6:$6,0))</f>
        <v>2385711.15</v>
      </c>
      <c r="O26" s="200">
        <f>+INDEX('2019'!$1:$1048576,MATCH(CONCATENATE('Analytics - 2019'!$A26,"p"),'2019'!$A:$A,0),MATCH('Analytics - 2019'!$O$6,'2019'!$101:$101,0))</f>
        <v>5548847.6983012091</v>
      </c>
      <c r="P26" s="201">
        <f t="shared" si="3"/>
        <v>-3163136.5483012092</v>
      </c>
      <c r="Q26" s="202">
        <f t="shared" si="4"/>
        <v>-0.57005286868291771</v>
      </c>
      <c r="R26" s="200">
        <f>+INDEX('2018'!$1:$1048576,MATCH('Analytics - 2019'!$A26,'2018'!$A:$A,0),MATCH('Analytics - 2019'!$R$6,'2018'!$6:$6,0))</f>
        <v>5482661.4299999997</v>
      </c>
      <c r="S26" s="201">
        <f t="shared" si="5"/>
        <v>-3096950.28</v>
      </c>
      <c r="T26" s="203" t="s">
        <v>778</v>
      </c>
    </row>
    <row r="27" spans="1:20">
      <c r="A27" s="175">
        <v>73</v>
      </c>
      <c r="B27" s="486" t="str">
        <f>+VLOOKUP($A27,Master!$D$27:$G$225,4,FALSE)</f>
        <v>Receipts from Repayment of Loans and Funds Carried over from Previous Year</v>
      </c>
      <c r="C27" s="487"/>
      <c r="D27" s="487"/>
      <c r="E27" s="487"/>
      <c r="F27" s="487"/>
      <c r="G27" s="200">
        <f>+SUMPRODUCT(('2019'!$G27:$R27)*('2019'!$G$5:$R$5&lt;=Master!$B$3)*($A27='2019'!$A$10:$A$66))</f>
        <v>1053908.24</v>
      </c>
      <c r="H27" s="200">
        <f>+SUMPRODUCT(('2019'!$G122:$R122)*('2019'!$G$5:$R$5&lt;=Master!$B$3))</f>
        <v>633189.91457550472</v>
      </c>
      <c r="I27" s="201">
        <f t="shared" si="0"/>
        <v>420718.32542449527</v>
      </c>
      <c r="J27" s="202">
        <f t="shared" si="1"/>
        <v>0.66444255623772519</v>
      </c>
      <c r="K27" s="200">
        <f>+SUMPRODUCT(('2018'!$G27:$R27)*('2018'!$G$5:$R$5&lt;=Master!$B$3))</f>
        <v>890492.35000000009</v>
      </c>
      <c r="L27" s="201">
        <f t="shared" si="7"/>
        <v>163415.8899999999</v>
      </c>
      <c r="M27" s="203">
        <f t="shared" si="2"/>
        <v>0.18351184038807289</v>
      </c>
      <c r="N27" s="200">
        <f>+INDEX('2019'!$1:$1048576,MATCH('Analytics - 2019'!$A27,'2019'!$A:$A,0),MATCH('Analytics - 2019'!$N$6,'2019'!$6:$6,0))</f>
        <v>349238.34</v>
      </c>
      <c r="O27" s="200">
        <f>+INDEX('2019'!$1:$1048576,MATCH(CONCATENATE('Analytics - 2019'!$A27,"p"),'2019'!$A:$A,0),MATCH('Analytics - 2019'!$O$6,'2019'!$101:$101,0))</f>
        <v>315693.23519635049</v>
      </c>
      <c r="P27" s="201">
        <f t="shared" si="3"/>
        <v>33545.104803649534</v>
      </c>
      <c r="Q27" s="202">
        <f t="shared" si="4"/>
        <v>0.10625854805784996</v>
      </c>
      <c r="R27" s="200">
        <f>+INDEX('2018'!$1:$1048576,MATCH('Analytics - 2019'!$A27,'2018'!$A:$A,0),MATCH('Analytics - 2019'!$R$6,'2018'!$6:$6,0))</f>
        <v>443978.03</v>
      </c>
      <c r="S27" s="201">
        <f t="shared" si="5"/>
        <v>-94739.69</v>
      </c>
      <c r="T27" s="203" t="s">
        <v>778</v>
      </c>
    </row>
    <row r="28" spans="1:20" ht="15.75" thickBot="1">
      <c r="A28" s="175">
        <v>74</v>
      </c>
      <c r="B28" s="488" t="str">
        <f>+VLOOKUP($A28,Master!$D$27:$G$225,4,FALSE)</f>
        <v>Grants and Transfers</v>
      </c>
      <c r="C28" s="489"/>
      <c r="D28" s="489"/>
      <c r="E28" s="489"/>
      <c r="F28" s="489"/>
      <c r="G28" s="200">
        <f>+SUMPRODUCT(('2019'!$G28:$R28)*('2019'!$G$5:$R$5&lt;=Master!$B$3)*($A28='2019'!$A$10:$A$66))</f>
        <v>16016187.27</v>
      </c>
      <c r="H28" s="200">
        <f>+SUMPRODUCT(('2019'!$G123:$R123)*('2019'!$G$5:$R$5&lt;=Master!$B$3))</f>
        <v>20915426.625661291</v>
      </c>
      <c r="I28" s="201">
        <f t="shared" si="0"/>
        <v>-4899239.3556612916</v>
      </c>
      <c r="J28" s="202">
        <f t="shared" si="1"/>
        <v>-0.23424046964695322</v>
      </c>
      <c r="K28" s="200">
        <f>+SUMPRODUCT(('2018'!$G28:$R28)*('2018'!$G$5:$R$5&lt;=Master!$B$3))</f>
        <v>11997736.65</v>
      </c>
      <c r="L28" s="201">
        <f t="shared" si="7"/>
        <v>4018450.6199999992</v>
      </c>
      <c r="M28" s="203">
        <f t="shared" si="2"/>
        <v>0.33493405774996732</v>
      </c>
      <c r="N28" s="200">
        <f>+INDEX('2019'!$1:$1048576,MATCH('Analytics - 2019'!$A28,'2019'!$A:$A,0),MATCH('Analytics - 2019'!$N$6,'2019'!$6:$6,0))</f>
        <v>627154.51</v>
      </c>
      <c r="O28" s="200">
        <f>+INDEX('2019'!$1:$1048576,MATCH(CONCATENATE('Analytics - 2019'!$A28,"p"),'2019'!$A:$A,0),MATCH('Analytics - 2019'!$O$6,'2019'!$101:$101,0))</f>
        <v>3220925.9094750378</v>
      </c>
      <c r="P28" s="201">
        <f t="shared" si="3"/>
        <v>-2593771.3994750381</v>
      </c>
      <c r="Q28" s="202">
        <f t="shared" si="4"/>
        <v>-0.80528750811836691</v>
      </c>
      <c r="R28" s="200">
        <f>+INDEX('2018'!$1:$1048576,MATCH('Analytics - 2019'!$A28,'2018'!$A:$A,0),MATCH('Analytics - 2019'!$R$6,'2018'!$6:$6,0))</f>
        <v>8493510.6400000006</v>
      </c>
      <c r="S28" s="201">
        <f t="shared" si="5"/>
        <v>-7866356.1300000008</v>
      </c>
      <c r="T28" s="203">
        <f t="shared" si="6"/>
        <v>-0.92616074358623512</v>
      </c>
    </row>
    <row r="29" spans="1:20" ht="15.75" thickBot="1">
      <c r="A29" s="175">
        <v>4</v>
      </c>
      <c r="B29" s="474" t="str">
        <f>+VLOOKUP($A29,Master!$D$27:$G$225,4,FALSE)</f>
        <v>Total Expenditures</v>
      </c>
      <c r="C29" s="475"/>
      <c r="D29" s="475"/>
      <c r="E29" s="475"/>
      <c r="F29" s="475"/>
      <c r="G29" s="176">
        <f>+SUMPRODUCT(('2019'!$G29:$R29)*('2019'!$G$5:$R$5&lt;=Master!$B$3)*($A29='2019'!$A$10:$A$66))</f>
        <v>597537319.59000003</v>
      </c>
      <c r="H29" s="176">
        <f>+SUMPRODUCT(('2019'!$G124:$R124)*('2019'!$G$5:$R$5&lt;=Master!$B$3))</f>
        <v>691708951.8599999</v>
      </c>
      <c r="I29" s="177">
        <f t="shared" si="0"/>
        <v>-94171632.269999862</v>
      </c>
      <c r="J29" s="178">
        <f t="shared" si="1"/>
        <v>-0.13614343434008347</v>
      </c>
      <c r="K29" s="176">
        <f>+SUMPRODUCT(('2018'!$G29:$R29)*('2018'!$G$5:$R$5&lt;=Master!$B$3))</f>
        <v>560627115.01999998</v>
      </c>
      <c r="L29" s="177">
        <f t="shared" si="7"/>
        <v>36910204.570000052</v>
      </c>
      <c r="M29" s="179">
        <f t="shared" si="2"/>
        <v>6.5837351746148354E-2</v>
      </c>
      <c r="N29" s="176">
        <f>+INDEX('2019'!$1:$1048576,MATCH('Analytics - 2019'!$A29,'2019'!$A:$A,0),MATCH('Analytics - 2019'!$N$6,'2019'!$6:$6,0))</f>
        <v>154896985.79999998</v>
      </c>
      <c r="O29" s="176">
        <f>+INDEX('2019'!$1:$1048576,MATCH(CONCATENATE('Analytics - 2019'!$A29,"p"),'2019'!$A:$A,0),MATCH('Analytics - 2019'!$O$6,'2019'!$101:$101,0))</f>
        <v>172597951.91749999</v>
      </c>
      <c r="P29" s="177">
        <f t="shared" si="3"/>
        <v>-17700966.117500007</v>
      </c>
      <c r="Q29" s="178">
        <f t="shared" si="4"/>
        <v>-0.10255606118640903</v>
      </c>
      <c r="R29" s="176">
        <f>+INDEX('2018'!$1:$1048576,MATCH('Analytics - 2019'!$A29,'2018'!$A:$A,0),MATCH('Analytics - 2019'!$R$6,'2018'!$6:$6,0))</f>
        <v>163090651.16</v>
      </c>
      <c r="S29" s="177">
        <f t="shared" si="5"/>
        <v>-8193665.3600000143</v>
      </c>
      <c r="T29" s="179">
        <f t="shared" si="6"/>
        <v>-5.0239945096311023E-2</v>
      </c>
    </row>
    <row r="30" spans="1:20" ht="15.75" thickBot="1">
      <c r="A30" s="175">
        <v>41</v>
      </c>
      <c r="B30" s="490" t="str">
        <f>+VLOOKUP($A30,Master!$D$27:$G$225,4,FALSE)</f>
        <v>Current Expenditures</v>
      </c>
      <c r="C30" s="491"/>
      <c r="D30" s="491"/>
      <c r="E30" s="491"/>
      <c r="F30" s="491"/>
      <c r="G30" s="342">
        <f>+SUMPRODUCT(('2019'!$G30:$R30)*('2019'!$G$5:$R$5&lt;=Master!$B$3)*($A30='2019'!$A$10:$A$66))</f>
        <v>540159674.1400001</v>
      </c>
      <c r="H30" s="342">
        <f>+SUMPRODUCT(('2019'!$G125:$R125)*('2019'!$G$5:$R$5&lt;=Master!$B$3))</f>
        <v>584733951.89999998</v>
      </c>
      <c r="I30" s="207">
        <f t="shared" si="0"/>
        <v>-44574277.759999871</v>
      </c>
      <c r="J30" s="208">
        <f t="shared" si="1"/>
        <v>-7.6230014718938199E-2</v>
      </c>
      <c r="K30" s="342">
        <f>+SUMPRODUCT(('2018'!$G30:$R30)*('2018'!$G$5:$R$5&lt;=Master!$B$3))</f>
        <v>516026148.11000007</v>
      </c>
      <c r="L30" s="207">
        <f t="shared" si="7"/>
        <v>24133526.030000031</v>
      </c>
      <c r="M30" s="209">
        <f t="shared" si="2"/>
        <v>4.6768029330280347E-2</v>
      </c>
      <c r="N30" s="342">
        <f>+INDEX('2019'!$1:$1048576,MATCH('Analytics - 2019'!$A30,'2019'!$A:$A,0),MATCH('Analytics - 2019'!$N$6,'2019'!$6:$6,0))</f>
        <v>142800868.40999997</v>
      </c>
      <c r="O30" s="342">
        <f>+INDEX('2019'!$1:$1048576,MATCH(CONCATENATE('Analytics - 2019'!$A30,"p"),'2019'!$A:$A,0),MATCH('Analytics - 2019'!$O$6,'2019'!$101:$101,0))</f>
        <v>145854201.92750001</v>
      </c>
      <c r="P30" s="207">
        <f t="shared" si="3"/>
        <v>-3053333.5175000429</v>
      </c>
      <c r="Q30" s="208">
        <f t="shared" si="4"/>
        <v>-2.09341484657245E-2</v>
      </c>
      <c r="R30" s="342">
        <f>+INDEX('2018'!$1:$1048576,MATCH('Analytics - 2019'!$A30,'2018'!$A:$A,0),MATCH('Analytics - 2019'!$R$6,'2018'!$6:$6,0))</f>
        <v>134315159.68000001</v>
      </c>
      <c r="S30" s="207">
        <f t="shared" si="5"/>
        <v>8485708.7299999595</v>
      </c>
      <c r="T30" s="209">
        <f t="shared" si="6"/>
        <v>6.3177594772003243E-2</v>
      </c>
    </row>
    <row r="31" spans="1:20">
      <c r="A31" s="175">
        <v>40</v>
      </c>
      <c r="B31" s="492" t="str">
        <f>+VLOOKUP($A31,Master!$D$27:$G$225,4,FALSE)</f>
        <v>Current Budgetary Expenditures</v>
      </c>
      <c r="C31" s="493"/>
      <c r="D31" s="493"/>
      <c r="E31" s="493"/>
      <c r="F31" s="493"/>
      <c r="G31" s="389">
        <f>+SUMPRODUCT(('2019'!$G31:$R31)*('2019'!$G$5:$R$5&lt;=Master!$B$3)*($A31='2019'!$A$10:$A$66))</f>
        <v>272723149.79999995</v>
      </c>
      <c r="H31" s="389">
        <f>+SUMPRODUCT(('2019'!$G126:$R126)*('2019'!$G$5:$R$5&lt;=Master!$B$3))</f>
        <v>310505595.60000002</v>
      </c>
      <c r="I31" s="213">
        <f t="shared" si="0"/>
        <v>-37782445.800000072</v>
      </c>
      <c r="J31" s="214">
        <f t="shared" si="1"/>
        <v>-0.12168040233539701</v>
      </c>
      <c r="K31" s="389">
        <f>+SUMPRODUCT(('2018'!$G31:$R31)*('2018'!$G$5:$R$5&lt;=Master!$B$3))</f>
        <v>271665730.86000001</v>
      </c>
      <c r="L31" s="213">
        <f t="shared" si="7"/>
        <v>1057418.939999938</v>
      </c>
      <c r="M31" s="215">
        <f t="shared" si="2"/>
        <v>3.8923530643799609E-3</v>
      </c>
      <c r="N31" s="389">
        <f>+INDEX('2019'!$1:$1048576,MATCH('Analytics - 2019'!$A31,'2019'!$A:$A,0),MATCH('Analytics - 2019'!$N$6,'2019'!$6:$6,0))</f>
        <v>77256340.299999982</v>
      </c>
      <c r="O31" s="389">
        <f>+INDEX('2019'!$1:$1048576,MATCH(CONCATENATE('Analytics - 2019'!$A31,"p"),'2019'!$A:$A,0),MATCH('Analytics - 2019'!$O$6,'2019'!$101:$101,0))</f>
        <v>80290960.742500007</v>
      </c>
      <c r="P31" s="213">
        <f t="shared" si="3"/>
        <v>-3034620.442500025</v>
      </c>
      <c r="Q31" s="214">
        <f t="shared" si="4"/>
        <v>-3.7795293697285737E-2</v>
      </c>
      <c r="R31" s="389">
        <f>+INDEX('2018'!$1:$1048576,MATCH('Analytics - 2019'!$A31,'2018'!$A:$A,0),MATCH('Analytics - 2019'!$R$6,'2018'!$6:$6,0))</f>
        <v>72369941.129999995</v>
      </c>
      <c r="S31" s="213">
        <f t="shared" si="5"/>
        <v>4886399.1699999869</v>
      </c>
      <c r="T31" s="215">
        <f t="shared" si="6"/>
        <v>6.7519733935148984E-2</v>
      </c>
    </row>
    <row r="32" spans="1:20">
      <c r="A32" s="175">
        <v>411</v>
      </c>
      <c r="B32" s="484" t="str">
        <f>+VLOOKUP($A32,Master!$D$27:$G$225,4,FALSE)</f>
        <v>Gross Salaries and Contributions</v>
      </c>
      <c r="C32" s="485"/>
      <c r="D32" s="485"/>
      <c r="E32" s="485"/>
      <c r="F32" s="485"/>
      <c r="G32" s="188">
        <f>+SUMPRODUCT(('2019'!$G32:$R32)*('2019'!$G$5:$R$5&lt;=Master!$B$3)*($A32='2019'!$A$10:$A$66))</f>
        <v>155573822.30000001</v>
      </c>
      <c r="H32" s="188">
        <f>+SUMPRODUCT(('2019'!$G127:$R127)*('2019'!$G$5:$R$5&lt;=Master!$B$3))</f>
        <v>156706790.1866667</v>
      </c>
      <c r="I32" s="189">
        <f t="shared" si="0"/>
        <v>-1132967.8866666853</v>
      </c>
      <c r="J32" s="190">
        <f t="shared" si="1"/>
        <v>-7.2298582934224864E-3</v>
      </c>
      <c r="K32" s="188">
        <f>+SUMPRODUCT(('2018'!$G32:$R32)*('2018'!$G$5:$R$5&lt;=Master!$B$3))</f>
        <v>150341557.18000001</v>
      </c>
      <c r="L32" s="189">
        <f t="shared" si="7"/>
        <v>5232265.1200000048</v>
      </c>
      <c r="M32" s="191">
        <f t="shared" si="2"/>
        <v>3.4802520461694852E-2</v>
      </c>
      <c r="N32" s="188">
        <f>+INDEX('2019'!$1:$1048576,MATCH('Analytics - 2019'!$A32,'2019'!$A:$A,0),MATCH('Analytics - 2019'!$N$6,'2019'!$6:$6,0))</f>
        <v>38923552.049999997</v>
      </c>
      <c r="O32" s="188">
        <f>+INDEX('2019'!$1:$1048576,MATCH(CONCATENATE('Analytics - 2019'!$A32,"p"),'2019'!$A:$A,0),MATCH('Analytics - 2019'!$O$6,'2019'!$101:$101,0))</f>
        <v>39105431.161666669</v>
      </c>
      <c r="P32" s="189">
        <f t="shared" si="3"/>
        <v>-181879.11166667193</v>
      </c>
      <c r="Q32" s="190">
        <f t="shared" si="4"/>
        <v>-4.6509936411328612E-3</v>
      </c>
      <c r="R32" s="188">
        <f>+INDEX('2018'!$1:$1048576,MATCH('Analytics - 2019'!$A32,'2018'!$A:$A,0),MATCH('Analytics - 2019'!$R$6,'2018'!$6:$6,0))</f>
        <v>38350898.119999997</v>
      </c>
      <c r="S32" s="189">
        <f t="shared" si="5"/>
        <v>572653.9299999997</v>
      </c>
      <c r="T32" s="191">
        <f t="shared" si="6"/>
        <v>1.4931956175006977E-2</v>
      </c>
    </row>
    <row r="33" spans="1:20">
      <c r="A33" s="175">
        <v>412</v>
      </c>
      <c r="B33" s="484" t="str">
        <f>+VLOOKUP($A33,Master!$D$27:$G$225,4,FALSE)</f>
        <v>Other Personal Income</v>
      </c>
      <c r="C33" s="485"/>
      <c r="D33" s="485"/>
      <c r="E33" s="485"/>
      <c r="F33" s="485"/>
      <c r="G33" s="188">
        <f>+SUMPRODUCT(('2019'!$G33:$R33)*('2019'!$G$5:$R$5&lt;=Master!$B$3)*($A33='2019'!$A$10:$A$66))</f>
        <v>3817106.5100000002</v>
      </c>
      <c r="H33" s="188">
        <f>+SUMPRODUCT(('2019'!$G128:$R128)*('2019'!$G$5:$R$5&lt;=Master!$B$3))</f>
        <v>5113255.2033333331</v>
      </c>
      <c r="I33" s="189">
        <f t="shared" si="0"/>
        <v>-1296148.6933333329</v>
      </c>
      <c r="J33" s="190">
        <f t="shared" si="1"/>
        <v>-0.25348797229764186</v>
      </c>
      <c r="K33" s="188">
        <f>+SUMPRODUCT(('2018'!$G33:$R33)*('2018'!$G$5:$R$5&lt;=Master!$B$3))</f>
        <v>3129156.31</v>
      </c>
      <c r="L33" s="189">
        <f t="shared" si="7"/>
        <v>687950.20000000019</v>
      </c>
      <c r="M33" s="191">
        <f t="shared" si="2"/>
        <v>0.21985165707493848</v>
      </c>
      <c r="N33" s="188">
        <f>+INDEX('2019'!$1:$1048576,MATCH('Analytics - 2019'!$A33,'2019'!$A:$A,0),MATCH('Analytics - 2019'!$N$6,'2019'!$6:$6,0))</f>
        <v>1606928.02</v>
      </c>
      <c r="O33" s="188">
        <f>+INDEX('2019'!$1:$1048576,MATCH(CONCATENATE('Analytics - 2019'!$A33,"p"),'2019'!$A:$A,0),MATCH('Analytics - 2019'!$O$6,'2019'!$101:$101,0))</f>
        <v>1247473.6108333331</v>
      </c>
      <c r="P33" s="189">
        <f t="shared" si="3"/>
        <v>359454.40916666691</v>
      </c>
      <c r="Q33" s="190">
        <f t="shared" si="4"/>
        <v>0.28814590228208936</v>
      </c>
      <c r="R33" s="188">
        <f>+INDEX('2018'!$1:$1048576,MATCH('Analytics - 2019'!$A33,'2018'!$A:$A,0),MATCH('Analytics - 2019'!$R$6,'2018'!$6:$6,0))</f>
        <v>983620.43</v>
      </c>
      <c r="S33" s="189">
        <f t="shared" si="5"/>
        <v>623307.59</v>
      </c>
      <c r="T33" s="191">
        <f t="shared" si="6"/>
        <v>0.63368711241591424</v>
      </c>
    </row>
    <row r="34" spans="1:20">
      <c r="A34" s="175">
        <v>413</v>
      </c>
      <c r="B34" s="484" t="str">
        <f>+VLOOKUP($A34,Master!$D$27:$G$225,4,FALSE)</f>
        <v>Expenditures for Supplies</v>
      </c>
      <c r="C34" s="485"/>
      <c r="D34" s="485"/>
      <c r="E34" s="485"/>
      <c r="F34" s="485"/>
      <c r="G34" s="188">
        <f>+SUMPRODUCT(('2019'!$G34:$R34)*('2019'!$G$5:$R$5&lt;=Master!$B$3)*($A34='2019'!$A$10:$A$66))</f>
        <v>8434381.7899999991</v>
      </c>
      <c r="H34" s="188">
        <f>+SUMPRODUCT(('2019'!$G129:$R129)*('2019'!$G$5:$R$5&lt;=Master!$B$3))</f>
        <v>12192678.193333335</v>
      </c>
      <c r="I34" s="189">
        <f t="shared" si="0"/>
        <v>-3758296.4033333361</v>
      </c>
      <c r="J34" s="190">
        <f t="shared" si="1"/>
        <v>-0.30824207313109298</v>
      </c>
      <c r="K34" s="188">
        <f>+SUMPRODUCT(('2018'!$G34:$R34)*('2018'!$G$5:$R$5&lt;=Master!$B$3))</f>
        <v>9591068.9600000009</v>
      </c>
      <c r="L34" s="189">
        <f t="shared" si="7"/>
        <v>-1156687.1700000018</v>
      </c>
      <c r="M34" s="191">
        <f t="shared" si="2"/>
        <v>-0.1206004434775747</v>
      </c>
      <c r="N34" s="188">
        <f>+INDEX('2019'!$1:$1048576,MATCH('Analytics - 2019'!$A34,'2019'!$A:$A,0),MATCH('Analytics - 2019'!$N$6,'2019'!$6:$6,0))</f>
        <v>2488394.38</v>
      </c>
      <c r="O34" s="188">
        <f>+INDEX('2019'!$1:$1048576,MATCH(CONCATENATE('Analytics - 2019'!$A34,"p"),'2019'!$A:$A,0),MATCH('Analytics - 2019'!$O$6,'2019'!$101:$101,0))</f>
        <v>3046755.8058333341</v>
      </c>
      <c r="P34" s="189">
        <f t="shared" si="3"/>
        <v>-558361.42583333421</v>
      </c>
      <c r="Q34" s="190">
        <f t="shared" si="4"/>
        <v>-0.18326425267305391</v>
      </c>
      <c r="R34" s="188">
        <f>+INDEX('2018'!$1:$1048576,MATCH('Analytics - 2019'!$A34,'2018'!$A:$A,0),MATCH('Analytics - 2019'!$R$6,'2018'!$6:$6,0))</f>
        <v>2444213.75</v>
      </c>
      <c r="S34" s="189">
        <f t="shared" si="5"/>
        <v>44180.629999999888</v>
      </c>
      <c r="T34" s="191">
        <f t="shared" si="6"/>
        <v>1.8075599975656775E-2</v>
      </c>
    </row>
    <row r="35" spans="1:20">
      <c r="A35" s="175">
        <v>414</v>
      </c>
      <c r="B35" s="484" t="str">
        <f>+VLOOKUP($A35,Master!$D$27:$G$225,4,FALSE)</f>
        <v>Expenditures for Services</v>
      </c>
      <c r="C35" s="485"/>
      <c r="D35" s="485"/>
      <c r="E35" s="485"/>
      <c r="F35" s="485"/>
      <c r="G35" s="188">
        <f>+SUMPRODUCT(('2019'!$G35:$R35)*('2019'!$G$5:$R$5&lt;=Master!$B$3)*($A35='2019'!$A$10:$A$66))</f>
        <v>16202666.84</v>
      </c>
      <c r="H35" s="188">
        <f>+SUMPRODUCT(('2019'!$G130:$R130)*('2019'!$G$5:$R$5&lt;=Master!$B$3))</f>
        <v>22356984.740000002</v>
      </c>
      <c r="I35" s="189">
        <f t="shared" si="0"/>
        <v>-6154317.9000000022</v>
      </c>
      <c r="J35" s="190">
        <f t="shared" si="1"/>
        <v>-0.27527495194774654</v>
      </c>
      <c r="K35" s="188">
        <f>+SUMPRODUCT(('2018'!$G35:$R35)*('2018'!$G$5:$R$5&lt;=Master!$B$3))</f>
        <v>13613296.539999999</v>
      </c>
      <c r="L35" s="189">
        <f t="shared" si="7"/>
        <v>2589370.3000000007</v>
      </c>
      <c r="M35" s="191">
        <f t="shared" si="2"/>
        <v>0.19020891026590392</v>
      </c>
      <c r="N35" s="188">
        <f>+INDEX('2019'!$1:$1048576,MATCH('Analytics - 2019'!$A35,'2019'!$A:$A,0),MATCH('Analytics - 2019'!$N$6,'2019'!$6:$6,0))</f>
        <v>4354225.75</v>
      </c>
      <c r="O35" s="188">
        <f>+INDEX('2019'!$1:$1048576,MATCH(CONCATENATE('Analytics - 2019'!$A35,"p"),'2019'!$A:$A,0),MATCH('Analytics - 2019'!$O$6,'2019'!$101:$101,0))</f>
        <v>5087042.1275000004</v>
      </c>
      <c r="P35" s="189">
        <f t="shared" si="3"/>
        <v>-732816.37750000041</v>
      </c>
      <c r="Q35" s="190">
        <f t="shared" si="4"/>
        <v>-0.14405549612779378</v>
      </c>
      <c r="R35" s="188">
        <f>+INDEX('2018'!$1:$1048576,MATCH('Analytics - 2019'!$A35,'2018'!$A:$A,0),MATCH('Analytics - 2019'!$R$6,'2018'!$6:$6,0))</f>
        <v>4569774.72</v>
      </c>
      <c r="S35" s="189">
        <f t="shared" si="5"/>
        <v>-215548.96999999974</v>
      </c>
      <c r="T35" s="191">
        <f t="shared" si="6"/>
        <v>-4.7168401771892965E-2</v>
      </c>
    </row>
    <row r="36" spans="1:20">
      <c r="A36" s="175">
        <v>415</v>
      </c>
      <c r="B36" s="484" t="str">
        <f>+VLOOKUP($A36,Master!$D$27:$G$225,4,FALSE)</f>
        <v>Current Maintenance</v>
      </c>
      <c r="C36" s="485"/>
      <c r="D36" s="485"/>
      <c r="E36" s="485"/>
      <c r="F36" s="485"/>
      <c r="G36" s="188">
        <f>+SUMPRODUCT(('2019'!$G36:$R36)*('2019'!$G$5:$R$5&lt;=Master!$B$3)*($A36='2019'!$A$10:$A$66))</f>
        <v>4799669.5699999994</v>
      </c>
      <c r="H36" s="188">
        <f>+SUMPRODUCT(('2019'!$G131:$R131)*('2019'!$G$5:$R$5&lt;=Master!$B$3))</f>
        <v>7703359.2666666675</v>
      </c>
      <c r="I36" s="189">
        <f t="shared" si="0"/>
        <v>-2903689.6966666682</v>
      </c>
      <c r="J36" s="190">
        <f t="shared" si="1"/>
        <v>-0.37693811182236714</v>
      </c>
      <c r="K36" s="188">
        <f>+SUMPRODUCT(('2018'!$G36:$R36)*('2018'!$G$5:$R$5&lt;=Master!$B$3))</f>
        <v>4995701.1999999993</v>
      </c>
      <c r="L36" s="189">
        <f t="shared" si="7"/>
        <v>-196031.62999999989</v>
      </c>
      <c r="M36" s="191">
        <f t="shared" si="2"/>
        <v>-3.9240063036596329E-2</v>
      </c>
      <c r="N36" s="188">
        <f>+INDEX('2019'!$1:$1048576,MATCH('Analytics - 2019'!$A36,'2019'!$A:$A,0),MATCH('Analytics - 2019'!$N$6,'2019'!$6:$6,0))</f>
        <v>1602730.43</v>
      </c>
      <c r="O36" s="188">
        <f>+INDEX('2019'!$1:$1048576,MATCH(CONCATENATE('Analytics - 2019'!$A36,"p"),'2019'!$A:$A,0),MATCH('Analytics - 2019'!$O$6,'2019'!$101:$101,0))</f>
        <v>1920662.7116666667</v>
      </c>
      <c r="P36" s="189">
        <f t="shared" si="3"/>
        <v>-317932.28166666673</v>
      </c>
      <c r="Q36" s="190">
        <f t="shared" si="4"/>
        <v>-0.16553259441933932</v>
      </c>
      <c r="R36" s="188">
        <f>+INDEX('2018'!$1:$1048576,MATCH('Analytics - 2019'!$A36,'2018'!$A:$A,0),MATCH('Analytics - 2019'!$R$6,'2018'!$6:$6,0))</f>
        <v>1702193.19</v>
      </c>
      <c r="S36" s="189">
        <f t="shared" si="5"/>
        <v>-99462.760000000009</v>
      </c>
      <c r="T36" s="191">
        <f t="shared" si="6"/>
        <v>-5.8432121914434365E-2</v>
      </c>
    </row>
    <row r="37" spans="1:20">
      <c r="A37" s="175">
        <v>416</v>
      </c>
      <c r="B37" s="484" t="str">
        <f>+VLOOKUP($A37,Master!$D$27:$G$225,4,FALSE)</f>
        <v>Interests</v>
      </c>
      <c r="C37" s="485"/>
      <c r="D37" s="485"/>
      <c r="E37" s="485"/>
      <c r="F37" s="485"/>
      <c r="G37" s="188">
        <f>+SUMPRODUCT(('2019'!$G37:$R37)*('2019'!$G$5:$R$5&lt;=Master!$B$3)*($A37='2019'!$A$10:$A$66))</f>
        <v>54206486.089999996</v>
      </c>
      <c r="H37" s="188">
        <f>+SUMPRODUCT(('2019'!$G132:$R132)*('2019'!$G$5:$R$5&lt;=Master!$B$3))</f>
        <v>55568676.160000004</v>
      </c>
      <c r="I37" s="189">
        <f t="shared" si="0"/>
        <v>-1362190.0700000077</v>
      </c>
      <c r="J37" s="190">
        <f t="shared" si="1"/>
        <v>-2.4513631853993134E-2</v>
      </c>
      <c r="K37" s="188">
        <f>+SUMPRODUCT(('2018'!$G37:$R37)*('2018'!$G$5:$R$5&lt;=Master!$B$3))</f>
        <v>61890339.939999998</v>
      </c>
      <c r="L37" s="189">
        <f t="shared" si="7"/>
        <v>-7683853.8500000015</v>
      </c>
      <c r="M37" s="191">
        <f t="shared" si="2"/>
        <v>-0.12415271684481233</v>
      </c>
      <c r="N37" s="188">
        <f>+INDEX('2019'!$1:$1048576,MATCH('Analytics - 2019'!$A37,'2019'!$A:$A,0),MATCH('Analytics - 2019'!$N$6,'2019'!$6:$6,0))</f>
        <v>18405321.859999999</v>
      </c>
      <c r="O37" s="188">
        <f>+INDEX('2019'!$1:$1048576,MATCH(CONCATENATE('Analytics - 2019'!$A37,"p"),'2019'!$A:$A,0),MATCH('Analytics - 2019'!$O$6,'2019'!$101:$101,0))</f>
        <v>18499732.100000001</v>
      </c>
      <c r="P37" s="189">
        <f t="shared" si="3"/>
        <v>-94410.240000002086</v>
      </c>
      <c r="Q37" s="190">
        <f t="shared" si="4"/>
        <v>-5.1033301179534973E-3</v>
      </c>
      <c r="R37" s="188">
        <f>+INDEX('2018'!$1:$1048576,MATCH('Analytics - 2019'!$A37,'2018'!$A:$A,0),MATCH('Analytics - 2019'!$R$6,'2018'!$6:$6,0))</f>
        <v>17000784.449999999</v>
      </c>
      <c r="S37" s="189">
        <f t="shared" si="5"/>
        <v>1404537.4100000001</v>
      </c>
      <c r="T37" s="191">
        <f t="shared" si="6"/>
        <v>8.2616035403001664E-2</v>
      </c>
    </row>
    <row r="38" spans="1:20">
      <c r="A38" s="175">
        <v>417</v>
      </c>
      <c r="B38" s="484" t="str">
        <f>+VLOOKUP($A38,Master!$D$27:$G$225,4,FALSE)</f>
        <v>Rent</v>
      </c>
      <c r="C38" s="485"/>
      <c r="D38" s="485"/>
      <c r="E38" s="485"/>
      <c r="F38" s="485"/>
      <c r="G38" s="188">
        <f>+SUMPRODUCT(('2019'!$G38:$R38)*('2019'!$G$5:$R$5&lt;=Master!$B$3)*($A38='2019'!$A$10:$A$66))</f>
        <v>2926032.85</v>
      </c>
      <c r="H38" s="188">
        <f>+SUMPRODUCT(('2019'!$G133:$R133)*('2019'!$G$5:$R$5&lt;=Master!$B$3))</f>
        <v>3183538.64</v>
      </c>
      <c r="I38" s="189">
        <f t="shared" si="0"/>
        <v>-257505.79000000004</v>
      </c>
      <c r="J38" s="190">
        <f t="shared" si="1"/>
        <v>-8.0886654480813891E-2</v>
      </c>
      <c r="K38" s="188">
        <f>+SUMPRODUCT(('2018'!$G38:$R38)*('2018'!$G$5:$R$5&lt;=Master!$B$3))</f>
        <v>2465431.9700000002</v>
      </c>
      <c r="L38" s="189">
        <f t="shared" si="7"/>
        <v>460600.87999999989</v>
      </c>
      <c r="M38" s="191">
        <f t="shared" si="2"/>
        <v>0.18682360154516853</v>
      </c>
      <c r="N38" s="188">
        <f>+INDEX('2019'!$1:$1048576,MATCH('Analytics - 2019'!$A38,'2019'!$A:$A,0),MATCH('Analytics - 2019'!$N$6,'2019'!$6:$6,0))</f>
        <v>1122402.21</v>
      </c>
      <c r="O38" s="188">
        <f>+INDEX('2019'!$1:$1048576,MATCH(CONCATENATE('Analytics - 2019'!$A38,"p"),'2019'!$A:$A,0),MATCH('Analytics - 2019'!$O$6,'2019'!$101:$101,0))</f>
        <v>776070.39</v>
      </c>
      <c r="P38" s="189">
        <f t="shared" si="3"/>
        <v>346331.81999999995</v>
      </c>
      <c r="Q38" s="190">
        <f t="shared" si="4"/>
        <v>0.44626341175057571</v>
      </c>
      <c r="R38" s="188">
        <f>+INDEX('2018'!$1:$1048576,MATCH('Analytics - 2019'!$A38,'2018'!$A:$A,0),MATCH('Analytics - 2019'!$R$6,'2018'!$6:$6,0))</f>
        <v>641415.42000000004</v>
      </c>
      <c r="S38" s="189">
        <f t="shared" si="5"/>
        <v>480986.78999999992</v>
      </c>
      <c r="T38" s="191">
        <f t="shared" si="6"/>
        <v>0.74988342188592827</v>
      </c>
    </row>
    <row r="39" spans="1:20">
      <c r="A39" s="175">
        <v>418</v>
      </c>
      <c r="B39" s="484" t="str">
        <f>+VLOOKUP($A39,Master!$D$27:$G$225,4,FALSE)</f>
        <v>Subsidies</v>
      </c>
      <c r="C39" s="485"/>
      <c r="D39" s="485"/>
      <c r="E39" s="485"/>
      <c r="F39" s="485"/>
      <c r="G39" s="188">
        <f>+SUMPRODUCT(('2019'!$G39:$R39)*('2019'!$G$5:$R$5&lt;=Master!$B$3)*($A39='2019'!$A$10:$A$66))</f>
        <v>6773249.9699999997</v>
      </c>
      <c r="H39" s="188">
        <f>+SUMPRODUCT(('2019'!$G134:$R134)*('2019'!$G$5:$R$5&lt;=Master!$B$3))</f>
        <v>11748219.446666665</v>
      </c>
      <c r="I39" s="189">
        <f t="shared" si="0"/>
        <v>-4974969.4766666656</v>
      </c>
      <c r="J39" s="190">
        <f t="shared" si="1"/>
        <v>-0.42346582809859068</v>
      </c>
      <c r="K39" s="188">
        <f>+SUMPRODUCT(('2018'!$G39:$R39)*('2018'!$G$5:$R$5&lt;=Master!$B$3))</f>
        <v>7131060.7699999996</v>
      </c>
      <c r="L39" s="189">
        <f t="shared" si="7"/>
        <v>-357810.79999999981</v>
      </c>
      <c r="M39" s="191">
        <f t="shared" si="2"/>
        <v>-5.0176377896720692E-2</v>
      </c>
      <c r="N39" s="188">
        <f>+INDEX('2019'!$1:$1048576,MATCH('Analytics - 2019'!$A39,'2019'!$A:$A,0),MATCH('Analytics - 2019'!$N$6,'2019'!$6:$6,0))</f>
        <v>1298353.71</v>
      </c>
      <c r="O39" s="188">
        <f>+INDEX('2019'!$1:$1048576,MATCH(CONCATENATE('Analytics - 2019'!$A39,"p"),'2019'!$A:$A,0),MATCH('Analytics - 2019'!$O$6,'2019'!$101:$101,0))</f>
        <v>2443787.4966666666</v>
      </c>
      <c r="P39" s="189">
        <f t="shared" si="3"/>
        <v>-1145433.7866666666</v>
      </c>
      <c r="Q39" s="190">
        <f t="shared" si="4"/>
        <v>-0.46871251621879628</v>
      </c>
      <c r="R39" s="188">
        <f>+INDEX('2018'!$1:$1048576,MATCH('Analytics - 2019'!$A39,'2018'!$A:$A,0),MATCH('Analytics - 2019'!$R$6,'2018'!$6:$6,0))</f>
        <v>1218773.67</v>
      </c>
      <c r="S39" s="189">
        <f t="shared" si="5"/>
        <v>79580.040000000037</v>
      </c>
      <c r="T39" s="191">
        <f t="shared" si="6"/>
        <v>6.5295174944171475E-2</v>
      </c>
    </row>
    <row r="40" spans="1:20">
      <c r="A40" s="175">
        <v>419</v>
      </c>
      <c r="B40" s="484" t="str">
        <f>+VLOOKUP($A40,Master!$D$27:$G$225,4,FALSE)</f>
        <v>Other expenditures</v>
      </c>
      <c r="C40" s="485"/>
      <c r="D40" s="485"/>
      <c r="E40" s="485"/>
      <c r="F40" s="485"/>
      <c r="G40" s="188">
        <f>+SUMPRODUCT(('2019'!$G40:$R40)*('2019'!$G$5:$R$5&lt;=Master!$B$3)*($A40='2019'!$A$10:$A$66))</f>
        <v>11791973.690000001</v>
      </c>
      <c r="H40" s="188">
        <f>+SUMPRODUCT(('2019'!$G135:$R135)*('2019'!$G$5:$R$5&lt;=Master!$B$3))</f>
        <v>15773179.713333337</v>
      </c>
      <c r="I40" s="189">
        <f t="shared" si="0"/>
        <v>-3981206.0233333353</v>
      </c>
      <c r="J40" s="190">
        <f t="shared" si="1"/>
        <v>-0.25240351632892088</v>
      </c>
      <c r="K40" s="188">
        <f>+SUMPRODUCT(('2018'!$G40:$R40)*('2018'!$G$5:$R$5&lt;=Master!$B$3))</f>
        <v>9022467.5399999991</v>
      </c>
      <c r="L40" s="189">
        <f t="shared" si="7"/>
        <v>2769506.1500000022</v>
      </c>
      <c r="M40" s="191">
        <f t="shared" si="2"/>
        <v>0.30695662109303656</v>
      </c>
      <c r="N40" s="188">
        <f>+INDEX('2019'!$1:$1048576,MATCH('Analytics - 2019'!$A40,'2019'!$A:$A,0),MATCH('Analytics - 2019'!$N$6,'2019'!$6:$6,0))</f>
        <v>5380146.8200000003</v>
      </c>
      <c r="O40" s="188">
        <f>+INDEX('2019'!$1:$1048576,MATCH(CONCATENATE('Analytics - 2019'!$A40,"p"),'2019'!$A:$A,0),MATCH('Analytics - 2019'!$O$6,'2019'!$101:$101,0))</f>
        <v>3132271.9408333339</v>
      </c>
      <c r="P40" s="189">
        <f t="shared" si="3"/>
        <v>2247874.8791666664</v>
      </c>
      <c r="Q40" s="190">
        <f t="shared" si="4"/>
        <v>0.71764997472365843</v>
      </c>
      <c r="R40" s="188">
        <f>+INDEX('2018'!$1:$1048576,MATCH('Analytics - 2019'!$A40,'2018'!$A:$A,0),MATCH('Analytics - 2019'!$R$6,'2018'!$6:$6,0))</f>
        <v>2890777.66</v>
      </c>
      <c r="S40" s="189">
        <f t="shared" si="5"/>
        <v>2489369.16</v>
      </c>
      <c r="T40" s="191">
        <f t="shared" si="6"/>
        <v>0.86114169015682784</v>
      </c>
    </row>
    <row r="41" spans="1:20">
      <c r="A41" s="175">
        <v>440</v>
      </c>
      <c r="B41" s="484" t="str">
        <f>+VLOOKUP($A41,Master!$D$27:$G$225,4,FALSE)</f>
        <v>Current Capital Expenditure</v>
      </c>
      <c r="C41" s="485"/>
      <c r="D41" s="485"/>
      <c r="E41" s="485"/>
      <c r="F41" s="485"/>
      <c r="G41" s="188">
        <f>+SUMPRODUCT(('2019'!$G41:$R41)*('2019'!$G$5:$R$5&lt;=Master!$B$3)*($A41='2019'!$A$10:$A$66))</f>
        <v>8197760.1900000004</v>
      </c>
      <c r="H41" s="188">
        <f>+SUMPRODUCT(('2019'!$G136:$R136)*('2019'!$G$5:$R$5&lt;=Master!$B$3))</f>
        <v>20158914.050000004</v>
      </c>
      <c r="I41" s="189">
        <f t="shared" si="0"/>
        <v>-11961153.860000003</v>
      </c>
      <c r="J41" s="190">
        <f t="shared" si="1"/>
        <v>-0.59334316473262616</v>
      </c>
      <c r="K41" s="188">
        <f>+SUMPRODUCT(('2018'!$G41:$R41)*('2018'!$G$5:$R$5&lt;=Master!$B$3))</f>
        <v>9485650.4500000011</v>
      </c>
      <c r="L41" s="189">
        <f t="shared" si="7"/>
        <v>-1287890.2600000007</v>
      </c>
      <c r="M41" s="191">
        <f t="shared" si="2"/>
        <v>-0.13577247725800401</v>
      </c>
      <c r="N41" s="188">
        <f>+INDEX('2019'!$1:$1048576,MATCH('Analytics - 2019'!$A41,'2019'!$A:$A,0),MATCH('Analytics - 2019'!$N$6,'2019'!$6:$6,0))</f>
        <v>2074285.0700000003</v>
      </c>
      <c r="O41" s="188">
        <f>+INDEX('2019'!$1:$1048576,MATCH(CONCATENATE('Analytics - 2019'!$A41,"p"),'2019'!$A:$A,0),MATCH('Analytics - 2019'!$O$6,'2019'!$101:$101,0))</f>
        <v>5031733.3975000009</v>
      </c>
      <c r="P41" s="189">
        <f t="shared" si="3"/>
        <v>-2957448.3275000006</v>
      </c>
      <c r="Q41" s="190">
        <f t="shared" si="4"/>
        <v>-0.58775934531217389</v>
      </c>
      <c r="R41" s="188">
        <f>+INDEX('2018'!$1:$1048576,MATCH('Analytics - 2019'!$A41,'2018'!$A:$A,0),MATCH('Analytics - 2019'!$R$6,'2018'!$6:$6,0))</f>
        <v>2567489.7200000002</v>
      </c>
      <c r="S41" s="189">
        <f t="shared" si="5"/>
        <v>-493204.64999999991</v>
      </c>
      <c r="T41" s="191">
        <f t="shared" si="6"/>
        <v>-0.19209605637680993</v>
      </c>
    </row>
    <row r="42" spans="1:20">
      <c r="A42" s="175">
        <v>42</v>
      </c>
      <c r="B42" s="480" t="str">
        <f>+VLOOKUP($A42,Master!$D$27:$G$225,4,FALSE)</f>
        <v>Social Security Transfers</v>
      </c>
      <c r="C42" s="481"/>
      <c r="D42" s="481"/>
      <c r="E42" s="481"/>
      <c r="F42" s="481"/>
      <c r="G42" s="200">
        <f>+SUMPRODUCT(('2019'!$G42:$R42)*('2019'!$G$5:$R$5&lt;=Master!$B$3)*($A42='2019'!$A$10:$A$66))</f>
        <v>180043115.05000001</v>
      </c>
      <c r="H42" s="200">
        <f>+SUMPRODUCT(('2019'!$G137:$R137)*('2019'!$G$5:$R$5&lt;=Master!$B$3))</f>
        <v>184823299.33999997</v>
      </c>
      <c r="I42" s="219">
        <f t="shared" si="0"/>
        <v>-4780184.2899999619</v>
      </c>
      <c r="J42" s="220">
        <f t="shared" si="1"/>
        <v>-2.586353726543078E-2</v>
      </c>
      <c r="K42" s="200">
        <f>+SUMPRODUCT(('2018'!$G42:$R42)*('2018'!$G$5:$R$5&lt;=Master!$B$3))</f>
        <v>175983328.05000001</v>
      </c>
      <c r="L42" s="219">
        <f t="shared" si="7"/>
        <v>4059787</v>
      </c>
      <c r="M42" s="221">
        <f t="shared" si="2"/>
        <v>2.3069156862669082E-2</v>
      </c>
      <c r="N42" s="200">
        <f>+INDEX('2019'!$1:$1048576,MATCH('Analytics - 2019'!$A42,'2019'!$A:$A,0),MATCH('Analytics - 2019'!$N$6,'2019'!$6:$6,0))</f>
        <v>45454458.559999995</v>
      </c>
      <c r="O42" s="200">
        <f>+INDEX('2019'!$1:$1048576,MATCH(CONCATENATE('Analytics - 2019'!$A42,"p"),'2019'!$A:$A,0),MATCH('Analytics - 2019'!$O$6,'2019'!$101:$101,0))</f>
        <v>46206149.810000002</v>
      </c>
      <c r="P42" s="219">
        <f t="shared" si="3"/>
        <v>-751691.25000000745</v>
      </c>
      <c r="Q42" s="220">
        <f t="shared" si="4"/>
        <v>-1.6268207870401841E-2</v>
      </c>
      <c r="R42" s="200">
        <f>+INDEX('2018'!$1:$1048576,MATCH('Analytics - 2019'!$A42,'2018'!$A:$A,0),MATCH('Analytics - 2019'!$R$6,'2018'!$6:$6,0))</f>
        <v>43012361.310000002</v>
      </c>
      <c r="S42" s="219">
        <f t="shared" si="5"/>
        <v>2442097.2499999925</v>
      </c>
      <c r="T42" s="221">
        <f t="shared" si="6"/>
        <v>5.6776637590278733E-2</v>
      </c>
    </row>
    <row r="43" spans="1:20">
      <c r="A43" s="175">
        <v>421</v>
      </c>
      <c r="B43" s="484" t="str">
        <f>+VLOOKUP($A43,Master!$D$27:$G$225,4,FALSE)</f>
        <v>Social Security</v>
      </c>
      <c r="C43" s="485"/>
      <c r="D43" s="485"/>
      <c r="E43" s="485"/>
      <c r="F43" s="485"/>
      <c r="G43" s="188">
        <f>+SUMPRODUCT(('2019'!$G43:$R43)*('2019'!$G$5:$R$5&lt;=Master!$B$3)*($A43='2019'!$A$10:$A$66))</f>
        <v>26089339.759999998</v>
      </c>
      <c r="H43" s="188">
        <f>+SUMPRODUCT(('2019'!$G138:$R138)*('2019'!$G$5:$R$5&lt;=Master!$B$3))</f>
        <v>26995800.000000011</v>
      </c>
      <c r="I43" s="189">
        <f t="shared" si="0"/>
        <v>-906460.24000001326</v>
      </c>
      <c r="J43" s="190">
        <f t="shared" si="1"/>
        <v>-3.3577824698657333E-2</v>
      </c>
      <c r="K43" s="188">
        <f>+SUMPRODUCT(('2018'!$G43:$R43)*('2018'!$G$5:$R$5&lt;=Master!$B$3))</f>
        <v>25674416.469999999</v>
      </c>
      <c r="L43" s="189">
        <f t="shared" si="7"/>
        <v>414923.28999999911</v>
      </c>
      <c r="M43" s="191">
        <f t="shared" si="2"/>
        <v>1.6160962820122027E-2</v>
      </c>
      <c r="N43" s="188">
        <f>+INDEX('2019'!$1:$1048576,MATCH('Analytics - 2019'!$A43,'2019'!$A:$A,0),MATCH('Analytics - 2019'!$N$6,'2019'!$6:$6,0))</f>
        <v>6641554.0999999996</v>
      </c>
      <c r="O43" s="188">
        <f>+INDEX('2019'!$1:$1048576,MATCH(CONCATENATE('Analytics - 2019'!$A43,"p"),'2019'!$A:$A,0),MATCH('Analytics - 2019'!$O$6,'2019'!$101:$101,0))</f>
        <v>6749275.0000000028</v>
      </c>
      <c r="P43" s="189">
        <f t="shared" si="3"/>
        <v>-107720.90000000317</v>
      </c>
      <c r="Q43" s="190">
        <f t="shared" si="4"/>
        <v>-1.5960366113397795E-2</v>
      </c>
      <c r="R43" s="188">
        <f>+INDEX('2018'!$1:$1048576,MATCH('Analytics - 2019'!$A43,'2018'!$A:$A,0),MATCH('Analytics - 2019'!$R$6,'2018'!$6:$6,0))</f>
        <v>6327448.5300000003</v>
      </c>
      <c r="S43" s="189">
        <f t="shared" si="5"/>
        <v>314105.56999999937</v>
      </c>
      <c r="T43" s="191">
        <f t="shared" si="6"/>
        <v>4.9641742403868871E-2</v>
      </c>
    </row>
    <row r="44" spans="1:20">
      <c r="A44" s="175">
        <v>422</v>
      </c>
      <c r="B44" s="484" t="str">
        <f>+VLOOKUP($A44,Master!$D$27:$G$225,4,FALSE)</f>
        <v>Funds for redundant labor</v>
      </c>
      <c r="C44" s="485"/>
      <c r="D44" s="485"/>
      <c r="E44" s="485"/>
      <c r="F44" s="485"/>
      <c r="G44" s="188">
        <f>+SUMPRODUCT(('2019'!$G44:$R44)*('2019'!$G$5:$R$5&lt;=Master!$B$3)*($A44='2019'!$A$10:$A$66))</f>
        <v>3448701.83</v>
      </c>
      <c r="H44" s="188">
        <f>+SUMPRODUCT(('2019'!$G139:$R139)*('2019'!$G$5:$R$5&lt;=Master!$B$3))</f>
        <v>4944127.4100000011</v>
      </c>
      <c r="I44" s="189">
        <f t="shared" si="0"/>
        <v>-1495425.580000001</v>
      </c>
      <c r="J44" s="190">
        <f t="shared" si="1"/>
        <v>-0.30246501677431503</v>
      </c>
      <c r="K44" s="188">
        <f>+SUMPRODUCT(('2018'!$G44:$R44)*('2018'!$G$5:$R$5&lt;=Master!$B$3))</f>
        <v>3478581.05</v>
      </c>
      <c r="L44" s="189">
        <f t="shared" si="7"/>
        <v>-29879.219999999739</v>
      </c>
      <c r="M44" s="191">
        <f t="shared" si="2"/>
        <v>-8.5894850717938009E-3</v>
      </c>
      <c r="N44" s="188">
        <f>+INDEX('2019'!$1:$1048576,MATCH('Analytics - 2019'!$A44,'2019'!$A:$A,0),MATCH('Analytics - 2019'!$N$6,'2019'!$6:$6,0))</f>
        <v>1095242.3400000001</v>
      </c>
      <c r="O44" s="188">
        <f>+INDEX('2019'!$1:$1048576,MATCH(CONCATENATE('Analytics - 2019'!$A44,"p"),'2019'!$A:$A,0),MATCH('Analytics - 2019'!$O$6,'2019'!$101:$101,0))</f>
        <v>1236031.8699999999</v>
      </c>
      <c r="P44" s="189">
        <f t="shared" si="3"/>
        <v>-140789.5299999998</v>
      </c>
      <c r="Q44" s="190">
        <f t="shared" si="4"/>
        <v>-0.11390444972911562</v>
      </c>
      <c r="R44" s="188">
        <f>+INDEX('2018'!$1:$1048576,MATCH('Analytics - 2019'!$A44,'2018'!$A:$A,0),MATCH('Analytics - 2019'!$R$6,'2018'!$6:$6,0))</f>
        <v>945506.13</v>
      </c>
      <c r="S44" s="189">
        <f t="shared" si="5"/>
        <v>149736.21000000008</v>
      </c>
      <c r="T44" s="191">
        <f t="shared" si="6"/>
        <v>0.15836619694892939</v>
      </c>
    </row>
    <row r="45" spans="1:20">
      <c r="A45" s="175">
        <v>423</v>
      </c>
      <c r="B45" s="484" t="str">
        <f>+VLOOKUP($A45,Master!$D$27:$G$225,4,FALSE)</f>
        <v>Pension and Disability Insurance</v>
      </c>
      <c r="C45" s="485"/>
      <c r="D45" s="485"/>
      <c r="E45" s="485"/>
      <c r="F45" s="485"/>
      <c r="G45" s="188">
        <f>+SUMPRODUCT(('2019'!$G45:$R45)*('2019'!$G$5:$R$5&lt;=Master!$B$3)*($A45='2019'!$A$10:$A$66))</f>
        <v>140522725.12</v>
      </c>
      <c r="H45" s="188">
        <f>+SUMPRODUCT(('2019'!$G140:$R140)*('2019'!$G$5:$R$5&lt;=Master!$B$3))</f>
        <v>143008338.20999998</v>
      </c>
      <c r="I45" s="189">
        <f t="shared" si="0"/>
        <v>-2485613.0899999738</v>
      </c>
      <c r="J45" s="190">
        <f t="shared" si="1"/>
        <v>-1.7380896254804323E-2</v>
      </c>
      <c r="K45" s="188">
        <f>+SUMPRODUCT(('2018'!$G45:$R45)*('2018'!$G$5:$R$5&lt;=Master!$B$3))</f>
        <v>138333596.56</v>
      </c>
      <c r="L45" s="189">
        <f t="shared" si="7"/>
        <v>2189128.5600000024</v>
      </c>
      <c r="M45" s="191">
        <f t="shared" si="2"/>
        <v>1.5824995622451654E-2</v>
      </c>
      <c r="N45" s="188">
        <f>+INDEX('2019'!$1:$1048576,MATCH('Analytics - 2019'!$A45,'2019'!$A:$A,0),MATCH('Analytics - 2019'!$N$6,'2019'!$6:$6,0))</f>
        <v>35247727.210000001</v>
      </c>
      <c r="O45" s="188">
        <f>+INDEX('2019'!$1:$1048576,MATCH(CONCATENATE('Analytics - 2019'!$A45,"p"),'2019'!$A:$A,0),MATCH('Analytics - 2019'!$O$6,'2019'!$101:$101,0))</f>
        <v>35752084.530000001</v>
      </c>
      <c r="P45" s="189">
        <f t="shared" si="3"/>
        <v>-504357.3200000003</v>
      </c>
      <c r="Q45" s="190">
        <f t="shared" si="4"/>
        <v>-1.4107074500139705E-2</v>
      </c>
      <c r="R45" s="188">
        <f>+INDEX('2018'!$1:$1048576,MATCH('Analytics - 2019'!$A45,'2018'!$A:$A,0),MATCH('Analytics - 2019'!$R$6,'2018'!$6:$6,0))</f>
        <v>34790406.869999997</v>
      </c>
      <c r="S45" s="189">
        <f t="shared" si="5"/>
        <v>457320.34000000358</v>
      </c>
      <c r="T45" s="191">
        <f t="shared" si="6"/>
        <v>1.3145012695851888E-2</v>
      </c>
    </row>
    <row r="46" spans="1:20">
      <c r="A46" s="175">
        <v>424</v>
      </c>
      <c r="B46" s="484" t="str">
        <f>+VLOOKUP($A46,Master!$D$27:$G$225,4,FALSE)</f>
        <v>Other Health Care Transfers</v>
      </c>
      <c r="C46" s="485"/>
      <c r="D46" s="485"/>
      <c r="E46" s="485"/>
      <c r="F46" s="485"/>
      <c r="G46" s="188">
        <f>+SUMPRODUCT(('2019'!$G46:$R46)*('2019'!$G$5:$R$5&lt;=Master!$B$3)*($A46='2019'!$A$10:$A$66))</f>
        <v>6552133.79</v>
      </c>
      <c r="H46" s="188">
        <f>+SUMPRODUCT(('2019'!$G141:$R141)*('2019'!$G$5:$R$5&lt;=Master!$B$3))</f>
        <v>6333366.7199999988</v>
      </c>
      <c r="I46" s="189">
        <f t="shared" si="0"/>
        <v>218767.07000000123</v>
      </c>
      <c r="J46" s="190">
        <f t="shared" si="1"/>
        <v>3.454198685655796E-2</v>
      </c>
      <c r="K46" s="188">
        <f>+SUMPRODUCT(('2018'!$G46:$R46)*('2018'!$G$5:$R$5&lt;=Master!$B$3))</f>
        <v>5762647.7800000003</v>
      </c>
      <c r="L46" s="189">
        <f t="shared" si="7"/>
        <v>789486.00999999978</v>
      </c>
      <c r="M46" s="191">
        <f t="shared" si="2"/>
        <v>0.13700056643059311</v>
      </c>
      <c r="N46" s="188">
        <f>+INDEX('2019'!$1:$1048576,MATCH('Analytics - 2019'!$A46,'2019'!$A:$A,0),MATCH('Analytics - 2019'!$N$6,'2019'!$6:$6,0))</f>
        <v>1689956.36</v>
      </c>
      <c r="O46" s="188">
        <f>+INDEX('2019'!$1:$1048576,MATCH(CONCATENATE('Analytics - 2019'!$A46,"p"),'2019'!$A:$A,0),MATCH('Analytics - 2019'!$O$6,'2019'!$101:$101,0))</f>
        <v>1583341.6600000001</v>
      </c>
      <c r="P46" s="189">
        <f t="shared" si="3"/>
        <v>106614.69999999995</v>
      </c>
      <c r="Q46" s="190">
        <f t="shared" si="4"/>
        <v>6.7335245887485851E-2</v>
      </c>
      <c r="R46" s="188">
        <f>+INDEX('2018'!$1:$1048576,MATCH('Analytics - 2019'!$A46,'2018'!$A:$A,0),MATCH('Analytics - 2019'!$R$6,'2018'!$6:$6,0))</f>
        <v>425632.96</v>
      </c>
      <c r="S46" s="189">
        <f t="shared" si="5"/>
        <v>1264323.4000000001</v>
      </c>
      <c r="T46" s="191">
        <f t="shared" si="6"/>
        <v>2.9704546377235448</v>
      </c>
    </row>
    <row r="47" spans="1:20">
      <c r="A47" s="175">
        <v>425</v>
      </c>
      <c r="B47" s="484" t="str">
        <f>+VLOOKUP($A47,Master!$D$27:$G$225,4,FALSE)</f>
        <v>Other Health Care Insurance</v>
      </c>
      <c r="C47" s="485"/>
      <c r="D47" s="485"/>
      <c r="E47" s="485"/>
      <c r="F47" s="485"/>
      <c r="G47" s="188">
        <f>+SUMPRODUCT(('2019'!$G47:$R47)*('2019'!$G$5:$R$5&lt;=Master!$B$3)*($A47='2019'!$A$10:$A$66))</f>
        <v>3430214.55</v>
      </c>
      <c r="H47" s="188">
        <f>+SUMPRODUCT(('2019'!$G142:$R142)*('2019'!$G$5:$R$5&lt;=Master!$B$3))</f>
        <v>3541667</v>
      </c>
      <c r="I47" s="189">
        <f t="shared" si="0"/>
        <v>-111452.45000000019</v>
      </c>
      <c r="J47" s="190">
        <f t="shared" si="1"/>
        <v>-3.1468924097042494E-2</v>
      </c>
      <c r="K47" s="188">
        <f>+SUMPRODUCT(('2018'!$G47:$R47)*('2018'!$G$5:$R$5&lt;=Master!$B$3))</f>
        <v>2734086.19</v>
      </c>
      <c r="L47" s="189">
        <f t="shared" si="7"/>
        <v>696128.35999999987</v>
      </c>
      <c r="M47" s="191">
        <f t="shared" si="2"/>
        <v>0.25461097844907354</v>
      </c>
      <c r="N47" s="188">
        <f>+INDEX('2019'!$1:$1048576,MATCH('Analytics - 2019'!$A47,'2019'!$A:$A,0),MATCH('Analytics - 2019'!$N$6,'2019'!$6:$6,0))</f>
        <v>779978.55</v>
      </c>
      <c r="O47" s="188">
        <f>+INDEX('2019'!$1:$1048576,MATCH(CONCATENATE('Analytics - 2019'!$A47,"p"),'2019'!$A:$A,0),MATCH('Analytics - 2019'!$O$6,'2019'!$101:$101,0))</f>
        <v>885416.75</v>
      </c>
      <c r="P47" s="189">
        <f t="shared" si="3"/>
        <v>-105438.19999999995</v>
      </c>
      <c r="Q47" s="190">
        <f t="shared" si="4"/>
        <v>-0.11908313232158751</v>
      </c>
      <c r="R47" s="188">
        <f>+INDEX('2018'!$1:$1048576,MATCH('Analytics - 2019'!$A47,'2018'!$A:$A,0),MATCH('Analytics - 2019'!$R$6,'2018'!$6:$6,0))</f>
        <v>523366.82</v>
      </c>
      <c r="S47" s="189">
        <f t="shared" si="5"/>
        <v>256611.73000000004</v>
      </c>
      <c r="T47" s="191">
        <f t="shared" si="6"/>
        <v>0.49030951178754512</v>
      </c>
    </row>
    <row r="48" spans="1:20">
      <c r="A48" s="175">
        <v>43</v>
      </c>
      <c r="B48" s="482" t="str">
        <f>+VLOOKUP($A48,Master!$D$27:$G$225,4,FALSE)</f>
        <v xml:space="preserve">Transfers to Institutions, Individuals, NGO and Public Sector </v>
      </c>
      <c r="C48" s="483"/>
      <c r="D48" s="483"/>
      <c r="E48" s="483"/>
      <c r="F48" s="483"/>
      <c r="G48" s="200">
        <f>+SUMPRODUCT(('2019'!$G48:$R48)*('2019'!$G$5:$R$5&lt;=Master!$B$3)*($A48='2019'!$A$10:$A$66))</f>
        <v>67175489.219999999</v>
      </c>
      <c r="H48" s="200">
        <f>+SUMPRODUCT(('2019'!$G143:$R143)*('2019'!$G$5:$R$5&lt;=Master!$B$3))</f>
        <v>76305240.633333325</v>
      </c>
      <c r="I48" s="201">
        <f t="shared" si="0"/>
        <v>-9129751.4133333266</v>
      </c>
      <c r="J48" s="202">
        <f t="shared" si="1"/>
        <v>-0.11964776386990472</v>
      </c>
      <c r="K48" s="200">
        <f>+SUMPRODUCT(('2018'!$G48:$R48)*('2018'!$G$5:$R$5&lt;=Master!$B$3))</f>
        <v>56179041.650000006</v>
      </c>
      <c r="L48" s="201">
        <f t="shared" si="7"/>
        <v>10996447.569999993</v>
      </c>
      <c r="M48" s="203">
        <f t="shared" si="2"/>
        <v>0.19573932283339324</v>
      </c>
      <c r="N48" s="200">
        <f>+INDEX('2019'!$1:$1048576,MATCH('Analytics - 2019'!$A48,'2019'!$A:$A,0),MATCH('Analytics - 2019'!$N$6,'2019'!$6:$6,0))</f>
        <v>16109431.9</v>
      </c>
      <c r="O48" s="200">
        <f>+INDEX('2019'!$1:$1048576,MATCH(CONCATENATE('Analytics - 2019'!$A48,"p"),'2019'!$A:$A,0),MATCH('Analytics - 2019'!$O$6,'2019'!$101:$101,0))</f>
        <v>15972358.598333333</v>
      </c>
      <c r="P48" s="201">
        <f t="shared" si="3"/>
        <v>137073.30166666768</v>
      </c>
      <c r="Q48" s="202">
        <f t="shared" si="4"/>
        <v>8.5819073509263433E-3</v>
      </c>
      <c r="R48" s="200">
        <f>+INDEX('2018'!$1:$1048576,MATCH('Analytics - 2019'!$A48,'2018'!$A:$A,0),MATCH('Analytics - 2019'!$R$6,'2018'!$6:$6,0))</f>
        <v>15698178.050000001</v>
      </c>
      <c r="S48" s="201">
        <f t="shared" si="5"/>
        <v>411253.84999999963</v>
      </c>
      <c r="T48" s="203">
        <f t="shared" si="6"/>
        <v>2.6197552906466193E-2</v>
      </c>
    </row>
    <row r="49" spans="1:23">
      <c r="A49" s="175">
        <v>44</v>
      </c>
      <c r="B49" s="482" t="str">
        <f>+VLOOKUP($A49,Master!$D$27:$G$225,4,FALSE)</f>
        <v>Capital Expenditure</v>
      </c>
      <c r="C49" s="483"/>
      <c r="D49" s="483"/>
      <c r="E49" s="483"/>
      <c r="F49" s="483"/>
      <c r="G49" s="200">
        <f>+SUMPRODUCT(('2019'!$G49:$R49)*('2019'!$G$5:$R$5&lt;=Master!$B$3)*($A49='2019'!$A$10:$A$66))</f>
        <v>57377645.450000003</v>
      </c>
      <c r="H49" s="200">
        <f>+SUMPRODUCT(('2019'!$G144:$R144)*('2019'!$G$5:$R$5&lt;=Master!$B$3))</f>
        <v>106974999.95999998</v>
      </c>
      <c r="I49" s="201">
        <f t="shared" si="0"/>
        <v>-49597354.509999976</v>
      </c>
      <c r="J49" s="202">
        <f t="shared" si="1"/>
        <v>-0.46363500377233358</v>
      </c>
      <c r="K49" s="200">
        <f>+SUMPRODUCT(('2018'!$G49:$R49)*('2018'!$G$5:$R$5&lt;=Master!$B$3))</f>
        <v>44600966.909999996</v>
      </c>
      <c r="L49" s="201">
        <f t="shared" si="7"/>
        <v>12776678.540000007</v>
      </c>
      <c r="M49" s="203">
        <f t="shared" si="2"/>
        <v>0.28646640252849198</v>
      </c>
      <c r="N49" s="200">
        <f>+INDEX('2019'!$1:$1048576,MATCH('Analytics - 2019'!$A49,'2019'!$A:$A,0),MATCH('Analytics - 2019'!$N$6,'2019'!$6:$6,0))</f>
        <v>12096117.390000001</v>
      </c>
      <c r="O49" s="200">
        <f>+INDEX('2019'!$1:$1048576,MATCH(CONCATENATE('Analytics - 2019'!$A49,"p"),'2019'!$A:$A,0),MATCH('Analytics - 2019'!$O$6,'2019'!$101:$101,0))</f>
        <v>26743749.989999995</v>
      </c>
      <c r="P49" s="201">
        <f t="shared" si="3"/>
        <v>-14647632.599999994</v>
      </c>
      <c r="Q49" s="202">
        <f t="shared" si="4"/>
        <v>-0.54770301866705406</v>
      </c>
      <c r="R49" s="200">
        <f>+INDEX('2018'!$1:$1048576,MATCH('Analytics - 2019'!$A49,'2018'!$A:$A,0),MATCH('Analytics - 2019'!$R$6,'2018'!$6:$6,0))</f>
        <v>28775491.48</v>
      </c>
      <c r="S49" s="201">
        <f t="shared" si="5"/>
        <v>-16679374.09</v>
      </c>
      <c r="T49" s="203" t="s">
        <v>778</v>
      </c>
    </row>
    <row r="50" spans="1:23">
      <c r="A50" s="175">
        <v>451</v>
      </c>
      <c r="B50" s="452" t="str">
        <f>+VLOOKUP($A50,Master!$D$27:$G$225,4,FALSE)</f>
        <v>Credits and Borrowings</v>
      </c>
      <c r="C50" s="453"/>
      <c r="D50" s="453"/>
      <c r="E50" s="453"/>
      <c r="F50" s="453"/>
      <c r="G50" s="188">
        <f>+SUMPRODUCT(('2019'!$G50:$R50)*('2019'!$G$5:$R$5&lt;=Master!$B$3)*($A50='2019'!$A$10:$A$66))</f>
        <v>686857.98</v>
      </c>
      <c r="H50" s="188">
        <f>+SUMPRODUCT(('2019'!$G145:$R145)*('2019'!$G$5:$R$5&lt;=Master!$B$3))</f>
        <v>760000.33333333337</v>
      </c>
      <c r="I50" s="189">
        <f>G50-H50</f>
        <v>-73142.353333333391</v>
      </c>
      <c r="J50" s="343">
        <f t="shared" si="1"/>
        <v>-9.6239896386010382E-2</v>
      </c>
      <c r="K50" s="188">
        <f>+SUMPRODUCT(('2018'!$G50:$R50)*('2018'!$G$5:$R$5&lt;=Master!$B$3))</f>
        <v>671170.62</v>
      </c>
      <c r="L50" s="349">
        <f t="shared" si="7"/>
        <v>15687.359999999986</v>
      </c>
      <c r="M50" s="352">
        <f t="shared" si="2"/>
        <v>2.3373132751251857E-2</v>
      </c>
      <c r="N50" s="188">
        <f>+INDEX('2019'!$1:$1048576,MATCH('Analytics - 2019'!$A50,'2019'!$A:$A,0),MATCH('Analytics - 2019'!$N$6,'2019'!$6:$6,0))</f>
        <v>384534</v>
      </c>
      <c r="O50" s="188">
        <f>+INDEX('2019'!$1:$1048576,MATCH(CONCATENATE('Analytics - 2019'!$A50,"p"),'2019'!$A:$A,0),MATCH('Analytics - 2019'!$O$6,'2019'!$101:$101,0))</f>
        <v>190000.08333333334</v>
      </c>
      <c r="P50" s="189">
        <f t="shared" si="3"/>
        <v>194533.91666666666</v>
      </c>
      <c r="Q50" s="343">
        <f t="shared" si="4"/>
        <v>1.0238622702358464</v>
      </c>
      <c r="R50" s="188">
        <f>+INDEX('2018'!$1:$1048576,MATCH('Analytics - 2019'!$A50,'2018'!$A:$A,0),MATCH('Analytics - 2019'!$R$6,'2018'!$6:$6,0))</f>
        <v>285264</v>
      </c>
      <c r="S50" s="349">
        <f t="shared" si="5"/>
        <v>99270</v>
      </c>
      <c r="T50" s="352" t="s">
        <v>778</v>
      </c>
    </row>
    <row r="51" spans="1:23">
      <c r="A51" s="175">
        <v>47</v>
      </c>
      <c r="B51" s="452" t="str">
        <f>+VLOOKUP($A51,Master!$D$27:$G$225,4,FALSE)</f>
        <v>Reserves</v>
      </c>
      <c r="C51" s="453"/>
      <c r="D51" s="453"/>
      <c r="E51" s="453"/>
      <c r="F51" s="453"/>
      <c r="G51" s="188">
        <f>+SUMPRODUCT(('2019'!$G51:$R51)*('2019'!$G$5:$R$5&lt;=Master!$B$3)*($A51='2019'!$A$10:$A$66))</f>
        <v>4039163.3000000003</v>
      </c>
      <c r="H51" s="188">
        <f>+SUMPRODUCT(('2019'!$G146:$R146)*('2019'!$G$5:$R$5&lt;=Master!$B$3))</f>
        <v>6795333.333333333</v>
      </c>
      <c r="I51" s="189">
        <f t="shared" ref="I51:I52" si="8">G51-H51</f>
        <v>-2756170.0333333327</v>
      </c>
      <c r="J51" s="344">
        <f t="shared" si="1"/>
        <v>-0.40559747375649946</v>
      </c>
      <c r="K51" s="188">
        <f>+SUMPRODUCT(('2018'!$G51:$R51)*('2018'!$G$5:$R$5&lt;=Master!$B$3))</f>
        <v>3094948.94</v>
      </c>
      <c r="L51" s="350">
        <f t="shared" si="7"/>
        <v>944214.36000000034</v>
      </c>
      <c r="M51" s="353">
        <f t="shared" si="2"/>
        <v>0.30508237076117983</v>
      </c>
      <c r="N51" s="188">
        <f>+INDEX('2019'!$1:$1048576,MATCH('Analytics - 2019'!$A51,'2019'!$A:$A,0),MATCH('Analytics - 2019'!$N$6,'2019'!$6:$6,0))</f>
        <v>1807504.1</v>
      </c>
      <c r="O51" s="188">
        <f>+INDEX('2019'!$1:$1048576,MATCH(CONCATENATE('Analytics - 2019'!$A51,"p"),'2019'!$A:$A,0),MATCH('Analytics - 2019'!$O$6,'2019'!$101:$101,0))</f>
        <v>1650583.3333333333</v>
      </c>
      <c r="P51" s="189">
        <f t="shared" si="3"/>
        <v>156920.76666666684</v>
      </c>
      <c r="Q51" s="344">
        <f t="shared" si="4"/>
        <v>9.5069884384308745E-2</v>
      </c>
      <c r="R51" s="188">
        <f>+INDEX('2018'!$1:$1048576,MATCH('Analytics - 2019'!$A51,'2018'!$A:$A,0),MATCH('Analytics - 2019'!$R$6,'2018'!$6:$6,0))</f>
        <v>460039.86</v>
      </c>
      <c r="S51" s="350">
        <f t="shared" si="5"/>
        <v>1347464.2400000002</v>
      </c>
      <c r="T51" s="353" t="s">
        <v>778</v>
      </c>
      <c r="W51" s="441"/>
    </row>
    <row r="52" spans="1:23" ht="15.75" thickBot="1">
      <c r="A52" s="175">
        <v>462</v>
      </c>
      <c r="B52" s="470" t="str">
        <f>+VLOOKUP($A52,Master!$D$27:$G$225,4,FALSE)</f>
        <v>Repayment of Guarantees</v>
      </c>
      <c r="C52" s="471"/>
      <c r="D52" s="471"/>
      <c r="E52" s="471"/>
      <c r="F52" s="471"/>
      <c r="G52" s="188">
        <f>+SUMPRODUCT(('2019'!$G52:$R52)*('2019'!$G$5:$R$5&lt;=Master!$B$3)*($A52='2019'!$A$10:$A$66))</f>
        <v>9434699.4100000001</v>
      </c>
      <c r="H52" s="188">
        <f>+SUMPRODUCT(('2019'!$G147:$R147)*('2019'!$G$5:$R$5&lt;=Master!$B$3))</f>
        <v>0</v>
      </c>
      <c r="I52" s="189">
        <f t="shared" si="8"/>
        <v>9434699.4100000001</v>
      </c>
      <c r="J52" s="345" t="str">
        <f t="shared" si="1"/>
        <v>…</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0" t="str">
        <f>+VLOOKUP($A53,Master!$D$27:$G$225,4,FALSE)</f>
        <v>Repayments of Arrears</v>
      </c>
      <c r="C53" s="471"/>
      <c r="D53" s="471"/>
      <c r="E53" s="471"/>
      <c r="F53" s="471"/>
      <c r="G53" s="390">
        <f>+SUMPRODUCT(('2019'!$G53:$R53)*('2019'!$G$5:$R$5&lt;=Master!$B$3)*($A53='2019'!$A$10:$A$66))</f>
        <v>6057199.3799999999</v>
      </c>
      <c r="H53" s="390">
        <f>+SUMPRODUCT(('2019'!$G148:$R148)*('2019'!$G$5:$R$5&lt;=Master!$B$3))</f>
        <v>5544482.6600000001</v>
      </c>
      <c r="I53" s="351">
        <f>G53-H53</f>
        <v>512716.71999999974</v>
      </c>
      <c r="J53" s="346">
        <f t="shared" si="1"/>
        <v>9.2473320134794923E-2</v>
      </c>
      <c r="K53" s="390">
        <f>+SUMPRODUCT(('2018'!$G53:$R53)*('2018'!$G$5:$R$5&lt;=Master!$B$3))</f>
        <v>8431927.9900000002</v>
      </c>
      <c r="L53" s="357">
        <f t="shared" si="7"/>
        <v>-2374728.6100000003</v>
      </c>
      <c r="M53" s="355">
        <f t="shared" si="2"/>
        <v>-0.28163530485748378</v>
      </c>
      <c r="N53" s="390">
        <f>+INDEX('2019'!$1:$1048576,MATCH('Analytics - 2019'!$A53,'2019'!$A:$A,0),MATCH('Analytics - 2019'!$N$6,'2019'!$6:$6,0))</f>
        <v>1788599.55</v>
      </c>
      <c r="O53" s="390">
        <f>+INDEX('2019'!$1:$1048576,MATCH(CONCATENATE('Analytics - 2019'!$A53,"p"),'2019'!$A:$A,0),MATCH('Analytics - 2019'!$O$6,'2019'!$101:$101,0))</f>
        <v>1544149.3599999999</v>
      </c>
      <c r="P53" s="351">
        <f>N53-O53</f>
        <v>244450.19000000018</v>
      </c>
      <c r="Q53" s="346">
        <f t="shared" si="4"/>
        <v>0.15830734793686041</v>
      </c>
      <c r="R53" s="390">
        <f>+INDEX('2018'!$1:$1048576,MATCH('Analytics - 2019'!$A53,'2018'!$A:$A,0),MATCH('Analytics - 2019'!$R$6,'2018'!$6:$6,0))</f>
        <v>2489375.33</v>
      </c>
      <c r="S53" s="357">
        <f>+N53-R53</f>
        <v>-700775.78</v>
      </c>
      <c r="T53" s="355">
        <f>+IF(ISNUMBER(N53/R53-1),N53/R53-1,"…")</f>
        <v>-0.28150667822356867</v>
      </c>
    </row>
    <row r="54" spans="1:23" ht="15.75" thickBot="1">
      <c r="A54" s="169">
        <v>1005</v>
      </c>
      <c r="B54" s="470" t="str">
        <f>+VLOOKUP($A54,Master!$D$27:$G$227,4,FALSE)</f>
        <v>Net increase of liabilities</v>
      </c>
      <c r="C54" s="471"/>
      <c r="D54" s="471"/>
      <c r="E54" s="471"/>
      <c r="F54" s="471"/>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-61144661.090000078</v>
      </c>
      <c r="H55" s="176">
        <f>+SUMPRODUCT(('2019'!$G150:$R150)*('2019'!$G$5:$R$5&lt;=Master!$B$3))</f>
        <v>-180615696.01780936</v>
      </c>
      <c r="I55" s="397">
        <f>+G55-H55</f>
        <v>119471034.92780928</v>
      </c>
      <c r="J55" s="348">
        <f t="shared" si="1"/>
        <v>-0.66146540728126424</v>
      </c>
      <c r="K55" s="176">
        <f>+SUMPRODUCT(('2018'!$G55:$R55)*('2018'!$G$5:$R$5&lt;=Master!$B$3))</f>
        <v>-76311021.63000001</v>
      </c>
      <c r="L55" s="358">
        <f t="shared" si="7"/>
        <v>15166360.539999932</v>
      </c>
      <c r="M55" s="356">
        <f t="shared" si="2"/>
        <v>-0.19874403744108193</v>
      </c>
      <c r="N55" s="176">
        <f>+INDEX('2019'!$1:$1048576,MATCH('Analytics - 2019'!$A55,'2019'!$A:$A,0),MATCH('Analytics - 2019'!$N$6,'2019'!$6:$6,0))</f>
        <v>10148430.530000001</v>
      </c>
      <c r="O55" s="176">
        <f>+INDEX('2019'!$1:$1048576,MATCH(CONCATENATE('Analytics - 2019'!$A55,"p"),'2019'!$A:$A,0),MATCH('Analytics - 2019'!$O$6,'2019'!$101:$101,0))</f>
        <v>-16163220.784077942</v>
      </c>
      <c r="P55" s="397">
        <f>N55-O55</f>
        <v>26311651.314077944</v>
      </c>
      <c r="Q55" s="348">
        <f t="shared" si="4"/>
        <v>-1.6278718001548933</v>
      </c>
      <c r="R55" s="176">
        <f>+INDEX('2018'!$1:$1048576,MATCH('Analytics - 2019'!$A55,'2018'!$A:$A,0),MATCH('Analytics - 2019'!$R$6,'2018'!$6:$6,0))</f>
        <v>-6252454.4299999774</v>
      </c>
      <c r="S55" s="358">
        <f t="shared" si="5"/>
        <v>16400884.959999979</v>
      </c>
      <c r="T55" s="348">
        <f>+IF(ISNUMBER(N55/R55-1),N55/R55-1,"…")</f>
        <v>-2.6231114746405337</v>
      </c>
    </row>
    <row r="56" spans="1:23" ht="15.75" thickBot="1">
      <c r="A56" s="169">
        <v>1001</v>
      </c>
      <c r="B56" s="478" t="str">
        <f>+VLOOKUP($A56,Master!$D$27:$G$225,4,FALSE)</f>
        <v>Primary balance</v>
      </c>
      <c r="C56" s="479"/>
      <c r="D56" s="479"/>
      <c r="E56" s="479"/>
      <c r="F56" s="479"/>
      <c r="G56" s="176">
        <f>+SUMPRODUCT(('2019'!$G56:$R56)*('2019'!$G$5:$R$5&lt;=Master!$B$3)*($A56='2019'!$A$10:$A$66))</f>
        <v>-6938175.000000082</v>
      </c>
      <c r="H56" s="176">
        <f>+SUMPRODUCT(('2019'!$G151:$R151)*('2019'!$G$5:$R$5&lt;=Master!$B$3))</f>
        <v>-125047019.85780936</v>
      </c>
      <c r="I56" s="231">
        <f t="shared" si="0"/>
        <v>118108844.85780928</v>
      </c>
      <c r="J56" s="232">
        <f t="shared" si="1"/>
        <v>-0.94451547099731392</v>
      </c>
      <c r="K56" s="176">
        <f>+SUMPRODUCT(('2018'!$G56:$R56)*('2018'!$G$5:$R$5&lt;=Master!$B$3))</f>
        <v>-14420681.690000009</v>
      </c>
      <c r="L56" s="231">
        <f t="shared" si="7"/>
        <v>7482506.6899999268</v>
      </c>
      <c r="M56" s="233">
        <f t="shared" si="2"/>
        <v>-0.51887329953261885</v>
      </c>
      <c r="N56" s="176">
        <f>+INDEX('2019'!$1:$1048576,MATCH('Analytics - 2019'!$A56,'2019'!$A:$A,0),MATCH('Analytics - 2019'!$N$6,'2019'!$6:$6,0))</f>
        <v>28553752.390000001</v>
      </c>
      <c r="O56" s="176">
        <f>+INDEX('2019'!$1:$1048576,MATCH(CONCATENATE('Analytics - 2019'!$A56,"p"),'2019'!$A:$A,0),MATCH('Analytics - 2019'!$O$6,'2019'!$101:$101,0))</f>
        <v>2336511.3159220591</v>
      </c>
      <c r="P56" s="231">
        <f t="shared" si="3"/>
        <v>26217241.074077941</v>
      </c>
      <c r="Q56" s="232" t="s">
        <v>778</v>
      </c>
      <c r="R56" s="176">
        <f>+INDEX('2018'!$1:$1048576,MATCH('Analytics - 2019'!$A56,'2018'!$A:$A,0),MATCH('Analytics - 2019'!$R$6,'2018'!$6:$6,0))</f>
        <v>10748330.020000022</v>
      </c>
      <c r="S56" s="231">
        <f t="shared" si="5"/>
        <v>17805422.369999979</v>
      </c>
      <c r="T56" s="348">
        <f>+IF(ISNUMBER(N56/R56-1),N56/R56-1,"…")</f>
        <v>1.6565757040273632</v>
      </c>
    </row>
    <row r="57" spans="1:23">
      <c r="A57" s="169">
        <v>46</v>
      </c>
      <c r="B57" s="480" t="str">
        <f>+VLOOKUP($A57,Master!$D$27:$G$225,4,FALSE)</f>
        <v>Repayment of Debt</v>
      </c>
      <c r="C57" s="481"/>
      <c r="D57" s="481"/>
      <c r="E57" s="481"/>
      <c r="F57" s="481"/>
      <c r="G57" s="182">
        <f>+SUMPRODUCT(('2019'!$G57:$R57)*('2019'!$G$5:$R$5&lt;=Master!$B$3)*($A57='2019'!$A$10:$A$66))</f>
        <v>122972425.87</v>
      </c>
      <c r="H57" s="182">
        <f>+SUMPRODUCT(('2019'!$G152:$R152)*('2019'!$G$5:$R$5&lt;=Master!$B$3))</f>
        <v>43919177.590000004</v>
      </c>
      <c r="I57" s="219">
        <f t="shared" si="0"/>
        <v>79053248.280000001</v>
      </c>
      <c r="J57" s="220">
        <f t="shared" si="1"/>
        <v>1.7999710517803438</v>
      </c>
      <c r="K57" s="182">
        <f>+SUMPRODUCT(('2018'!$G57:$R57)*('2018'!$G$5:$R$5&lt;=Master!$B$3))</f>
        <v>482087633.22000003</v>
      </c>
      <c r="L57" s="219">
        <f t="shared" si="7"/>
        <v>-359115207.35000002</v>
      </c>
      <c r="M57" s="221">
        <f t="shared" si="2"/>
        <v>-0.74491686283543035</v>
      </c>
      <c r="N57" s="182">
        <f>+INDEX('2019'!$1:$1048576,MATCH('Analytics - 2019'!$A57,'2019'!$A:$A,0),MATCH('Analytics - 2019'!$N$6,'2019'!$6:$6,0))</f>
        <v>18302050.879999999</v>
      </c>
      <c r="O57" s="182">
        <f>+INDEX('2019'!$1:$1048576,MATCH(CONCATENATE('Analytics - 2019'!$A57,"p"),'2019'!$A:$A,0),MATCH('Analytics - 2019'!$O$6,'2019'!$101:$101,0))</f>
        <v>21217195.289999999</v>
      </c>
      <c r="P57" s="219">
        <f t="shared" si="3"/>
        <v>-2915144.41</v>
      </c>
      <c r="Q57" s="220">
        <f t="shared" si="4"/>
        <v>-0.13739537060178519</v>
      </c>
      <c r="R57" s="182">
        <f>+INDEX('2018'!$1:$1048576,MATCH('Analytics - 2019'!$A57,'2018'!$A:$A,0),MATCH('Analytics - 2019'!$R$6,'2018'!$6:$6,0))</f>
        <v>382332471.99000001</v>
      </c>
      <c r="S57" s="219">
        <f t="shared" si="5"/>
        <v>-364030421.11000001</v>
      </c>
      <c r="T57" s="221">
        <f t="shared" si="6"/>
        <v>-0.95213053501644851</v>
      </c>
    </row>
    <row r="58" spans="1:23">
      <c r="A58" s="169">
        <v>4611</v>
      </c>
      <c r="B58" s="468" t="str">
        <f>+VLOOKUP($A58,Master!$D$27:$G$225,4,FALSE)</f>
        <v>Repayment of Domestic Debt</v>
      </c>
      <c r="C58" s="469"/>
      <c r="D58" s="469"/>
      <c r="E58" s="469"/>
      <c r="F58" s="469"/>
      <c r="G58" s="188">
        <f>+SUMPRODUCT(('2019'!$G58:$R58)*('2019'!$G$5:$R$5&lt;=Master!$B$3)*($A58='2019'!$A$10:$A$66))</f>
        <v>86274370.820000008</v>
      </c>
      <c r="H58" s="188">
        <f>+SUMPRODUCT(('2019'!$G153:$R153)*('2019'!$G$5:$R$5&lt;=Master!$B$3))</f>
        <v>7274423.0899999999</v>
      </c>
      <c r="I58" s="237">
        <f t="shared" si="0"/>
        <v>78999947.730000004</v>
      </c>
      <c r="J58" s="238" t="s">
        <v>778</v>
      </c>
      <c r="K58" s="188">
        <f>+SUMPRODUCT(('2018'!$G58:$R58)*('2018'!$G$5:$R$5&lt;=Master!$B$3))</f>
        <v>84802182.190000013</v>
      </c>
      <c r="L58" s="237">
        <f t="shared" si="7"/>
        <v>1472188.6299999952</v>
      </c>
      <c r="M58" s="239">
        <f t="shared" si="2"/>
        <v>1.7360268238163279E-2</v>
      </c>
      <c r="N58" s="188">
        <f>+INDEX('2019'!$1:$1048576,MATCH('Analytics - 2019'!$A58,'2019'!$A:$A,0),MATCH('Analytics - 2019'!$N$6,'2019'!$6:$6,0))</f>
        <v>2291816.1800000002</v>
      </c>
      <c r="O58" s="188">
        <f>+INDEX('2019'!$1:$1048576,MATCH(CONCATENATE('Analytics - 2019'!$A58,"p"),'2019'!$A:$A,0),MATCH('Analytics - 2019'!$O$6,'2019'!$101:$101,0))</f>
        <v>4541832.53</v>
      </c>
      <c r="P58" s="237">
        <f t="shared" si="3"/>
        <v>-2250016.35</v>
      </c>
      <c r="Q58" s="238">
        <f t="shared" si="4"/>
        <v>-0.49539835190708803</v>
      </c>
      <c r="R58" s="188">
        <f>+INDEX('2018'!$1:$1048576,MATCH('Analytics - 2019'!$A58,'2018'!$A:$A,0),MATCH('Analytics - 2019'!$R$6,'2018'!$6:$6,0))</f>
        <v>2231658.5099999998</v>
      </c>
      <c r="S58" s="237">
        <f t="shared" si="5"/>
        <v>60157.670000000391</v>
      </c>
      <c r="T58" s="239">
        <f t="shared" si="6"/>
        <v>2.6956485380910999E-2</v>
      </c>
    </row>
    <row r="59" spans="1:23">
      <c r="A59" s="169">
        <v>4612</v>
      </c>
      <c r="B59" s="452" t="str">
        <f>+VLOOKUP($A59,Master!$D$27:$G$225,4,FALSE)</f>
        <v>Repayment of Foreign Debt</v>
      </c>
      <c r="C59" s="453"/>
      <c r="D59" s="453"/>
      <c r="E59" s="453"/>
      <c r="F59" s="453"/>
      <c r="G59" s="188">
        <f>+SUMPRODUCT(('2019'!$G59:$R59)*('2019'!$G$5:$R$5&lt;=Master!$B$3)*($A59='2019'!$A$10:$A$66))</f>
        <v>36698055.049999997</v>
      </c>
      <c r="H59" s="188">
        <f>+SUMPRODUCT(('2019'!$G154:$R154)*('2019'!$G$5:$R$5&lt;=Master!$B$3))</f>
        <v>36644754.5</v>
      </c>
      <c r="I59" s="237">
        <f t="shared" si="0"/>
        <v>53300.54999999702</v>
      </c>
      <c r="J59" s="238">
        <f t="shared" si="1"/>
        <v>1.4545205917533277E-3</v>
      </c>
      <c r="K59" s="188">
        <f>+SUMPRODUCT(('2018'!$G59:$R59)*('2018'!$G$5:$R$5&lt;=Master!$B$3))</f>
        <v>397285451.03000003</v>
      </c>
      <c r="L59" s="237">
        <f t="shared" si="7"/>
        <v>-360587395.98000002</v>
      </c>
      <c r="M59" s="239">
        <f t="shared" si="2"/>
        <v>-0.90762799152383555</v>
      </c>
      <c r="N59" s="188">
        <f>+INDEX('2019'!$1:$1048576,MATCH('Analytics - 2019'!$A59,'2019'!$A:$A,0),MATCH('Analytics - 2019'!$N$6,'2019'!$6:$6,0))</f>
        <v>16010234.699999999</v>
      </c>
      <c r="O59" s="188">
        <f>+INDEX('2019'!$1:$1048576,MATCH(CONCATENATE('Analytics - 2019'!$A59,"p"),'2019'!$A:$A,0),MATCH('Analytics - 2019'!$O$6,'2019'!$101:$101,0))</f>
        <v>16675362.76</v>
      </c>
      <c r="P59" s="237">
        <f t="shared" si="3"/>
        <v>-665128.06000000052</v>
      </c>
      <c r="Q59" s="238">
        <f t="shared" si="4"/>
        <v>-3.988687200229768E-2</v>
      </c>
      <c r="R59" s="188">
        <f>+INDEX('2018'!$1:$1048576,MATCH('Analytics - 2019'!$A59,'2018'!$A:$A,0),MATCH('Analytics - 2019'!$R$6,'2018'!$6:$6,0))</f>
        <v>380100813.48000002</v>
      </c>
      <c r="S59" s="237">
        <f t="shared" si="5"/>
        <v>-364090578.78000003</v>
      </c>
      <c r="T59" s="239">
        <f t="shared" si="6"/>
        <v>-0.95787897807053124</v>
      </c>
    </row>
    <row r="60" spans="1:23" ht="15.75" thickBot="1">
      <c r="A60" s="169">
        <v>4418</v>
      </c>
      <c r="B60" s="488" t="s">
        <v>795</v>
      </c>
      <c r="C60" s="489"/>
      <c r="D60" s="489"/>
      <c r="E60" s="489"/>
      <c r="F60" s="489"/>
      <c r="G60" s="425">
        <f>+SUMPRODUCT(('2019'!$G60:$R60)*('2019'!$G$5:$R$5&lt;=Master!$B$3)*($A60='2019'!$A$10:$A$66))</f>
        <v>39983668.460000001</v>
      </c>
      <c r="H60" s="425">
        <f>+SUMPRODUCT(('2019'!$G155:$R155)*('2019'!$G$5:$R$5&lt;=Master!$B$3))</f>
        <v>40006666.68</v>
      </c>
      <c r="I60" s="426">
        <f t="shared" ref="I60:I66" si="9">+G60-H60</f>
        <v>-22998.219999998808</v>
      </c>
      <c r="J60" s="427">
        <f>+IF(ISNUMBER(G60/H60-1),G60/H61-1,"…")</f>
        <v>-1.1511432511374189</v>
      </c>
      <c r="K60" s="425">
        <f>+SUMPRODUCT(('2018'!$G60:$R60)*('2018'!$G$5:$R$5&lt;=Master!$B$3))</f>
        <v>0</v>
      </c>
      <c r="L60" s="426">
        <f>+G60-K60</f>
        <v>39983668.460000001</v>
      </c>
      <c r="M60" s="428" t="str">
        <f>+IF(ISNUMBER(G60/K60-1),G60/K61-1,"…")</f>
        <v>…</v>
      </c>
      <c r="N60" s="425">
        <f>+INDEX('2019'!$1:$1048576,MATCH('Analytics - 2019'!$A60,'2019'!$A:$A,0),MATCH('Analytics - 2019'!$N$6,'2019'!$6:$6,0))</f>
        <v>39948396.369999997</v>
      </c>
      <c r="O60" s="425">
        <f>+INDEX('2019'!$1:$1048576,MATCH('Analytics - 2019'!$A60,'2019'!$A:$A,0),MATCH('Analytics - 2019'!$O$6,'2019'!$101:$101,0))</f>
        <v>39948396.369999997</v>
      </c>
      <c r="P60" s="426">
        <f t="shared" ref="P60:P66" si="10">+N60-O60</f>
        <v>0</v>
      </c>
      <c r="Q60" s="427">
        <f t="shared" ref="Q60:Q66" si="11">+IF(ISNUMBER(N60/O60-1),N60/O60-1,"…")</f>
        <v>0</v>
      </c>
      <c r="R60" s="425">
        <f>+INDEX('2018'!$1:$1048576,MATCH('Analytics - 2019'!$A60,'2018'!$A:$A,0),MATCH('Analytics - 2019'!$R$6,'2018'!$6:$6,0))</f>
        <v>0</v>
      </c>
      <c r="S60" s="426">
        <f t="shared" ref="S60:S66" si="12">+N60-R60</f>
        <v>39948396.369999997</v>
      </c>
      <c r="T60" s="428" t="str">
        <f t="shared" ref="T60:T66" si="13">+IF(ISNUMBER(N60/R60-1),N60/R60-1,"…")</f>
        <v>…</v>
      </c>
    </row>
    <row r="61" spans="1:23" ht="15.75" thickBot="1">
      <c r="A61" s="169">
        <v>1002</v>
      </c>
      <c r="B61" s="472" t="str">
        <f>+VLOOKUP($A61,Master!$D$27:$G$225,4,FALSE)</f>
        <v>Financing needs</v>
      </c>
      <c r="C61" s="473"/>
      <c r="D61" s="473"/>
      <c r="E61" s="473"/>
      <c r="F61" s="473"/>
      <c r="G61" s="396">
        <f>+SUMPRODUCT(('2019'!$G61:$R61)*('2019'!$G$5:$R$5&lt;=Master!$B$3)*($A61='2019'!$A$10:$A$66))</f>
        <v>-224100755.42000008</v>
      </c>
      <c r="H61" s="396">
        <f>+SUMPRODUCT(('2019'!$G156:$R156)*('2019'!$G$5:$R$5&lt;=Master!$B$3))</f>
        <v>-264541540.28780937</v>
      </c>
      <c r="I61" s="398">
        <f t="shared" si="9"/>
        <v>40440784.867809296</v>
      </c>
      <c r="J61" s="399">
        <f t="shared" ref="J61:J66" si="14">+IF(ISNUMBER(G61/H61-1),G61/H61-1,"…")</f>
        <v>-0.1528712081430067</v>
      </c>
      <c r="K61" s="396">
        <f>+SUMPRODUCT(('2018'!$G61:$R61)*('2018'!$G$5:$R$5&lt;=Master!$B$3))</f>
        <v>-558398654.85000002</v>
      </c>
      <c r="L61" s="398">
        <f>+G61-K62</f>
        <v>-782499410.2700001</v>
      </c>
      <c r="M61" s="401">
        <f>+IF(ISNUMBER(G61/K62-1),G61/K62-1,"…")</f>
        <v>-1.4013275345016711</v>
      </c>
      <c r="N61" s="396">
        <f>+INDEX('2019'!$1:$1048576,MATCH('Analytics - 2019'!$A61,'2019'!$A:$A,0),MATCH('Analytics - 2019'!$N$6,'2019'!$6:$6,0))</f>
        <v>-48102016.719999999</v>
      </c>
      <c r="O61" s="396">
        <f>+INDEX('2019'!$1:$1048576,MATCH(CONCATENATE('Analytics - 2019'!$A61,"p"),'2019'!$A:$A,0),MATCH('Analytics - 2019'!$O$6,'2019'!$101:$101,0))</f>
        <v>-77307082.744077951</v>
      </c>
      <c r="P61" s="398">
        <f t="shared" si="10"/>
        <v>29205066.024077952</v>
      </c>
      <c r="Q61" s="399">
        <f t="shared" si="11"/>
        <v>-0.37777995220386429</v>
      </c>
      <c r="R61" s="396">
        <f>+INDEX('2018'!$1:$1048576,MATCH('Analytics - 2019'!$A61,'2018'!$A:$A,0),MATCH('Analytics - 2019'!$R$6,'2018'!$6:$6,0))</f>
        <v>-388584926.41999996</v>
      </c>
      <c r="S61" s="398">
        <f t="shared" si="12"/>
        <v>340482909.69999993</v>
      </c>
      <c r="T61" s="401">
        <f t="shared" si="13"/>
        <v>-0.87621234523129909</v>
      </c>
    </row>
    <row r="62" spans="1:23" ht="15.75" thickBot="1">
      <c r="A62" s="169">
        <v>1003</v>
      </c>
      <c r="B62" s="474" t="str">
        <f>+VLOOKUP($A62,Master!$D$27:$G$225,4,FALSE)</f>
        <v>Financing</v>
      </c>
      <c r="C62" s="475"/>
      <c r="D62" s="475"/>
      <c r="E62" s="475"/>
      <c r="F62" s="475"/>
      <c r="G62" s="176">
        <f>+SUMPRODUCT(('2019'!$G62:$R62)*('2019'!$G$5:$R$5&lt;=Master!$B$3)*($A62='2019'!$A$10:$A$66))</f>
        <v>224100755.42000008</v>
      </c>
      <c r="H62" s="176">
        <f>+SUMPRODUCT(('2019'!$G157:$R157)*('2019'!$G$5:$R$5&lt;=Master!$B$3))</f>
        <v>264541540.28780937</v>
      </c>
      <c r="I62" s="397">
        <f t="shared" si="9"/>
        <v>-40440784.867809296</v>
      </c>
      <c r="J62" s="400">
        <f t="shared" si="14"/>
        <v>-0.1528712081430067</v>
      </c>
      <c r="K62" s="176">
        <f>+SUMPRODUCT(('2018'!$G62:$R62)*('2018'!$G$5:$R$5&lt;=Master!$B$3))</f>
        <v>558398654.85000002</v>
      </c>
      <c r="L62" s="397">
        <f>+G62-K63</f>
        <v>87500755.420000076</v>
      </c>
      <c r="M62" s="402">
        <f>+IF(ISNUMBER(G62/K63-1),G62/K63-1,"…")</f>
        <v>0.64056189912152317</v>
      </c>
      <c r="N62" s="176">
        <f>+INDEX('2019'!$1:$1048576,MATCH('Analytics - 2019'!$A62,'2019'!$A:$A,0),MATCH('Analytics - 2019'!$N$6,'2019'!$6:$6,0))</f>
        <v>48102016.719999999</v>
      </c>
      <c r="O62" s="176">
        <f>+INDEX('2019'!$1:$1048576,MATCH(CONCATENATE('Analytics - 2019'!$A62,"p"),'2019'!$A:$A,0),MATCH('Analytics - 2019'!$O$6,'2019'!$101:$101,0))</f>
        <v>77307082.744077951</v>
      </c>
      <c r="P62" s="397">
        <f t="shared" si="10"/>
        <v>-29205066.024077952</v>
      </c>
      <c r="Q62" s="400">
        <f t="shared" si="11"/>
        <v>-0.37777995220386429</v>
      </c>
      <c r="R62" s="176">
        <f>+INDEX('2018'!$1:$1048576,MATCH('Analytics - 2019'!$A62,'2018'!$A:$A,0),MATCH('Analytics - 2019'!$R$6,'2018'!$6:$6,0))</f>
        <v>388584926.41999996</v>
      </c>
      <c r="S62" s="397">
        <f t="shared" si="12"/>
        <v>-340482909.69999993</v>
      </c>
      <c r="T62" s="402">
        <f t="shared" si="13"/>
        <v>-0.87621234523129909</v>
      </c>
    </row>
    <row r="63" spans="1:23">
      <c r="A63" s="169">
        <v>7511</v>
      </c>
      <c r="B63" s="468" t="str">
        <f>+VLOOKUP($A63,Master!$D$27:$G$225,4,FALSE)</f>
        <v>Domestic Loans and Borrowings</v>
      </c>
      <c r="C63" s="469"/>
      <c r="D63" s="469"/>
      <c r="E63" s="469"/>
      <c r="F63" s="469"/>
      <c r="G63" s="188">
        <f>+SUMPRODUCT(('2019'!$G63:$R63)*('2019'!$G$5:$R$5&lt;=Master!$B$3)*($A63='2019'!$A$10:$A$66))</f>
        <v>146623000</v>
      </c>
      <c r="H63" s="188">
        <f>+SUMPRODUCT(('2019'!$G158:$R158)*('2019'!$G$5:$R$5&lt;=Master!$B$3))</f>
        <v>95000000</v>
      </c>
      <c r="I63" s="237">
        <f t="shared" si="9"/>
        <v>51623000</v>
      </c>
      <c r="J63" s="238">
        <f t="shared" si="14"/>
        <v>0.54340000000000011</v>
      </c>
      <c r="K63" s="188">
        <f>+SUMPRODUCT(('2018'!$G63:$R63)*('2018'!$G$5:$R$5&lt;=Master!$B$3))</f>
        <v>136600000</v>
      </c>
      <c r="L63" s="237" t="s">
        <v>778</v>
      </c>
      <c r="M63" s="239">
        <f>+IF(ISNUMBER(G63/K63-1),G63/K63-1,"…")</f>
        <v>7.3374816983894586E-2</v>
      </c>
      <c r="N63" s="188">
        <f>+INDEX('2019'!$1:$1048576,MATCH('Analytics - 2019'!$A63,'2019'!$A:$A,0),MATCH('Analytics - 2019'!$N$6,'2019'!$6:$6,0))</f>
        <v>74623000</v>
      </c>
      <c r="O63" s="188">
        <f>+INDEX('2019'!$1:$1048576,MATCH(CONCATENATE('Analytics - 2019'!$A63,"p"),'2019'!$A:$A,0),MATCH('Analytics - 2019'!$O$6,'2019'!$101:$101,0))</f>
        <v>0</v>
      </c>
      <c r="P63" s="237">
        <f t="shared" si="10"/>
        <v>74623000</v>
      </c>
      <c r="Q63" s="238" t="str">
        <f t="shared" si="11"/>
        <v>…</v>
      </c>
      <c r="R63" s="188">
        <f>+INDEX('2018'!$1:$1048576,MATCH('Analytics - 2019'!$A63,'2018'!$A:$A,0),MATCH('Analytics - 2019'!$R$6,'2018'!$6:$6,0))</f>
        <v>0</v>
      </c>
      <c r="S63" s="237">
        <f t="shared" si="12"/>
        <v>74623000</v>
      </c>
      <c r="T63" s="239" t="str">
        <f t="shared" si="13"/>
        <v>…</v>
      </c>
    </row>
    <row r="64" spans="1:23">
      <c r="A64" s="169">
        <v>7512</v>
      </c>
      <c r="B64" s="452" t="str">
        <f>+VLOOKUP($A64,Master!$D$27:$G$225,4,FALSE)</f>
        <v>Foreign Loans and Borrowings</v>
      </c>
      <c r="C64" s="453"/>
      <c r="D64" s="453"/>
      <c r="E64" s="453"/>
      <c r="F64" s="453"/>
      <c r="G64" s="188">
        <f>+SUMPRODUCT(('2019'!$G64:$R64)*('2019'!$G$5:$R$5&lt;=Master!$B$3)*($A64='2019'!$A$10:$A$66))</f>
        <v>50121560.689999998</v>
      </c>
      <c r="H64" s="188">
        <f>+SUMPRODUCT(('2019'!$G159:$R159)*('2019'!$G$5:$R$5&lt;=Master!$B$3))</f>
        <v>51422181.240000002</v>
      </c>
      <c r="I64" s="237">
        <f t="shared" si="9"/>
        <v>-1300620.5500000045</v>
      </c>
      <c r="J64" s="238">
        <f t="shared" si="14"/>
        <v>-2.5292986774125503E-2</v>
      </c>
      <c r="K64" s="188">
        <f>+SUMPRODUCT(('2018'!$G64:$R64)*('2018'!$G$5:$R$5&lt;=Master!$B$3))</f>
        <v>508806436.77999997</v>
      </c>
      <c r="L64" s="237">
        <f>+G64-K65</f>
        <v>47260312.530000001</v>
      </c>
      <c r="M64" s="239" t="s">
        <v>778</v>
      </c>
      <c r="N64" s="188">
        <f>+INDEX('2019'!$1:$1048576,MATCH('Analytics - 2019'!$A64,'2019'!$A:$A,0),MATCH('Analytics - 2019'!$N$6,'2019'!$6:$6,0))</f>
        <v>6496285.4699999997</v>
      </c>
      <c r="O64" s="188">
        <f>+INDEX('2019'!$1:$1048576,MATCH(CONCATENATE('Analytics - 2019'!$A64,"p"),'2019'!$A:$A,0),MATCH('Analytics - 2019'!$O$6,'2019'!$101:$101,0))</f>
        <v>15000000</v>
      </c>
      <c r="P64" s="237">
        <f t="shared" si="10"/>
        <v>-8503714.5300000012</v>
      </c>
      <c r="Q64" s="238">
        <f t="shared" si="11"/>
        <v>-0.56691430200000004</v>
      </c>
      <c r="R64" s="188">
        <f>+INDEX('2018'!$1:$1048576,MATCH('Analytics - 2019'!$A64,'2018'!$A:$A,0),MATCH('Analytics - 2019'!$R$6,'2018'!$6:$6,0))</f>
        <v>503121949.51999998</v>
      </c>
      <c r="S64" s="237" t="s">
        <v>778</v>
      </c>
      <c r="T64" s="239" t="s">
        <v>778</v>
      </c>
    </row>
    <row r="65" spans="1:20">
      <c r="A65" s="169">
        <v>72</v>
      </c>
      <c r="B65" s="452" t="str">
        <f>+VLOOKUP($A65,Master!$D$27:$G$225,4,FALSE)</f>
        <v>Revenues from Selling Assets</v>
      </c>
      <c r="C65" s="453"/>
      <c r="D65" s="453"/>
      <c r="E65" s="453"/>
      <c r="F65" s="453"/>
      <c r="G65" s="188">
        <f>+SUMPRODUCT(('2019'!$G65:$R65)*('2019'!$G$5:$R$5&lt;=Master!$B$3)*($A65='2019'!$A$10:$A$66))</f>
        <v>554174.04999999993</v>
      </c>
      <c r="H65" s="188">
        <f>+SUMPRODUCT(('2019'!$G160:$R160)*('2019'!$G$5:$R$5&lt;=Master!$B$3))</f>
        <v>2000000</v>
      </c>
      <c r="I65" s="237">
        <f t="shared" si="9"/>
        <v>-1445825.9500000002</v>
      </c>
      <c r="J65" s="238">
        <f t="shared" si="14"/>
        <v>-0.72291297500000007</v>
      </c>
      <c r="K65" s="188">
        <f>+SUMPRODUCT(('2018'!$G65:$R65)*('2018'!$G$5:$R$5&lt;=Master!$B$3))</f>
        <v>2861248.16</v>
      </c>
      <c r="L65" s="237">
        <f>+G65-K66</f>
        <v>90423204.140000001</v>
      </c>
      <c r="M65" s="239">
        <f>+IF(ISNUMBER(G65/K65-1),G65/K65-1,"…")</f>
        <v>-0.80631737653961477</v>
      </c>
      <c r="N65" s="188">
        <f>+INDEX('2019'!$1:$1048576,MATCH('Analytics - 2019'!$A65,'2019'!$A:$A,0),MATCH('Analytics - 2019'!$N$6,'2019'!$6:$6,0))</f>
        <v>169636.46</v>
      </c>
      <c r="O65" s="188">
        <f>+INDEX('2019'!$1:$1048576,MATCH(CONCATENATE('Analytics - 2019'!$A65,"p"),'2019'!$A:$A,0),MATCH('Analytics - 2019'!$O$6,'2019'!$101:$101,0))</f>
        <v>500000</v>
      </c>
      <c r="P65" s="237">
        <f t="shared" si="10"/>
        <v>-330363.54000000004</v>
      </c>
      <c r="Q65" s="238">
        <f t="shared" si="11"/>
        <v>-0.66072708000000002</v>
      </c>
      <c r="R65" s="188">
        <f>+INDEX('2018'!$1:$1048576,MATCH('Analytics - 2019'!$A65,'2018'!$A:$A,0),MATCH('Analytics - 2019'!$R$6,'2018'!$6:$6,0))</f>
        <v>108273.11</v>
      </c>
      <c r="S65" s="237">
        <f t="shared" si="12"/>
        <v>61363.349999999991</v>
      </c>
      <c r="T65" s="239">
        <f t="shared" si="13"/>
        <v>0.56674598152763878</v>
      </c>
    </row>
    <row r="66" spans="1:20" ht="15.75" thickBot="1">
      <c r="A66" s="169">
        <v>1004</v>
      </c>
      <c r="B66" s="248" t="str">
        <f>+VLOOKUP($A66,Master!$D$27:$G$225,4,FALSE)</f>
        <v>Increase / decrease of deposits</v>
      </c>
      <c r="C66" s="249"/>
      <c r="D66" s="249"/>
      <c r="E66" s="249"/>
      <c r="F66" s="249"/>
      <c r="G66" s="394">
        <f>+SUMPRODUCT(('2019'!$G66:$R66)*('2019'!$G$5:$R$5&lt;=Master!$B$3)*($A66='2019'!$A$10:$A$66))</f>
        <v>26802020.680000097</v>
      </c>
      <c r="H66" s="394">
        <f>+SUMPRODUCT(('2019'!$G161:$R161)*('2019'!$G$5:$R$5&lt;=Master!$B$3))</f>
        <v>116119359.04780936</v>
      </c>
      <c r="I66" s="251">
        <f t="shared" si="9"/>
        <v>-89317338.367809266</v>
      </c>
      <c r="J66" s="252">
        <f t="shared" si="14"/>
        <v>-0.76918559575440815</v>
      </c>
      <c r="K66" s="394">
        <f>+SUMPRODUCT(('2018'!$G66:$R66)*('2018'!$G$5:$R$5&lt;=Master!$B$3))</f>
        <v>-89869030.090000004</v>
      </c>
      <c r="L66" s="251">
        <f>+G66-K66</f>
        <v>116671050.7700001</v>
      </c>
      <c r="M66" s="253" t="s">
        <v>778</v>
      </c>
      <c r="N66" s="394">
        <f>+INDEX('2019'!$1:$1048576,MATCH('Analytics - 2019'!$A66,'2019'!$A:$A,0),MATCH('Analytics - 2019'!$N$6,'2019'!$6:$6,0))</f>
        <v>-33186905.209999993</v>
      </c>
      <c r="O66" s="394">
        <f>+INDEX('2019'!$1:$1048576,MATCH(CONCATENATE('Analytics - 2019'!$A66,"p"),'2019'!$A:$A,0),MATCH('Analytics - 2019'!$O$6,'2019'!$101:$101,0))</f>
        <v>61807082.744077951</v>
      </c>
      <c r="P66" s="251">
        <f t="shared" si="10"/>
        <v>-94993987.954077944</v>
      </c>
      <c r="Q66" s="252">
        <f t="shared" si="11"/>
        <v>-1.5369434009272958</v>
      </c>
      <c r="R66" s="394">
        <f>+INDEX('2018'!$1:$1048576,MATCH('Analytics - 2019'!$A66,'2018'!$A:$A,0),MATCH('Analytics - 2019'!$R$6,'2018'!$6:$6,0))</f>
        <v>-114645296.21000004</v>
      </c>
      <c r="S66" s="251">
        <f t="shared" si="12"/>
        <v>81458391.000000045</v>
      </c>
      <c r="T66" s="253">
        <f t="shared" si="13"/>
        <v>-0.71052536556571577</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R14" sqref="R1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783</v>
      </c>
      <c r="H6" s="259" t="s">
        <v>784</v>
      </c>
      <c r="I6" s="259" t="s">
        <v>785</v>
      </c>
      <c r="J6" s="259" t="s">
        <v>786</v>
      </c>
      <c r="K6" s="259" t="s">
        <v>787</v>
      </c>
      <c r="L6" s="259" t="s">
        <v>788</v>
      </c>
      <c r="M6" s="259" t="s">
        <v>789</v>
      </c>
      <c r="N6" s="259" t="s">
        <v>790</v>
      </c>
      <c r="O6" s="259" t="s">
        <v>791</v>
      </c>
      <c r="P6" s="259" t="s">
        <v>792</v>
      </c>
      <c r="Q6" s="259" t="s">
        <v>793</v>
      </c>
      <c r="R6" s="259" t="s">
        <v>794</v>
      </c>
      <c r="S6" s="258"/>
      <c r="T6" s="258"/>
    </row>
    <row r="7" spans="1:20" ht="15" customHeight="1" thickBot="1">
      <c r="A7" s="169"/>
      <c r="B7" s="557" t="str">
        <f>+Master!G251</f>
        <v>Budget Execution</v>
      </c>
      <c r="C7" s="455"/>
      <c r="D7" s="455"/>
      <c r="E7" s="455"/>
      <c r="F7" s="455"/>
      <c r="G7" s="463">
        <v>2019</v>
      </c>
      <c r="H7" s="464"/>
      <c r="I7" s="464"/>
      <c r="J7" s="464"/>
      <c r="K7" s="464"/>
      <c r="L7" s="464"/>
      <c r="M7" s="464"/>
      <c r="N7" s="464"/>
      <c r="O7" s="464"/>
      <c r="P7" s="464"/>
      <c r="Q7" s="464"/>
      <c r="R7" s="467"/>
      <c r="S7" s="260" t="str">
        <f>+Master!G248</f>
        <v>GDP</v>
      </c>
      <c r="T7" s="261">
        <v>4788600000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Apr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107257935.59</v>
      </c>
      <c r="H10" s="176">
        <f t="shared" si="1"/>
        <v>116544625.94999999</v>
      </c>
      <c r="I10" s="176">
        <f t="shared" si="1"/>
        <v>147544680.63</v>
      </c>
      <c r="J10" s="176">
        <f t="shared" si="1"/>
        <v>165045416.32999998</v>
      </c>
      <c r="K10" s="176">
        <f t="shared" si="1"/>
        <v>0</v>
      </c>
      <c r="L10" s="176">
        <f t="shared" si="1"/>
        <v>0</v>
      </c>
      <c r="M10" s="176">
        <f t="shared" si="1"/>
        <v>0</v>
      </c>
      <c r="N10" s="176">
        <f t="shared" si="1"/>
        <v>0</v>
      </c>
      <c r="O10" s="176">
        <f t="shared" si="1"/>
        <v>0</v>
      </c>
      <c r="P10" s="176">
        <f t="shared" si="1"/>
        <v>0</v>
      </c>
      <c r="Q10" s="176">
        <f t="shared" si="1"/>
        <v>0</v>
      </c>
      <c r="R10" s="176">
        <f t="shared" si="1"/>
        <v>0</v>
      </c>
      <c r="S10" s="264">
        <f>+SUM(G10:R10)</f>
        <v>536392658.49999994</v>
      </c>
      <c r="T10" s="265">
        <f>+S10/$T$7</f>
        <v>0.1120145049701374</v>
      </c>
    </row>
    <row r="11" spans="1:20">
      <c r="A11" s="175">
        <v>711</v>
      </c>
      <c r="B11" s="498" t="str">
        <f>+VLOOKUP($A11,Master!$D$27:$G$225,4,FALSE)</f>
        <v>Taxes</v>
      </c>
      <c r="C11" s="499"/>
      <c r="D11" s="499"/>
      <c r="E11" s="499"/>
      <c r="F11" s="499"/>
      <c r="G11" s="182">
        <f t="shared" ref="G11:R11" si="2">+SUM(G12:G18)</f>
        <v>72429730.420000002</v>
      </c>
      <c r="H11" s="182">
        <f t="shared" si="2"/>
        <v>68470908.439999998</v>
      </c>
      <c r="I11" s="182">
        <f t="shared" si="2"/>
        <v>98709545.510000005</v>
      </c>
      <c r="J11" s="182">
        <f t="shared" si="2"/>
        <v>106791818.52</v>
      </c>
      <c r="K11" s="182">
        <f t="shared" si="2"/>
        <v>0</v>
      </c>
      <c r="L11" s="182">
        <f t="shared" si="2"/>
        <v>0</v>
      </c>
      <c r="M11" s="182">
        <f t="shared" si="2"/>
        <v>0</v>
      </c>
      <c r="N11" s="182">
        <f t="shared" si="2"/>
        <v>0</v>
      </c>
      <c r="O11" s="182">
        <f t="shared" si="2"/>
        <v>0</v>
      </c>
      <c r="P11" s="182">
        <f t="shared" si="2"/>
        <v>0</v>
      </c>
      <c r="Q11" s="182">
        <f t="shared" si="2"/>
        <v>0</v>
      </c>
      <c r="R11" s="266">
        <f t="shared" si="2"/>
        <v>0</v>
      </c>
      <c r="S11" s="267">
        <f t="shared" ref="S11:S65" si="3">+SUM(G11:R11)</f>
        <v>346402002.88999999</v>
      </c>
      <c r="T11" s="268">
        <f t="shared" ref="T11:T66" si="4">+S11/$T$7</f>
        <v>7.2338888796307899E-2</v>
      </c>
    </row>
    <row r="12" spans="1:20">
      <c r="A12" s="175">
        <v>7111</v>
      </c>
      <c r="B12" s="484" t="str">
        <f>+VLOOKUP($A12,Master!$D$27:$G$225,4,FALSE)</f>
        <v>Personal Income Tax</v>
      </c>
      <c r="C12" s="485"/>
      <c r="D12" s="485"/>
      <c r="E12" s="485"/>
      <c r="F12" s="485"/>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0</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33414638.34</v>
      </c>
      <c r="T12" s="270">
        <f t="shared" si="4"/>
        <v>6.9779556321263002E-3</v>
      </c>
    </row>
    <row r="13" spans="1:20">
      <c r="A13" s="175">
        <v>7112</v>
      </c>
      <c r="B13" s="484" t="str">
        <f>+VLOOKUP($A13,Master!$D$27:$G$225,4,FALSE)</f>
        <v>Corporate Income Tax</v>
      </c>
      <c r="C13" s="485"/>
      <c r="D13" s="485"/>
      <c r="E13" s="485"/>
      <c r="F13" s="485"/>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0</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45773490.659999996</v>
      </c>
      <c r="T13" s="270">
        <f t="shared" si="4"/>
        <v>9.5588461470993598E-3</v>
      </c>
    </row>
    <row r="14" spans="1:20">
      <c r="A14" s="175">
        <v>7113</v>
      </c>
      <c r="B14" s="484" t="str">
        <f>+VLOOKUP($A14,Master!$D$27:$G$225,4,FALSE)</f>
        <v xml:space="preserve">Taxes on Sales of Property </v>
      </c>
      <c r="C14" s="485"/>
      <c r="D14" s="485"/>
      <c r="E14" s="485"/>
      <c r="F14" s="485"/>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0</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638523.46</v>
      </c>
      <c r="T14" s="270">
        <f t="shared" si="4"/>
        <v>1.3334240905483856E-4</v>
      </c>
    </row>
    <row r="15" spans="1:20">
      <c r="A15" s="175">
        <v>7114</v>
      </c>
      <c r="B15" s="484" t="str">
        <f>+VLOOKUP($A15,Master!$D$27:$G$225,4,FALSE)</f>
        <v>Value Added Tax</v>
      </c>
      <c r="C15" s="485"/>
      <c r="D15" s="485"/>
      <c r="E15" s="485"/>
      <c r="F15" s="485"/>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0</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194446645.22</v>
      </c>
      <c r="T15" s="270">
        <f t="shared" si="4"/>
        <v>4.0606157377939274E-2</v>
      </c>
    </row>
    <row r="16" spans="1:20">
      <c r="A16" s="175">
        <v>7115</v>
      </c>
      <c r="B16" s="484" t="str">
        <f>+VLOOKUP($A16,Master!$D$27:$G$225,4,FALSE)</f>
        <v>Excises</v>
      </c>
      <c r="C16" s="485"/>
      <c r="D16" s="485"/>
      <c r="E16" s="485"/>
      <c r="F16" s="485"/>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0</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58468744.810000002</v>
      </c>
      <c r="T16" s="270">
        <f t="shared" si="4"/>
        <v>1.2209987221734954E-2</v>
      </c>
    </row>
    <row r="17" spans="1:25">
      <c r="A17" s="175">
        <v>7116</v>
      </c>
      <c r="B17" s="484" t="str">
        <f>+VLOOKUP($A17,Master!$D$27:$G$225,4,FALSE)</f>
        <v>Tax on International Trade and Transactions</v>
      </c>
      <c r="C17" s="485"/>
      <c r="D17" s="485"/>
      <c r="E17" s="485"/>
      <c r="F17" s="485"/>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0</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8152865.9000000004</v>
      </c>
      <c r="T17" s="270">
        <f t="shared" si="4"/>
        <v>1.7025573027607236E-3</v>
      </c>
    </row>
    <row r="18" spans="1:25">
      <c r="A18" s="175">
        <v>7118</v>
      </c>
      <c r="B18" s="484" t="str">
        <f>+VLOOKUP($A18,Master!$D$27:$G$225,4,FALSE)</f>
        <v>Other Republic Taxes</v>
      </c>
      <c r="C18" s="485"/>
      <c r="D18" s="485"/>
      <c r="E18" s="485"/>
      <c r="F18" s="485"/>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0</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5507094.5</v>
      </c>
      <c r="T18" s="270">
        <f t="shared" si="4"/>
        <v>1.1500427055924488E-3</v>
      </c>
    </row>
    <row r="19" spans="1:25">
      <c r="A19" s="175">
        <v>712</v>
      </c>
      <c r="B19" s="494" t="str">
        <f>+VLOOKUP($A19,Master!$D$27:$G$225,4,FALSE)</f>
        <v>Contributions</v>
      </c>
      <c r="C19" s="495"/>
      <c r="D19" s="495"/>
      <c r="E19" s="495"/>
      <c r="F19" s="495"/>
      <c r="G19" s="194">
        <f>+INDEX(DataEx!$1:$1048576,MATCH('2019'!$A19,DataEx!$D:$D,0),MATCH('2019'!G$6,DataEx!$7:$7,0))</f>
        <v>16498881.48</v>
      </c>
      <c r="H19" s="194">
        <f>+INDEX(DataEx!$1:$1048576,MATCH('2019'!$A19,DataEx!$D:$D,0),MATCH('2019'!H$6,DataEx!$7:$7,0))</f>
        <v>41912269.380000003</v>
      </c>
      <c r="I19" s="194">
        <f>+INDEX(DataEx!$1:$1048576,MATCH('2019'!$A19,DataEx!$D:$D,0),MATCH('2019'!I$6,DataEx!$7:$7,0))</f>
        <v>41047599.18</v>
      </c>
      <c r="J19" s="194">
        <f>+INDEX(DataEx!$1:$1048576,MATCH('2019'!$A19,DataEx!$D:$D,0),MATCH('2019'!J$6,DataEx!$7:$7,0))</f>
        <v>50290988.939999998</v>
      </c>
      <c r="K19" s="194">
        <f>+INDEX(DataEx!$1:$1048576,MATCH('2019'!$A19,DataEx!$D:$D,0),MATCH('2019'!K$6,DataEx!$7:$7,0))</f>
        <v>0</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149749738.97999999</v>
      </c>
      <c r="T19" s="273">
        <f t="shared" si="4"/>
        <v>3.1272133604811424E-2</v>
      </c>
    </row>
    <row r="20" spans="1:25">
      <c r="A20" s="175">
        <v>7121</v>
      </c>
      <c r="B20" s="484" t="str">
        <f>+VLOOKUP($A20,Master!$D$27:$G$225,4,FALSE)</f>
        <v>Contributions for Pension and Disability Insurance</v>
      </c>
      <c r="C20" s="485"/>
      <c r="D20" s="485"/>
      <c r="E20" s="485"/>
      <c r="F20" s="485"/>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0</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87863904.430000007</v>
      </c>
      <c r="T20" s="270">
        <f t="shared" si="4"/>
        <v>1.8348557914630581E-2</v>
      </c>
    </row>
    <row r="21" spans="1:25">
      <c r="A21" s="175">
        <v>7122</v>
      </c>
      <c r="B21" s="484" t="str">
        <f>+VLOOKUP($A21,Master!$D$27:$G$225,4,FALSE)</f>
        <v>Contributions for Health Insurance</v>
      </c>
      <c r="C21" s="485"/>
      <c r="D21" s="485"/>
      <c r="E21" s="485"/>
      <c r="F21" s="485"/>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0</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53787959.429999992</v>
      </c>
      <c r="T21" s="270">
        <f t="shared" si="4"/>
        <v>1.1232502073674976E-2</v>
      </c>
    </row>
    <row r="22" spans="1:25">
      <c r="A22" s="175">
        <v>7123</v>
      </c>
      <c r="B22" s="484" t="str">
        <f>+VLOOKUP($A22,Master!$D$27:$G$225,4,FALSE)</f>
        <v>Contributions for  Unemployment Insurance</v>
      </c>
      <c r="C22" s="485"/>
      <c r="D22" s="485"/>
      <c r="E22" s="485"/>
      <c r="F22" s="485"/>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0</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4131685.75</v>
      </c>
      <c r="T22" s="270">
        <f t="shared" si="4"/>
        <v>8.6281705508917009E-4</v>
      </c>
    </row>
    <row r="23" spans="1:25">
      <c r="A23" s="175">
        <v>7124</v>
      </c>
      <c r="B23" s="484" t="str">
        <f>+VLOOKUP($A23,Master!$D$27:$G$225,4,FALSE)</f>
        <v>Other contributions</v>
      </c>
      <c r="C23" s="485"/>
      <c r="D23" s="485"/>
      <c r="E23" s="485"/>
      <c r="F23" s="485"/>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0</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3966189.37</v>
      </c>
      <c r="T23" s="270">
        <f t="shared" si="4"/>
        <v>8.2825656141669805E-4</v>
      </c>
      <c r="Y23" s="379"/>
    </row>
    <row r="24" spans="1:25">
      <c r="A24" s="175">
        <v>713</v>
      </c>
      <c r="B24" s="486" t="str">
        <f>+VLOOKUP($A24,Master!$D$27:$G$225,4,FALSE)</f>
        <v>Duties</v>
      </c>
      <c r="C24" s="487"/>
      <c r="D24" s="487"/>
      <c r="E24" s="487"/>
      <c r="F24" s="487"/>
      <c r="G24" s="200">
        <f>+INDEX(DataEx!$1:$1048576,MATCH('2019'!$A24,DataEx!$D:$D,0),MATCH('2019'!G$6,DataEx!$7:$7,0))</f>
        <v>851162.27</v>
      </c>
      <c r="H24" s="200">
        <f>+INDEX(DataEx!$1:$1048576,MATCH('2019'!$A24,DataEx!$D:$D,0),MATCH('2019'!H$6,DataEx!$7:$7,0))</f>
        <v>1041125.39</v>
      </c>
      <c r="I24" s="200">
        <f>+INDEX(DataEx!$1:$1048576,MATCH('2019'!$A24,DataEx!$D:$D,0),MATCH('2019'!I$6,DataEx!$7:$7,0))</f>
        <v>1066481.8799999999</v>
      </c>
      <c r="J24" s="200">
        <f>+INDEX(DataEx!$1:$1048576,MATCH('2019'!$A24,DataEx!$D:$D,0),MATCH('2019'!J$6,DataEx!$7:$7,0))</f>
        <v>1290371.49</v>
      </c>
      <c r="K24" s="200">
        <f>+INDEX(DataEx!$1:$1048576,MATCH('2019'!$A24,DataEx!$D:$D,0),MATCH('2019'!K$6,DataEx!$7:$7,0))</f>
        <v>0</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4249141.03</v>
      </c>
      <c r="T24" s="273">
        <f t="shared" si="4"/>
        <v>8.8734515933675819E-4</v>
      </c>
      <c r="Y24" s="379"/>
    </row>
    <row r="25" spans="1:25">
      <c r="A25" s="175">
        <v>714</v>
      </c>
      <c r="B25" s="486" t="str">
        <f>+VLOOKUP($A25,Master!$D$27:$G$225,4,FALSE)</f>
        <v>Fees</v>
      </c>
      <c r="C25" s="487"/>
      <c r="D25" s="487"/>
      <c r="E25" s="487"/>
      <c r="F25" s="487"/>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0</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9575051.9900000002</v>
      </c>
      <c r="T25" s="273">
        <f t="shared" si="4"/>
        <v>1.999551432569018E-3</v>
      </c>
      <c r="W25" s="366"/>
    </row>
    <row r="26" spans="1:25">
      <c r="A26" s="175">
        <v>715</v>
      </c>
      <c r="B26" s="486" t="str">
        <f>+VLOOKUP($A26,Master!$D$27:$G$225,4,FALSE)</f>
        <v>Other revenues</v>
      </c>
      <c r="C26" s="487"/>
      <c r="D26" s="487"/>
      <c r="E26" s="487"/>
      <c r="F26" s="487"/>
      <c r="G26" s="200">
        <f>+INDEX(DataEx!$1:$1048576,MATCH('2019'!$A26,DataEx!$D:$D,0),MATCH('2019'!G$6,DataEx!$7:$7,0))</f>
        <v>1567288.04</v>
      </c>
      <c r="H26" s="200">
        <f>+INDEX(DataEx!$1:$1048576,MATCH('2019'!$A26,DataEx!$D:$D,0),MATCH('2019'!H$6,DataEx!$7:$7,0))</f>
        <v>2199531.1</v>
      </c>
      <c r="I26" s="200">
        <f>+INDEX(DataEx!$1:$1048576,MATCH('2019'!$A26,DataEx!$D:$D,0),MATCH('2019'!I$6,DataEx!$7:$7,0))</f>
        <v>3194097.81</v>
      </c>
      <c r="J26" s="200">
        <f>+INDEX(DataEx!$1:$1048576,MATCH('2019'!$A26,DataEx!$D:$D,0),MATCH('2019'!J$6,DataEx!$7:$7,0))</f>
        <v>2385711.15</v>
      </c>
      <c r="K26" s="200">
        <f>+INDEX(DataEx!$1:$1048576,MATCH('2019'!$A26,DataEx!$D:$D,0),MATCH('2019'!K$6,DataEx!$7:$7,0))</f>
        <v>0</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9346628.0999999996</v>
      </c>
      <c r="T26" s="273">
        <f t="shared" si="4"/>
        <v>1.9518498308482646E-3</v>
      </c>
    </row>
    <row r="27" spans="1:25">
      <c r="A27" s="175">
        <v>73</v>
      </c>
      <c r="B27" s="486" t="str">
        <f>+VLOOKUP($A27,Master!$D$27:$G$225,4,FALSE)</f>
        <v>Receipts from Repayment of Loans and Funds Carried over from Previous Year</v>
      </c>
      <c r="C27" s="487"/>
      <c r="D27" s="487"/>
      <c r="E27" s="487"/>
      <c r="F27" s="487"/>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0</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1053908.24</v>
      </c>
      <c r="T27" s="273">
        <f t="shared" si="4"/>
        <v>2.2008692310905066E-4</v>
      </c>
    </row>
    <row r="28" spans="1:25" ht="13.5" thickBot="1">
      <c r="A28" s="175">
        <v>74</v>
      </c>
      <c r="B28" s="488" t="str">
        <f>+VLOOKUP($A28,Master!$D$27:$G$225,4,FALSE)</f>
        <v>Grants and Transfers</v>
      </c>
      <c r="C28" s="489"/>
      <c r="D28" s="489"/>
      <c r="E28" s="489"/>
      <c r="F28" s="489"/>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0</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16016187.27</v>
      </c>
      <c r="T28" s="276">
        <f t="shared" si="4"/>
        <v>3.3446492231549931E-3</v>
      </c>
    </row>
    <row r="29" spans="1:25" ht="13.5" thickBot="1">
      <c r="A29" s="175">
        <v>4</v>
      </c>
      <c r="B29" s="474" t="str">
        <f>+VLOOKUP($A29,Master!$D$27:$G$225,4,FALSE)</f>
        <v>Total Expenditures</v>
      </c>
      <c r="C29" s="475"/>
      <c r="D29" s="475"/>
      <c r="E29" s="475"/>
      <c r="F29" s="475"/>
      <c r="G29" s="176">
        <f>+G31+G42+G48+SUM(G49:G53)</f>
        <v>139590244.27000004</v>
      </c>
      <c r="H29" s="176">
        <f t="shared" ref="H29:R29" si="5">+H31+H42+H48+SUM(H49:H53)</f>
        <v>130859677.45</v>
      </c>
      <c r="I29" s="176">
        <f t="shared" si="5"/>
        <v>172190412.07000002</v>
      </c>
      <c r="J29" s="176">
        <f t="shared" si="5"/>
        <v>154896985.79999998</v>
      </c>
      <c r="K29" s="176">
        <f t="shared" si="5"/>
        <v>0</v>
      </c>
      <c r="L29" s="176">
        <f t="shared" si="5"/>
        <v>0</v>
      </c>
      <c r="M29" s="176">
        <f t="shared" si="5"/>
        <v>0</v>
      </c>
      <c r="N29" s="176">
        <f t="shared" si="5"/>
        <v>0</v>
      </c>
      <c r="O29" s="176">
        <f t="shared" si="5"/>
        <v>0</v>
      </c>
      <c r="P29" s="176">
        <f t="shared" si="5"/>
        <v>0</v>
      </c>
      <c r="Q29" s="176">
        <f t="shared" si="5"/>
        <v>0</v>
      </c>
      <c r="R29" s="176">
        <f t="shared" si="5"/>
        <v>0</v>
      </c>
      <c r="S29" s="277">
        <f t="shared" si="3"/>
        <v>597537319.59000003</v>
      </c>
      <c r="T29" s="278">
        <f t="shared" si="4"/>
        <v>0.12478330192331789</v>
      </c>
    </row>
    <row r="30" spans="1:25" ht="13.5" thickBot="1">
      <c r="A30" s="175">
        <v>41</v>
      </c>
      <c r="B30" s="490" t="str">
        <f>+VLOOKUP($A30,Master!$D$27:$G$225,4,FALSE)</f>
        <v>Current Expenditures</v>
      </c>
      <c r="C30" s="491"/>
      <c r="D30" s="491"/>
      <c r="E30" s="491"/>
      <c r="F30" s="491"/>
      <c r="G30" s="206">
        <f>+G29-G49</f>
        <v>112929363.82000004</v>
      </c>
      <c r="H30" s="206">
        <f t="shared" ref="H30:R30" si="6">+H29-H49</f>
        <v>127169227.44</v>
      </c>
      <c r="I30" s="206">
        <f t="shared" si="6"/>
        <v>157260214.47000003</v>
      </c>
      <c r="J30" s="206">
        <f t="shared" si="6"/>
        <v>142800868.40999997</v>
      </c>
      <c r="K30" s="206">
        <f t="shared" si="6"/>
        <v>0</v>
      </c>
      <c r="L30" s="206">
        <f t="shared" si="6"/>
        <v>0</v>
      </c>
      <c r="M30" s="206">
        <f t="shared" si="6"/>
        <v>0</v>
      </c>
      <c r="N30" s="206">
        <f t="shared" si="6"/>
        <v>0</v>
      </c>
      <c r="O30" s="206">
        <f t="shared" si="6"/>
        <v>0</v>
      </c>
      <c r="P30" s="206">
        <f t="shared" si="6"/>
        <v>0</v>
      </c>
      <c r="Q30" s="206">
        <f t="shared" si="6"/>
        <v>0</v>
      </c>
      <c r="R30" s="206">
        <f t="shared" si="6"/>
        <v>0</v>
      </c>
      <c r="S30" s="431">
        <f t="shared" si="3"/>
        <v>540159674.1400001</v>
      </c>
      <c r="T30" s="280">
        <f t="shared" si="4"/>
        <v>0.1128011682203567</v>
      </c>
    </row>
    <row r="31" spans="1:25">
      <c r="A31" s="175">
        <v>40</v>
      </c>
      <c r="B31" s="492" t="str">
        <f>+VLOOKUP($A31,Master!$D$27:$G$225,4,FALSE)</f>
        <v>Current Budgetary Expenditures</v>
      </c>
      <c r="C31" s="493"/>
      <c r="D31" s="493"/>
      <c r="E31" s="493"/>
      <c r="F31" s="493"/>
      <c r="G31" s="212">
        <f>+SUM(G32:G41)</f>
        <v>51166858.680000007</v>
      </c>
      <c r="H31" s="212">
        <f t="shared" ref="H31:R31" si="7">+SUM(H32:H41)</f>
        <v>58383029.660000004</v>
      </c>
      <c r="I31" s="212">
        <f t="shared" si="7"/>
        <v>85916921.160000011</v>
      </c>
      <c r="J31" s="212">
        <f t="shared" si="7"/>
        <v>77256340.299999982</v>
      </c>
      <c r="K31" s="212">
        <f t="shared" si="7"/>
        <v>0</v>
      </c>
      <c r="L31" s="212">
        <f t="shared" si="7"/>
        <v>0</v>
      </c>
      <c r="M31" s="212">
        <f t="shared" si="7"/>
        <v>0</v>
      </c>
      <c r="N31" s="212">
        <f t="shared" si="7"/>
        <v>0</v>
      </c>
      <c r="O31" s="212">
        <f t="shared" si="7"/>
        <v>0</v>
      </c>
      <c r="P31" s="212">
        <f t="shared" si="7"/>
        <v>0</v>
      </c>
      <c r="Q31" s="212">
        <f t="shared" si="7"/>
        <v>0</v>
      </c>
      <c r="R31" s="281">
        <f t="shared" si="7"/>
        <v>0</v>
      </c>
      <c r="S31" s="432">
        <f t="shared" si="3"/>
        <v>272723149.79999995</v>
      </c>
      <c r="T31" s="268">
        <f t="shared" si="4"/>
        <v>5.6952585265004373E-2</v>
      </c>
    </row>
    <row r="32" spans="1:25">
      <c r="A32" s="175">
        <v>411</v>
      </c>
      <c r="B32" s="484" t="str">
        <f>+VLOOKUP($A32,Master!$D$27:$G$225,4,FALSE)</f>
        <v>Gross Salaries and Contributions</v>
      </c>
      <c r="C32" s="485"/>
      <c r="D32" s="485"/>
      <c r="E32" s="485"/>
      <c r="F32" s="485"/>
      <c r="G32" s="188">
        <f>+INDEX(DataEx!$1:$1048576,MATCH('2019'!$A32,DataEx!$D:$D,0),MATCH('2019'!G$6,DataEx!$7:$7,0))</f>
        <v>38898745.609999999</v>
      </c>
      <c r="H32" s="188">
        <f>+INDEX(DataEx!$1:$1048576,MATCH('2019'!$A32,DataEx!$D:$D,0),MATCH('2019'!H$6,DataEx!$7:$7,0))</f>
        <v>38576856.590000004</v>
      </c>
      <c r="I32" s="188">
        <f>+INDEX(DataEx!$1:$1048576,MATCH('2019'!$A32,DataEx!$D:$D,0),MATCH('2019'!I$6,DataEx!$7:$7,0))</f>
        <v>39174668.049999997</v>
      </c>
      <c r="J32" s="188">
        <f>+INDEX(DataEx!$1:$1048576,MATCH('2019'!$A32,DataEx!$D:$D,0),MATCH('2019'!J$6,DataEx!$7:$7,0))</f>
        <v>38923552.049999997</v>
      </c>
      <c r="K32" s="188">
        <f>+INDEX(DataEx!$1:$1048576,MATCH('2019'!$A32,DataEx!$D:$D,0),MATCH('2019'!K$6,DataEx!$7:$7,0))</f>
        <v>0</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155573822.30000001</v>
      </c>
      <c r="T32" s="270">
        <f t="shared" si="4"/>
        <v>3.248837286472038E-2</v>
      </c>
    </row>
    <row r="33" spans="1:22">
      <c r="A33" s="175">
        <v>412</v>
      </c>
      <c r="B33" s="484" t="str">
        <f>+VLOOKUP($A33,Master!$D$27:$G$225,4,FALSE)</f>
        <v>Other Personal Income</v>
      </c>
      <c r="C33" s="485"/>
      <c r="D33" s="485"/>
      <c r="E33" s="485"/>
      <c r="F33" s="485"/>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0</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3817106.5100000002</v>
      </c>
      <c r="T33" s="270">
        <f t="shared" si="4"/>
        <v>7.9712369168441716E-4</v>
      </c>
      <c r="U33" s="367"/>
    </row>
    <row r="34" spans="1:22">
      <c r="A34" s="175">
        <v>413</v>
      </c>
      <c r="B34" s="484" t="str">
        <f>+VLOOKUP($A34,Master!$D$27:$G$225,4,FALSE)</f>
        <v>Expenditures for Supplies</v>
      </c>
      <c r="C34" s="485"/>
      <c r="D34" s="485"/>
      <c r="E34" s="485"/>
      <c r="F34" s="485"/>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0</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8434381.7899999991</v>
      </c>
      <c r="T34" s="270">
        <f t="shared" si="4"/>
        <v>1.7613460698325187E-3</v>
      </c>
      <c r="U34" s="385"/>
      <c r="V34" s="365"/>
    </row>
    <row r="35" spans="1:22">
      <c r="A35" s="175">
        <v>414</v>
      </c>
      <c r="B35" s="484" t="str">
        <f>+VLOOKUP($A35,Master!$D$27:$G$225,4,FALSE)</f>
        <v>Expenditures for Services</v>
      </c>
      <c r="C35" s="485"/>
      <c r="D35" s="485"/>
      <c r="E35" s="485"/>
      <c r="F35" s="485"/>
      <c r="G35" s="188">
        <f>+INDEX(DataEx!$1:$1048576,MATCH('2019'!$A35,DataEx!$D:$D,0),MATCH('2019'!G$6,DataEx!$7:$7,0))</f>
        <v>2813388.82</v>
      </c>
      <c r="H35" s="188">
        <f>+INDEX(DataEx!$1:$1048576,MATCH('2019'!$A35,DataEx!$D:$D,0),MATCH('2019'!H$6,DataEx!$7:$7,0))</f>
        <v>4369547.51</v>
      </c>
      <c r="I35" s="188">
        <f>+INDEX(DataEx!$1:$1048576,MATCH('2019'!$A35,DataEx!$D:$D,0),MATCH('2019'!I$6,DataEx!$7:$7,0))</f>
        <v>4665504.76</v>
      </c>
      <c r="J35" s="188">
        <f>+INDEX(DataEx!$1:$1048576,MATCH('2019'!$A35,DataEx!$D:$D,0),MATCH('2019'!J$6,DataEx!$7:$7,0))</f>
        <v>4354225.75</v>
      </c>
      <c r="K35" s="188">
        <f>+INDEX(DataEx!$1:$1048576,MATCH('2019'!$A35,DataEx!$D:$D,0),MATCH('2019'!K$6,DataEx!$7:$7,0))</f>
        <v>0</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16202666.84</v>
      </c>
      <c r="T35" s="270">
        <f t="shared" si="4"/>
        <v>3.3835916217683664E-3</v>
      </c>
    </row>
    <row r="36" spans="1:22">
      <c r="A36" s="175">
        <v>415</v>
      </c>
      <c r="B36" s="484" t="str">
        <f>+VLOOKUP($A36,Master!$D$27:$G$225,4,FALSE)</f>
        <v>Current Maintenance</v>
      </c>
      <c r="C36" s="485"/>
      <c r="D36" s="485"/>
      <c r="E36" s="485"/>
      <c r="F36" s="485"/>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0</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4799669.5699999994</v>
      </c>
      <c r="T36" s="270">
        <f t="shared" si="4"/>
        <v>1.0023116505868102E-3</v>
      </c>
    </row>
    <row r="37" spans="1:22">
      <c r="A37" s="175">
        <v>416</v>
      </c>
      <c r="B37" s="484" t="str">
        <f>+VLOOKUP($A37,Master!$D$27:$G$225,4,FALSE)</f>
        <v>Interests</v>
      </c>
      <c r="C37" s="485"/>
      <c r="D37" s="485"/>
      <c r="E37" s="485"/>
      <c r="F37" s="485"/>
      <c r="G37" s="188">
        <f>+INDEX(DataEx!$1:$1048576,MATCH('2019'!$A37,DataEx!$D:$D,0),MATCH('2019'!G$6,DataEx!$7:$7,0))</f>
        <v>6154852.9000000004</v>
      </c>
      <c r="H37" s="188">
        <f>+INDEX(DataEx!$1:$1048576,MATCH('2019'!$A37,DataEx!$D:$D,0),MATCH('2019'!H$6,DataEx!$7:$7,0))</f>
        <v>950797.68</v>
      </c>
      <c r="I37" s="188">
        <f>+INDEX(DataEx!$1:$1048576,MATCH('2019'!$A37,DataEx!$D:$D,0),MATCH('2019'!I$6,DataEx!$7:$7,0))</f>
        <v>28695513.649999999</v>
      </c>
      <c r="J37" s="188">
        <f>+INDEX(DataEx!$1:$1048576,MATCH('2019'!$A37,DataEx!$D:$D,0),MATCH('2019'!J$6,DataEx!$7:$7,0))</f>
        <v>18405321.859999999</v>
      </c>
      <c r="K37" s="188">
        <f>+INDEX(DataEx!$1:$1048576,MATCH('2019'!$A37,DataEx!$D:$D,0),MATCH('2019'!K$6,DataEx!$7:$7,0))</f>
        <v>0</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54206486.089999996</v>
      </c>
      <c r="T37" s="270">
        <f t="shared" si="4"/>
        <v>1.1319902704339472E-2</v>
      </c>
    </row>
    <row r="38" spans="1:22">
      <c r="A38" s="175">
        <v>417</v>
      </c>
      <c r="B38" s="484" t="str">
        <f>+VLOOKUP($A38,Master!$D$27:$G$225,4,FALSE)</f>
        <v>Rent</v>
      </c>
      <c r="C38" s="485"/>
      <c r="D38" s="485"/>
      <c r="E38" s="485"/>
      <c r="F38" s="485"/>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0</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2926032.85</v>
      </c>
      <c r="T38" s="270">
        <f t="shared" si="4"/>
        <v>6.1104140040930542E-4</v>
      </c>
    </row>
    <row r="39" spans="1:22">
      <c r="A39" s="175">
        <v>418</v>
      </c>
      <c r="B39" s="484" t="str">
        <f>+VLOOKUP($A39,Master!$D$27:$G$225,4,FALSE)</f>
        <v>Subsidies</v>
      </c>
      <c r="C39" s="485"/>
      <c r="D39" s="485"/>
      <c r="E39" s="485"/>
      <c r="F39" s="485"/>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0</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6773249.9699999997</v>
      </c>
      <c r="T39" s="270">
        <f t="shared" si="4"/>
        <v>1.414453069790753E-3</v>
      </c>
    </row>
    <row r="40" spans="1:22">
      <c r="A40" s="175">
        <v>419</v>
      </c>
      <c r="B40" s="484" t="str">
        <f>+VLOOKUP($A40,Master!$D$27:$G$225,4,FALSE)</f>
        <v>Other expenditures</v>
      </c>
      <c r="C40" s="485"/>
      <c r="D40" s="485"/>
      <c r="E40" s="485"/>
      <c r="F40" s="485"/>
      <c r="G40" s="188">
        <f>+INDEX(DataEx!$1:$1048576,MATCH('2019'!$A40,DataEx!$D:$D,0),MATCH('2019'!G$6,DataEx!$7:$7,0))</f>
        <v>695586.92</v>
      </c>
      <c r="H40" s="188">
        <f>+INDEX(DataEx!$1:$1048576,MATCH('2019'!$A40,DataEx!$D:$D,0),MATCH('2019'!H$6,DataEx!$7:$7,0))</f>
        <v>3360527.27</v>
      </c>
      <c r="I40" s="188">
        <f>+INDEX(DataEx!$1:$1048576,MATCH('2019'!$A40,DataEx!$D:$D,0),MATCH('2019'!I$6,DataEx!$7:$7,0))</f>
        <v>2355712.6800000002</v>
      </c>
      <c r="J40" s="188">
        <f>+INDEX(DataEx!$1:$1048576,MATCH('2019'!$A40,DataEx!$D:$D,0),MATCH('2019'!J$6,DataEx!$7:$7,0))</f>
        <v>5380146.8200000003</v>
      </c>
      <c r="K40" s="188">
        <f>+INDEX(DataEx!$1:$1048576,MATCH('2019'!$A40,DataEx!$D:$D,0),MATCH('2019'!K$6,DataEx!$7:$7,0))</f>
        <v>0</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11791973.690000001</v>
      </c>
      <c r="T40" s="270">
        <f t="shared" si="4"/>
        <v>2.4625096458255023E-3</v>
      </c>
    </row>
    <row r="41" spans="1:22">
      <c r="A41" s="175">
        <v>440</v>
      </c>
      <c r="B41" s="484" t="str">
        <f>+VLOOKUP($A41,Master!$D$27:$G$225,4,FALSE)</f>
        <v>Current Capital Expenditure</v>
      </c>
      <c r="C41" s="485"/>
      <c r="D41" s="485"/>
      <c r="E41" s="485"/>
      <c r="F41" s="485"/>
      <c r="G41" s="188">
        <f>+INDEX(DataEx!$1:$1048576,MATCH('2019'!$A41,DataEx!$D:$D,0),MATCH('2019'!G$6,DataEx!$7:$7,0))</f>
        <v>888388.89</v>
      </c>
      <c r="H41" s="188">
        <f>+INDEX(DataEx!$1:$1048576,MATCH('2019'!$A41,DataEx!$D:$D,0),MATCH('2019'!H$6,DataEx!$7:$7,0))</f>
        <v>3462137.86</v>
      </c>
      <c r="I41" s="188">
        <f>+INDEX(DataEx!$1:$1048576,MATCH('2019'!$A41,DataEx!$D:$D,0),MATCH('2019'!I$6,DataEx!$7:$7,0))</f>
        <v>1772948.37</v>
      </c>
      <c r="J41" s="188">
        <f>+INDEX(DataEx!$1:$1048576,MATCH('2019'!$A41,DataEx!$D:$D,0),MATCH('2019'!J$6,DataEx!$7:$7,0))</f>
        <v>2074285.0700000003</v>
      </c>
      <c r="K41" s="188">
        <f>+INDEX(DataEx!$1:$1048576,MATCH('2019'!$A41,DataEx!$D:$D,0),MATCH('2019'!K$6,DataEx!$7:$7,0))</f>
        <v>0</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8197760.1900000004</v>
      </c>
      <c r="T41" s="270">
        <f t="shared" si="4"/>
        <v>1.7119325460468614E-3</v>
      </c>
    </row>
    <row r="42" spans="1:22">
      <c r="A42" s="175">
        <v>42</v>
      </c>
      <c r="B42" s="480" t="str">
        <f>+VLOOKUP($A42,Master!$D$27:$G$225,4,FALSE)</f>
        <v>Social Security Transfers</v>
      </c>
      <c r="C42" s="481"/>
      <c r="D42" s="481"/>
      <c r="E42" s="481"/>
      <c r="F42" s="481"/>
      <c r="G42" s="218">
        <f>+SUM(G43:G47)</f>
        <v>42563180.95000001</v>
      </c>
      <c r="H42" s="218">
        <f t="shared" ref="H42:R42" si="8">+SUM(H43:H47)</f>
        <v>46595802.07</v>
      </c>
      <c r="I42" s="218">
        <f t="shared" si="8"/>
        <v>45429673.470000006</v>
      </c>
      <c r="J42" s="200">
        <f t="shared" si="8"/>
        <v>45454458.559999995</v>
      </c>
      <c r="K42" s="218">
        <f t="shared" si="8"/>
        <v>0</v>
      </c>
      <c r="L42" s="218">
        <f t="shared" si="8"/>
        <v>0</v>
      </c>
      <c r="M42" s="218">
        <f t="shared" si="8"/>
        <v>0</v>
      </c>
      <c r="N42" s="218">
        <f t="shared" si="8"/>
        <v>0</v>
      </c>
      <c r="O42" s="218">
        <f t="shared" si="8"/>
        <v>0</v>
      </c>
      <c r="P42" s="218">
        <f t="shared" si="8"/>
        <v>0</v>
      </c>
      <c r="Q42" s="218">
        <f t="shared" si="8"/>
        <v>0</v>
      </c>
      <c r="R42" s="282">
        <f t="shared" si="8"/>
        <v>0</v>
      </c>
      <c r="S42" s="272">
        <f t="shared" si="3"/>
        <v>180043115.05000001</v>
      </c>
      <c r="T42" s="273">
        <f t="shared" si="4"/>
        <v>3.7598278212838829E-2</v>
      </c>
    </row>
    <row r="43" spans="1:22">
      <c r="A43" s="175">
        <v>421</v>
      </c>
      <c r="B43" s="484" t="str">
        <f>+VLOOKUP($A43,Master!$D$27:$G$225,4,FALSE)</f>
        <v>Social Security</v>
      </c>
      <c r="C43" s="485"/>
      <c r="D43" s="485"/>
      <c r="E43" s="485"/>
      <c r="F43" s="485"/>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0</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26089339.759999998</v>
      </c>
      <c r="T43" s="270">
        <f t="shared" si="4"/>
        <v>5.4482186359269928E-3</v>
      </c>
    </row>
    <row r="44" spans="1:22">
      <c r="A44" s="175">
        <v>422</v>
      </c>
      <c r="B44" s="484" t="str">
        <f>+VLOOKUP($A44,Master!$D$27:$G$225,4,FALSE)</f>
        <v>Funds for redundant labor</v>
      </c>
      <c r="C44" s="485"/>
      <c r="D44" s="485"/>
      <c r="E44" s="485"/>
      <c r="F44" s="485"/>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0</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3448701.83</v>
      </c>
      <c r="T44" s="270">
        <f t="shared" si="4"/>
        <v>7.2018999916468283E-4</v>
      </c>
    </row>
    <row r="45" spans="1:22">
      <c r="A45" s="175">
        <v>423</v>
      </c>
      <c r="B45" s="484" t="str">
        <f>+VLOOKUP($A45,Master!$D$27:$G$225,4,FALSE)</f>
        <v>Pension and Disability Insurance</v>
      </c>
      <c r="C45" s="485"/>
      <c r="D45" s="485"/>
      <c r="E45" s="485"/>
      <c r="F45" s="485"/>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0</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140522725.12</v>
      </c>
      <c r="T45" s="270">
        <f t="shared" si="4"/>
        <v>2.9345262732322599E-2</v>
      </c>
    </row>
    <row r="46" spans="1:22">
      <c r="A46" s="175">
        <v>424</v>
      </c>
      <c r="B46" s="484" t="str">
        <f>+VLOOKUP($A46,Master!$D$27:$G$225,4,FALSE)</f>
        <v>Other Health Care Transfers</v>
      </c>
      <c r="C46" s="485"/>
      <c r="D46" s="485"/>
      <c r="E46" s="485"/>
      <c r="F46" s="485"/>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0</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6552133.79</v>
      </c>
      <c r="T46" s="270">
        <f t="shared" si="4"/>
        <v>1.368277532055298E-3</v>
      </c>
    </row>
    <row r="47" spans="1:22">
      <c r="A47" s="175">
        <v>425</v>
      </c>
      <c r="B47" s="555" t="str">
        <f>+VLOOKUP($A47,Master!$D$27:$G$225,4,FALSE)</f>
        <v>Other Health Care Insurance</v>
      </c>
      <c r="C47" s="556"/>
      <c r="D47" s="556"/>
      <c r="E47" s="556"/>
      <c r="F47" s="556"/>
      <c r="G47" s="188">
        <f>+INDEX(DataEx!$1:$1048576,MATCH('2019'!$A47,DataEx!$D:$D,0),MATCH('2019'!G$6,DataEx!$7:$7,0))</f>
        <v>492655.92</v>
      </c>
      <c r="H47" s="188">
        <f>+INDEX(DataEx!$1:$1048576,MATCH('2019'!$A47,DataEx!$D:$D,0),MATCH('2019'!H$6,DataEx!$7:$7,0))</f>
        <v>1082093.31</v>
      </c>
      <c r="I47" s="188">
        <f>+INDEX(DataEx!$1:$1048576,MATCH('2019'!$A47,DataEx!$D:$D,0),MATCH('2019'!I$6,DataEx!$7:$7,0))</f>
        <v>1075486.77</v>
      </c>
      <c r="J47" s="188">
        <f>+INDEX(DataEx!$1:$1048576,MATCH('2019'!$A47,DataEx!$D:$D,0),MATCH('2019'!J$6,DataEx!$7:$7,0))</f>
        <v>779978.55</v>
      </c>
      <c r="K47" s="188">
        <f>+INDEX(DataEx!$1:$1048576,MATCH('2019'!$A47,DataEx!$D:$D,0),MATCH('2019'!K$6,DataEx!$7:$7,0))</f>
        <v>0</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3430214.55</v>
      </c>
      <c r="T47" s="270">
        <f t="shared" si="4"/>
        <v>7.1632931336925191E-4</v>
      </c>
    </row>
    <row r="48" spans="1:22">
      <c r="A48" s="175">
        <v>43</v>
      </c>
      <c r="B48" s="482" t="str">
        <f>+VLOOKUP($A48,Master!$D$27:$G$225,4,FALSE)</f>
        <v xml:space="preserve">Transfers to Institutions, Individuals, NGO and Public Sector </v>
      </c>
      <c r="C48" s="483"/>
      <c r="D48" s="483"/>
      <c r="E48" s="483"/>
      <c r="F48" s="483"/>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16109431.9</v>
      </c>
      <c r="K48" s="200">
        <f>+INDEX(DataEx!$1:$1048576,MATCH('2019'!$A48,DataEx!$D:$D,0),MATCH('2019'!K$6,DataEx!$7:$7,0))</f>
        <v>0</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67175489.219999999</v>
      </c>
      <c r="T48" s="273">
        <f t="shared" si="4"/>
        <v>1.4028210587645659E-2</v>
      </c>
    </row>
    <row r="49" spans="1:22">
      <c r="A49" s="175">
        <v>44</v>
      </c>
      <c r="B49" s="482" t="str">
        <f>+VLOOKUP($A49,Master!$D$27:$G$225,4,FALSE)</f>
        <v>Capital Expenditure</v>
      </c>
      <c r="C49" s="483"/>
      <c r="D49" s="483"/>
      <c r="E49" s="483"/>
      <c r="F49" s="483"/>
      <c r="G49" s="200">
        <f>+INDEX(DataEx!$1:$1048576,MATCH('2019'!$A49,DataEx!$D:$D,0),MATCH('2019'!G$6,DataEx!$7:$7,0))</f>
        <v>26660880.449999999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0</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57377645.450000003</v>
      </c>
      <c r="T49" s="273">
        <f t="shared" si="4"/>
        <v>1.19821337029612E-2</v>
      </c>
    </row>
    <row r="50" spans="1:22">
      <c r="A50" s="175">
        <v>451</v>
      </c>
      <c r="B50" s="549" t="str">
        <f>+VLOOKUP($A50,Master!$D$27:$G$225,4,FALSE)</f>
        <v>Credits and Borrowings</v>
      </c>
      <c r="C50" s="550"/>
      <c r="D50" s="550"/>
      <c r="E50" s="550"/>
      <c r="F50" s="550"/>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686857.98</v>
      </c>
      <c r="T50" s="270">
        <f t="shared" si="4"/>
        <v>1.4343607317378774E-4</v>
      </c>
    </row>
    <row r="51" spans="1:22">
      <c r="A51" s="175">
        <v>47</v>
      </c>
      <c r="B51" s="452" t="str">
        <f>+VLOOKUP($A51,Master!$D$27:$G$225,4,FALSE)</f>
        <v>Reserves</v>
      </c>
      <c r="C51" s="453"/>
      <c r="D51" s="453"/>
      <c r="E51" s="453"/>
      <c r="F51" s="453"/>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1807504.1</v>
      </c>
      <c r="K51" s="188">
        <f>+INDEX(DataEx!$1:$1048576,MATCH('2019'!$A51,DataEx!$D:$D,0),MATCH('2019'!K$6,DataEx!$7:$7,0))</f>
        <v>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4039163.3000000003</v>
      </c>
      <c r="T51" s="270">
        <f t="shared" si="4"/>
        <v>8.4349565635049911E-4</v>
      </c>
    </row>
    <row r="52" spans="1:22" ht="13.5" thickBot="1">
      <c r="A52" s="175">
        <v>462</v>
      </c>
      <c r="B52" s="470" t="str">
        <f>+VLOOKUP($A52,Master!$D$27:$G$225,4,FALSE)</f>
        <v>Repayment of Guarantees</v>
      </c>
      <c r="C52" s="471"/>
      <c r="D52" s="471"/>
      <c r="E52" s="471"/>
      <c r="F52" s="471"/>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1.9702417011235019E-3</v>
      </c>
      <c r="U52" s="366"/>
    </row>
    <row r="53" spans="1:22" ht="13.5" thickBot="1">
      <c r="A53" s="169">
        <v>4630</v>
      </c>
      <c r="B53" s="551" t="str">
        <f>+VLOOKUP($A53,Master!$D$27:$G$225,4,TRUE)</f>
        <v>Repayments of Arrears</v>
      </c>
      <c r="C53" s="552"/>
      <c r="D53" s="552"/>
      <c r="E53" s="552"/>
      <c r="F53" s="552"/>
      <c r="G53" s="224">
        <f>+INDEX(DataEx!$1:$1048576,MATCH('2019'!$A53,DataEx!$D:$D,0),MATCH('2019'!G$6,DataEx!$7:$7,0))</f>
        <v>1205053.3500000001</v>
      </c>
      <c r="H53" s="224">
        <f>+INDEX(DataEx!$1:$1048576,MATCH('2019'!$A53,DataEx!$D:$D,0),MATCH('2019'!H$6,DataEx!$7:$7,0))</f>
        <v>1334117.25</v>
      </c>
      <c r="I53" s="224">
        <f>+INDEX(DataEx!$1:$1048576,MATCH('2019'!$A53,DataEx!$D:$D,0),MATCH('2019'!I$6,DataEx!$7:$7,0))</f>
        <v>1729429.23</v>
      </c>
      <c r="J53" s="224">
        <f>+INDEX(DataEx!$1:$1048576,MATCH('2019'!$A53,DataEx!$D:$D,0),MATCH('2019'!J$6,DataEx!$7:$7,0))</f>
        <v>1788599.55</v>
      </c>
      <c r="K53" s="224">
        <f>+INDEX(DataEx!$1:$1048576,MATCH('2019'!$A53,DataEx!$D:$D,0),MATCH('2019'!K$6,DataEx!$7:$7,0))</f>
        <v>0</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6057199.3799999999</v>
      </c>
      <c r="T53" s="284">
        <f>+S53/$T$7</f>
        <v>1.2649207242200226E-3</v>
      </c>
    </row>
    <row r="54" spans="1:22" ht="13.5" thickBot="1">
      <c r="A54" s="71">
        <v>1005</v>
      </c>
      <c r="B54" s="553" t="str">
        <f>+VLOOKUP($A54,Master!$D$27:$G$227,4,FALSE)</f>
        <v>Net increase of liabilities</v>
      </c>
      <c r="C54" s="554"/>
      <c r="D54" s="554"/>
      <c r="E54" s="554"/>
      <c r="F54" s="554"/>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-32332308.680000037</v>
      </c>
      <c r="H55" s="176">
        <f t="shared" si="9"/>
        <v>-14315051.500000015</v>
      </c>
      <c r="I55" s="176">
        <f t="shared" si="9"/>
        <v>-24645731.440000027</v>
      </c>
      <c r="J55" s="176">
        <f t="shared" si="9"/>
        <v>10148430.530000001</v>
      </c>
      <c r="K55" s="176">
        <f t="shared" si="9"/>
        <v>0</v>
      </c>
      <c r="L55" s="176">
        <f t="shared" si="9"/>
        <v>0</v>
      </c>
      <c r="M55" s="176">
        <f t="shared" si="9"/>
        <v>0</v>
      </c>
      <c r="N55" s="176">
        <f t="shared" si="9"/>
        <v>0</v>
      </c>
      <c r="O55" s="176">
        <f t="shared" si="9"/>
        <v>0</v>
      </c>
      <c r="P55" s="176">
        <f t="shared" si="9"/>
        <v>0</v>
      </c>
      <c r="Q55" s="176">
        <f t="shared" si="9"/>
        <v>0</v>
      </c>
      <c r="R55" s="176">
        <f t="shared" si="9"/>
        <v>0</v>
      </c>
      <c r="S55" s="285">
        <f t="shared" si="3"/>
        <v>-61144661.090000078</v>
      </c>
      <c r="T55" s="286">
        <f t="shared" si="4"/>
        <v>-1.2768796953180487E-2</v>
      </c>
    </row>
    <row r="56" spans="1:22" ht="13.5" thickBot="1">
      <c r="A56" s="169">
        <v>1001</v>
      </c>
      <c r="B56" s="478" t="str">
        <f>+VLOOKUP($A56,Master!$D$27:$G$225,4,FALSE)</f>
        <v>Primary balance</v>
      </c>
      <c r="C56" s="479"/>
      <c r="D56" s="479"/>
      <c r="E56" s="479"/>
      <c r="F56" s="479"/>
      <c r="G56" s="230">
        <f>+G55+G37</f>
        <v>-26177455.780000038</v>
      </c>
      <c r="H56" s="230">
        <f t="shared" ref="H56:R56" si="10">+H55+H37</f>
        <v>-13364253.820000015</v>
      </c>
      <c r="I56" s="230">
        <f t="shared" si="10"/>
        <v>4049782.2099999711</v>
      </c>
      <c r="J56" s="230">
        <f t="shared" si="10"/>
        <v>28553752.390000001</v>
      </c>
      <c r="K56" s="230">
        <f t="shared" si="10"/>
        <v>0</v>
      </c>
      <c r="L56" s="230">
        <f t="shared" si="10"/>
        <v>0</v>
      </c>
      <c r="M56" s="230">
        <f t="shared" si="10"/>
        <v>0</v>
      </c>
      <c r="N56" s="230">
        <f t="shared" si="10"/>
        <v>0</v>
      </c>
      <c r="O56" s="230">
        <f t="shared" si="10"/>
        <v>0</v>
      </c>
      <c r="P56" s="230">
        <f t="shared" si="10"/>
        <v>0</v>
      </c>
      <c r="Q56" s="230">
        <f t="shared" si="10"/>
        <v>0</v>
      </c>
      <c r="R56" s="230">
        <f t="shared" si="10"/>
        <v>0</v>
      </c>
      <c r="S56" s="285">
        <f t="shared" si="3"/>
        <v>-6938175.000000082</v>
      </c>
      <c r="T56" s="286">
        <f t="shared" si="4"/>
        <v>-1.4488942488410145E-3</v>
      </c>
    </row>
    <row r="57" spans="1:22">
      <c r="A57" s="169">
        <v>46</v>
      </c>
      <c r="B57" s="547" t="str">
        <f>+VLOOKUP($A57,Master!$D$27:$G$225,4,FALSE)</f>
        <v>Repayment of Debt</v>
      </c>
      <c r="C57" s="548"/>
      <c r="D57" s="548"/>
      <c r="E57" s="548"/>
      <c r="F57" s="548"/>
      <c r="G57" s="218">
        <f t="shared" ref="G57:R57" si="11">+SUM(G58:G59)</f>
        <v>19518367.399999999</v>
      </c>
      <c r="H57" s="218">
        <f t="shared" si="11"/>
        <v>67365423.120000005</v>
      </c>
      <c r="I57" s="218">
        <f t="shared" si="11"/>
        <v>17786584.469999999</v>
      </c>
      <c r="J57" s="200">
        <f t="shared" si="11"/>
        <v>18302050.879999999</v>
      </c>
      <c r="K57" s="218">
        <f t="shared" si="11"/>
        <v>0</v>
      </c>
      <c r="L57" s="218">
        <f t="shared" si="11"/>
        <v>0</v>
      </c>
      <c r="M57" s="218">
        <f t="shared" si="11"/>
        <v>0</v>
      </c>
      <c r="N57" s="218">
        <f t="shared" si="11"/>
        <v>0</v>
      </c>
      <c r="O57" s="218">
        <f t="shared" si="11"/>
        <v>0</v>
      </c>
      <c r="P57" s="218">
        <f t="shared" si="11"/>
        <v>0</v>
      </c>
      <c r="Q57" s="218">
        <f t="shared" si="11"/>
        <v>0</v>
      </c>
      <c r="R57" s="218">
        <f t="shared" si="11"/>
        <v>0</v>
      </c>
      <c r="S57" s="287">
        <f t="shared" si="3"/>
        <v>122972425.87</v>
      </c>
      <c r="T57" s="288">
        <f t="shared" si="4"/>
        <v>2.568024597377104E-2</v>
      </c>
      <c r="V57" s="383"/>
    </row>
    <row r="58" spans="1:22">
      <c r="A58" s="169">
        <v>4611</v>
      </c>
      <c r="B58" s="468" t="str">
        <f>+VLOOKUP($A58,Master!$D$27:$G$225,4,FALSE)</f>
        <v>Repayment of Domestic Debt</v>
      </c>
      <c r="C58" s="469"/>
      <c r="D58" s="469"/>
      <c r="E58" s="469"/>
      <c r="F58" s="469"/>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0</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86274370.820000008</v>
      </c>
      <c r="T58" s="290">
        <f t="shared" si="4"/>
        <v>1.8016616718873994E-2</v>
      </c>
    </row>
    <row r="59" spans="1:22" ht="13.5" thickBot="1">
      <c r="A59" s="169">
        <v>4612</v>
      </c>
      <c r="B59" s="452" t="str">
        <f>+VLOOKUP($A59,Master!$D$27:$G$225,4,FALSE)</f>
        <v>Repayment of Foreign Debt</v>
      </c>
      <c r="C59" s="453"/>
      <c r="D59" s="453"/>
      <c r="E59" s="453"/>
      <c r="F59" s="453"/>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0</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36698055.049999997</v>
      </c>
      <c r="T59" s="290">
        <f t="shared" si="4"/>
        <v>7.6636292548970461E-3</v>
      </c>
      <c r="V59" s="395"/>
    </row>
    <row r="60" spans="1:22" ht="13.5" thickBot="1">
      <c r="A60" s="169">
        <v>4418</v>
      </c>
      <c r="B60" s="488" t="s">
        <v>795</v>
      </c>
      <c r="C60" s="489"/>
      <c r="D60" s="489"/>
      <c r="E60" s="489"/>
      <c r="F60" s="489"/>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8.3497616129975354E-3</v>
      </c>
      <c r="V60" s="395"/>
    </row>
    <row r="61" spans="1:22" ht="13.5" thickBot="1">
      <c r="A61" s="169">
        <v>1002</v>
      </c>
      <c r="B61" s="472" t="str">
        <f>+VLOOKUP($A61,Master!$D$27:$G$225,4,FALSE)</f>
        <v>Financing needs</v>
      </c>
      <c r="C61" s="473"/>
      <c r="D61" s="473"/>
      <c r="E61" s="473"/>
      <c r="F61" s="473"/>
      <c r="G61" s="242">
        <f>+G55-G57-G60</f>
        <v>-51850676.080000035</v>
      </c>
      <c r="H61" s="242">
        <f t="shared" ref="H61:R61" si="12">+H55-H57-H60</f>
        <v>-81715746.710000023</v>
      </c>
      <c r="I61" s="242">
        <f t="shared" si="12"/>
        <v>-42432315.910000026</v>
      </c>
      <c r="J61" s="242">
        <f t="shared" si="12"/>
        <v>-48102016.719999999</v>
      </c>
      <c r="K61" s="242">
        <f t="shared" si="12"/>
        <v>0</v>
      </c>
      <c r="L61" s="242">
        <f t="shared" si="12"/>
        <v>0</v>
      </c>
      <c r="M61" s="242">
        <f t="shared" si="12"/>
        <v>0</v>
      </c>
      <c r="N61" s="242">
        <f t="shared" si="12"/>
        <v>0</v>
      </c>
      <c r="O61" s="242">
        <f t="shared" si="12"/>
        <v>0</v>
      </c>
      <c r="P61" s="242">
        <f t="shared" si="12"/>
        <v>0</v>
      </c>
      <c r="Q61" s="242">
        <f t="shared" si="12"/>
        <v>0</v>
      </c>
      <c r="R61" s="242">
        <f t="shared" si="12"/>
        <v>0</v>
      </c>
      <c r="S61" s="291">
        <f t="shared" si="3"/>
        <v>-224100755.42000008</v>
      </c>
      <c r="T61" s="292">
        <f t="shared" si="4"/>
        <v>-4.6798804539949064E-2</v>
      </c>
    </row>
    <row r="62" spans="1:22" ht="13.5" thickBot="1">
      <c r="A62" s="169">
        <v>1003</v>
      </c>
      <c r="B62" s="474" t="str">
        <f>+VLOOKUP($A62,Master!$D$27:$G$225,4,FALSE)</f>
        <v>Financing</v>
      </c>
      <c r="C62" s="475"/>
      <c r="D62" s="475"/>
      <c r="E62" s="475"/>
      <c r="F62" s="475"/>
      <c r="G62" s="176">
        <f>+SUM(G63:G66)</f>
        <v>51850676.080000035</v>
      </c>
      <c r="H62" s="176">
        <f t="shared" ref="H62:R62" si="13">+SUM(H63:H66)</f>
        <v>81715746.710000023</v>
      </c>
      <c r="I62" s="176">
        <f t="shared" si="13"/>
        <v>42432315.910000026</v>
      </c>
      <c r="J62" s="176">
        <f t="shared" si="13"/>
        <v>48102016.719999999</v>
      </c>
      <c r="K62" s="176">
        <f t="shared" si="13"/>
        <v>0</v>
      </c>
      <c r="L62" s="176">
        <f t="shared" si="13"/>
        <v>0</v>
      </c>
      <c r="M62" s="176">
        <f t="shared" si="13"/>
        <v>0</v>
      </c>
      <c r="N62" s="176">
        <f t="shared" si="13"/>
        <v>0</v>
      </c>
      <c r="O62" s="176">
        <f t="shared" si="13"/>
        <v>0</v>
      </c>
      <c r="P62" s="176">
        <f t="shared" si="13"/>
        <v>0</v>
      </c>
      <c r="Q62" s="176">
        <f t="shared" si="13"/>
        <v>0</v>
      </c>
      <c r="R62" s="176">
        <f t="shared" si="13"/>
        <v>0</v>
      </c>
      <c r="S62" s="293">
        <f t="shared" si="3"/>
        <v>224100755.42000008</v>
      </c>
      <c r="T62" s="294">
        <f t="shared" si="4"/>
        <v>4.6798804539949064E-2</v>
      </c>
    </row>
    <row r="63" spans="1:22">
      <c r="A63" s="169">
        <v>7511</v>
      </c>
      <c r="B63" s="468" t="str">
        <f>+VLOOKUP($A63,Master!$D$27:$G$225,4,FALSE)</f>
        <v>Domestic Loans and Borrowings</v>
      </c>
      <c r="C63" s="469"/>
      <c r="D63" s="469"/>
      <c r="E63" s="469"/>
      <c r="F63" s="469"/>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146623000</v>
      </c>
      <c r="T63" s="290">
        <f t="shared" si="4"/>
        <v>3.0619178883180886E-2</v>
      </c>
    </row>
    <row r="64" spans="1:22">
      <c r="A64" s="169">
        <v>7512</v>
      </c>
      <c r="B64" s="452" t="str">
        <f>+VLOOKUP($A64,Master!$D$27:$G$225,4,FALSE)</f>
        <v>Foreign Loans and Borrowings</v>
      </c>
      <c r="C64" s="453"/>
      <c r="D64" s="453"/>
      <c r="E64" s="453"/>
      <c r="F64" s="453"/>
      <c r="G64" s="236">
        <f>+INDEX(DataEx!$1:$1048576,MATCH('2019'!$A64,DataEx!$D:$D,0),MATCH('2019'!G$6,DataEx!$7:$7,0))</f>
        <v>25745826.41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0</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50121560.689999998</v>
      </c>
      <c r="T64" s="290">
        <f t="shared" si="4"/>
        <v>1.0466850580545462E-2</v>
      </c>
    </row>
    <row r="65" spans="1:20">
      <c r="A65" s="169">
        <v>72</v>
      </c>
      <c r="B65" s="452" t="str">
        <f>+VLOOKUP($A65,Master!$D$27:$G$225,4,FALSE)</f>
        <v>Revenues from Selling Assets</v>
      </c>
      <c r="C65" s="453"/>
      <c r="D65" s="453"/>
      <c r="E65" s="453"/>
      <c r="F65" s="453"/>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0</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554174.04999999993</v>
      </c>
      <c r="T65" s="290">
        <f t="shared" si="4"/>
        <v>1.1572778056216847E-4</v>
      </c>
    </row>
    <row r="66" spans="1:20" ht="13.5" thickBot="1">
      <c r="A66" s="169">
        <v>1004</v>
      </c>
      <c r="B66" s="248" t="str">
        <f>+VLOOKUP($A66,Master!$D$27:$G$225,4,FALSE)</f>
        <v>Increase / decrease of deposits</v>
      </c>
      <c r="C66" s="249"/>
      <c r="D66" s="249"/>
      <c r="E66" s="249"/>
      <c r="F66" s="249"/>
      <c r="G66" s="250">
        <f>-G61-SUM(G63:G65)</f>
        <v>8078255.5400000364</v>
      </c>
      <c r="H66" s="250">
        <f t="shared" ref="H66:R66" si="14">-H61-SUM(H63:H65)</f>
        <v>23718901.110000029</v>
      </c>
      <c r="I66" s="250">
        <f t="shared" si="14"/>
        <v>28191769.240000024</v>
      </c>
      <c r="J66" s="250">
        <f t="shared" si="14"/>
        <v>-33186905.209999993</v>
      </c>
      <c r="K66" s="250">
        <f t="shared" si="14"/>
        <v>0</v>
      </c>
      <c r="L66" s="250">
        <f t="shared" si="14"/>
        <v>0</v>
      </c>
      <c r="M66" s="250">
        <f t="shared" si="14"/>
        <v>0</v>
      </c>
      <c r="N66" s="250">
        <f t="shared" si="14"/>
        <v>0</v>
      </c>
      <c r="O66" s="250">
        <f t="shared" si="14"/>
        <v>0</v>
      </c>
      <c r="P66" s="250">
        <f t="shared" si="14"/>
        <v>0</v>
      </c>
      <c r="Q66" s="250">
        <f t="shared" si="14"/>
        <v>0</v>
      </c>
      <c r="R66" s="250">
        <f t="shared" si="14"/>
        <v>0</v>
      </c>
      <c r="S66" s="295">
        <f>+SUM(G66:R66)</f>
        <v>26802020.680000097</v>
      </c>
      <c r="T66" s="296">
        <f t="shared" si="4"/>
        <v>5.5970472956605472E-3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39" t="str">
        <f>+Master!G252</f>
        <v>Planned Budget Execution</v>
      </c>
      <c r="C102" s="540"/>
      <c r="D102" s="540"/>
      <c r="E102" s="540"/>
      <c r="F102" s="540"/>
      <c r="G102" s="532">
        <v>2019</v>
      </c>
      <c r="H102" s="533"/>
      <c r="I102" s="533"/>
      <c r="J102" s="533"/>
      <c r="K102" s="533"/>
      <c r="L102" s="533"/>
      <c r="M102" s="533"/>
      <c r="N102" s="533"/>
      <c r="O102" s="533"/>
      <c r="P102" s="533"/>
      <c r="Q102" s="533"/>
      <c r="R102" s="534"/>
      <c r="S102" s="115" t="str">
        <f>+S7</f>
        <v>GDP</v>
      </c>
      <c r="T102" s="116">
        <f>+T7</f>
        <v>4788600000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37" t="str">
        <f>+VLOOKUP(LEFT($A106,LEN(A106)-1)*1,Master!$D$27:$G$225,4,FALSE)</f>
        <v>Taxes</v>
      </c>
      <c r="C106" s="538"/>
      <c r="D106" s="538"/>
      <c r="E106" s="538"/>
      <c r="F106" s="538"/>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18" t="str">
        <f>+VLOOKUP(LEFT($A107,LEN(A107)-1)*1,Master!$D$27:$G$225,4,FALSE)</f>
        <v>Personal Income Tax</v>
      </c>
      <c r="C107" s="519"/>
      <c r="D107" s="519"/>
      <c r="E107" s="519"/>
      <c r="F107" s="519"/>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18" t="str">
        <f>+VLOOKUP(LEFT($A108,LEN(A108)-1)*1,Master!$D$27:$G$225,4,FALSE)</f>
        <v>Corporate Income Tax</v>
      </c>
      <c r="C108" s="519"/>
      <c r="D108" s="519"/>
      <c r="E108" s="519"/>
      <c r="F108" s="519"/>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18" t="str">
        <f>+VLOOKUP(LEFT($A109,LEN(A109)-1)*1,Master!$D$27:$G$225,4,FALSE)</f>
        <v xml:space="preserve">Taxes on Sales of Property </v>
      </c>
      <c r="C109" s="519"/>
      <c r="D109" s="519"/>
      <c r="E109" s="519"/>
      <c r="F109" s="519"/>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18" t="str">
        <f>+VLOOKUP(LEFT($A110,LEN(A110)-1)*1,Master!$D$27:$G$225,4,FALSE)</f>
        <v>Value Added Tax</v>
      </c>
      <c r="C110" s="519"/>
      <c r="D110" s="519"/>
      <c r="E110" s="519"/>
      <c r="F110" s="519"/>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18" t="str">
        <f>+VLOOKUP(LEFT($A111,LEN(A111)-1)*1,Master!$D$27:$G$225,4,FALSE)</f>
        <v>Excises</v>
      </c>
      <c r="C111" s="519"/>
      <c r="D111" s="519"/>
      <c r="E111" s="519"/>
      <c r="F111" s="519"/>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18" t="str">
        <f>+VLOOKUP(LEFT($A112,LEN(A112)-1)*1,Master!$D$27:$G$225,4,FALSE)</f>
        <v>Tax on International Trade and Transactions</v>
      </c>
      <c r="C112" s="519"/>
      <c r="D112" s="519"/>
      <c r="E112" s="519"/>
      <c r="F112" s="519"/>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18" t="str">
        <f>+VLOOKUP(LEFT($A113,LEN(A113)-1)*1,Master!$D$27:$G$225,4,FALSE)</f>
        <v>Other Republic Taxes</v>
      </c>
      <c r="C113" s="519"/>
      <c r="D113" s="519"/>
      <c r="E113" s="519"/>
      <c r="F113" s="519"/>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0" t="str">
        <f>+VLOOKUP(LEFT($A114,LEN(A114)-1)*1,Master!$D$27:$G$225,4,FALSE)</f>
        <v>Contributions</v>
      </c>
      <c r="C114" s="531"/>
      <c r="D114" s="531"/>
      <c r="E114" s="531"/>
      <c r="F114" s="531"/>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18" t="str">
        <f>+VLOOKUP(LEFT($A115,LEN(A115)-1)*1,Master!$D$27:$G$225,4,FALSE)</f>
        <v>Contributions for Pension and Disability Insurance</v>
      </c>
      <c r="C115" s="519"/>
      <c r="D115" s="519"/>
      <c r="E115" s="519"/>
      <c r="F115" s="519"/>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18" t="str">
        <f>+VLOOKUP(LEFT($A116,LEN(A116)-1)*1,Master!$D$27:$G$225,4,FALSE)</f>
        <v>Contributions for Health Insurance</v>
      </c>
      <c r="C116" s="519"/>
      <c r="D116" s="519"/>
      <c r="E116" s="519"/>
      <c r="F116" s="519"/>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18" t="str">
        <f>+VLOOKUP(LEFT($A117,LEN(A117)-1)*1,Master!$D$27:$G$225,4,FALSE)</f>
        <v>Contributions for  Unemployment Insurance</v>
      </c>
      <c r="C117" s="519"/>
      <c r="D117" s="519"/>
      <c r="E117" s="519"/>
      <c r="F117" s="519"/>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18" t="str">
        <f>+VLOOKUP(LEFT($A118,LEN(A118)-1)*1,Master!$D$27:$G$225,4,FALSE)</f>
        <v>Other contributions</v>
      </c>
      <c r="C118" s="519"/>
      <c r="D118" s="519"/>
      <c r="E118" s="519"/>
      <c r="F118" s="519"/>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22" t="str">
        <f>+VLOOKUP(LEFT($A119,LEN(A119)-1)*1,Master!$D$27:$G$225,4,FALSE)</f>
        <v>Duties</v>
      </c>
      <c r="C119" s="523"/>
      <c r="D119" s="523"/>
      <c r="E119" s="523"/>
      <c r="F119" s="523"/>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22" t="str">
        <f>+VLOOKUP(LEFT($A120,LEN(A120)-1)*1,Master!$D$27:$G$225,4,FALSE)</f>
        <v>Fees</v>
      </c>
      <c r="C120" s="523"/>
      <c r="D120" s="523"/>
      <c r="E120" s="523"/>
      <c r="F120" s="523"/>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22" t="str">
        <f>+VLOOKUP(LEFT($A121,LEN(A121)-1)*1,Master!$D$27:$G$225,4,FALSE)</f>
        <v>Other revenues</v>
      </c>
      <c r="C121" s="523"/>
      <c r="D121" s="523"/>
      <c r="E121" s="523"/>
      <c r="F121" s="523"/>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24" t="str">
        <f>+VLOOKUP(LEFT($A123,LEN(A123)-1)*1,Master!$D$27:$G$225,4,FALSE)</f>
        <v>Grants and Transfers</v>
      </c>
      <c r="C123" s="525"/>
      <c r="D123" s="525"/>
      <c r="E123" s="525"/>
      <c r="F123" s="52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08" t="str">
        <f>+VLOOKUP(LEFT($A124,LEN(A124)-1)*1,Master!$D$27:$G$225,4,FALSE)</f>
        <v>Total Expenditures</v>
      </c>
      <c r="C124" s="509"/>
      <c r="D124" s="509"/>
      <c r="E124" s="509"/>
      <c r="F124" s="509"/>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26" t="str">
        <f>+VLOOKUP(LEFT($A125,LEN(A125)-1)*1,Master!$D$27:$G$225,4,FALSE)</f>
        <v>Current Expenditures</v>
      </c>
      <c r="C125" s="527"/>
      <c r="D125" s="527"/>
      <c r="E125" s="527"/>
      <c r="F125" s="527"/>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28" t="str">
        <f>+VLOOKUP(LEFT($A126,LEN(A126)-1)*1,Master!$D$27:$G$225,4,FALSE)</f>
        <v>Current Budgetary Expenditures</v>
      </c>
      <c r="C126" s="529"/>
      <c r="D126" s="529"/>
      <c r="E126" s="529"/>
      <c r="F126" s="529"/>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18" t="str">
        <f>+VLOOKUP(LEFT($A127,LEN(A127)-1)*1,Master!$D$27:$G$225,4,FALSE)</f>
        <v>Gross Salaries and Contributions</v>
      </c>
      <c r="C127" s="519"/>
      <c r="D127" s="519"/>
      <c r="E127" s="519"/>
      <c r="F127" s="519"/>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18" t="str">
        <f>+VLOOKUP(LEFT($A128,LEN(A128)-1)*1,Master!$D$27:$G$225,4,FALSE)</f>
        <v>Other Personal Income</v>
      </c>
      <c r="C128" s="519"/>
      <c r="D128" s="519"/>
      <c r="E128" s="519"/>
      <c r="F128" s="519"/>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18" t="str">
        <f>+VLOOKUP(LEFT($A129,LEN(A129)-1)*1,Master!$D$27:$G$225,4,FALSE)</f>
        <v>Expenditures for Supplies</v>
      </c>
      <c r="C129" s="519"/>
      <c r="D129" s="519"/>
      <c r="E129" s="519"/>
      <c r="F129" s="519"/>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18" t="str">
        <f>+VLOOKUP(LEFT($A130,LEN(A130)-1)*1,Master!$D$27:$G$225,4,FALSE)</f>
        <v>Expenditures for Services</v>
      </c>
      <c r="C130" s="519"/>
      <c r="D130" s="519"/>
      <c r="E130" s="519"/>
      <c r="F130" s="519"/>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18" t="str">
        <f>+VLOOKUP(LEFT($A131,LEN(A131)-1)*1,Master!$D$27:$G$225,4,FALSE)</f>
        <v>Current Maintenance</v>
      </c>
      <c r="C131" s="519"/>
      <c r="D131" s="519"/>
      <c r="E131" s="519"/>
      <c r="F131" s="519"/>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18" t="str">
        <f>+VLOOKUP(LEFT($A132,LEN(A132)-1)*1,Master!$D$27:$G$225,4,FALSE)</f>
        <v>Interests</v>
      </c>
      <c r="C132" s="519"/>
      <c r="D132" s="519"/>
      <c r="E132" s="519"/>
      <c r="F132" s="519"/>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18" t="str">
        <f>+VLOOKUP(LEFT($A133,LEN(A133)-1)*1,Master!$D$27:$G$225,4,FALSE)</f>
        <v>Rent</v>
      </c>
      <c r="C133" s="519"/>
      <c r="D133" s="519"/>
      <c r="E133" s="519"/>
      <c r="F133" s="519"/>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18" t="str">
        <f>+VLOOKUP(LEFT($A134,LEN(A134)-1)*1,Master!$D$27:$G$225,4,FALSE)</f>
        <v>Subsidies</v>
      </c>
      <c r="C134" s="519"/>
      <c r="D134" s="519"/>
      <c r="E134" s="519"/>
      <c r="F134" s="519"/>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18" t="str">
        <f>+VLOOKUP(LEFT($A135,LEN(A135)-1)*1,Master!$D$27:$G$225,4,FALSE)</f>
        <v>Other expenditures</v>
      </c>
      <c r="C135" s="519"/>
      <c r="D135" s="519"/>
      <c r="E135" s="519"/>
      <c r="F135" s="519"/>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18" t="str">
        <f>+VLOOKUP(LEFT($A136,LEN(A136)-1)*1,Master!$D$27:$G$225,4,FALSE)</f>
        <v>Current Capital Expenditure</v>
      </c>
      <c r="C136" s="519"/>
      <c r="D136" s="519"/>
      <c r="E136" s="519"/>
      <c r="F136" s="519"/>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14" t="str">
        <f>+VLOOKUP(LEFT($A137,LEN(A137)-1)*1,Master!$D$27:$G$225,4,FALSE)</f>
        <v>Social Security Transfers</v>
      </c>
      <c r="C137" s="515"/>
      <c r="D137" s="515"/>
      <c r="E137" s="515"/>
      <c r="F137" s="51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18" t="str">
        <f>+VLOOKUP(LEFT($A138,LEN(A138)-1)*1,Master!$D$27:$G$225,4,FALSE)</f>
        <v>Social Security</v>
      </c>
      <c r="C138" s="519"/>
      <c r="D138" s="519"/>
      <c r="E138" s="519"/>
      <c r="F138" s="519"/>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18" t="str">
        <f>+VLOOKUP(LEFT($A139,LEN(A139)-1)*1,Master!$D$27:$G$225,4,FALSE)</f>
        <v>Funds for redundant labor</v>
      </c>
      <c r="C139" s="519"/>
      <c r="D139" s="519"/>
      <c r="E139" s="519"/>
      <c r="F139" s="519"/>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18" t="str">
        <f>+VLOOKUP(LEFT($A140,LEN(A140)-1)*1,Master!$D$27:$G$225,4,FALSE)</f>
        <v>Pension and Disability Insurance</v>
      </c>
      <c r="C140" s="519"/>
      <c r="D140" s="519"/>
      <c r="E140" s="519"/>
      <c r="F140" s="519"/>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18" t="str">
        <f>+VLOOKUP(LEFT($A141,LEN(A141)-1)*1,Master!$D$27:$G$225,4,FALSE)</f>
        <v>Other Health Care Transfers</v>
      </c>
      <c r="C141" s="519"/>
      <c r="D141" s="519"/>
      <c r="E141" s="519"/>
      <c r="F141" s="519"/>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18" t="str">
        <f>+VLOOKUP(LEFT($A142,LEN(A142)-1)*1,Master!$D$27:$G$225,4,FALSE)</f>
        <v>Other Health Care Insurance</v>
      </c>
      <c r="C142" s="519"/>
      <c r="D142" s="519"/>
      <c r="E142" s="519"/>
      <c r="F142" s="519"/>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20" t="str">
        <f>+VLOOKUP(LEFT($A144,LEN(A144)-1)*1,Master!$D$27:$G$225,4,FALSE)</f>
        <v>Capital Expenditure</v>
      </c>
      <c r="C144" s="521"/>
      <c r="D144" s="521"/>
      <c r="E144" s="521"/>
      <c r="F144" s="521"/>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02" t="str">
        <f>+VLOOKUP(LEFT($A145,LEN(A145)-1)*1,Master!$D$27:$G$225,4,FALSE)</f>
        <v>Credits and Borrowings</v>
      </c>
      <c r="C145" s="503"/>
      <c r="D145" s="503"/>
      <c r="E145" s="503"/>
      <c r="F145" s="503"/>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02" t="str">
        <f>+VLOOKUP(LEFT($A146,LEN(A146)-1)*1,Master!$D$27:$G$225,4,FALSE)</f>
        <v>Reserves</v>
      </c>
      <c r="C146" s="503"/>
      <c r="D146" s="503"/>
      <c r="E146" s="503"/>
      <c r="F146" s="503"/>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02" t="str">
        <f>+VLOOKUP(LEFT($A147,LEN(A147)-1)*1,Master!$D$27:$G$225,4,FALSE)</f>
        <v>Repayment of Guarantees</v>
      </c>
      <c r="C147" s="503"/>
      <c r="D147" s="503"/>
      <c r="E147" s="503"/>
      <c r="F147" s="503"/>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02" t="str">
        <f>+VLOOKUP(LEFT($A148,LEN(A148)-1)*1,Master!$D$27:$G$225,4,FALSE)</f>
        <v>Repayments of Arrears</v>
      </c>
      <c r="C148" s="503"/>
      <c r="D148" s="503"/>
      <c r="E148" s="503"/>
      <c r="F148" s="503"/>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16" t="s">
        <v>700</v>
      </c>
      <c r="C149" s="517"/>
      <c r="D149" s="517"/>
      <c r="E149" s="517"/>
      <c r="F149" s="51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0" t="str">
        <f>+VLOOKUP(LEFT($A150,LEN(A150)-1)*1,Master!$D$27:$G$225,4,FALSE)</f>
        <v>Surplus / deficit</v>
      </c>
      <c r="C150" s="511"/>
      <c r="D150" s="511"/>
      <c r="E150" s="511"/>
      <c r="F150" s="511"/>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12" t="str">
        <f>+VLOOKUP(LEFT($A151,LEN(A151)-1)*1,Master!$D$27:$G$225,4,FALSE)</f>
        <v>Primary balance</v>
      </c>
      <c r="C151" s="513"/>
      <c r="D151" s="513"/>
      <c r="E151" s="513"/>
      <c r="F151" s="513"/>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14" t="str">
        <f>+VLOOKUP(LEFT($A152,LEN(A152)-1)*1,Master!$D$27:$G$225,4,FALSE)</f>
        <v>Repayment of Debt</v>
      </c>
      <c r="C152" s="515"/>
      <c r="D152" s="515"/>
      <c r="E152" s="515"/>
      <c r="F152" s="51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04" t="str">
        <f>+VLOOKUP(LEFT($A153,LEN(A153)-1)*1,Master!$D$27:$G$225,4,FALSE)</f>
        <v>Repayment of Domestic Debt</v>
      </c>
      <c r="C153" s="505"/>
      <c r="D153" s="505"/>
      <c r="E153" s="505"/>
      <c r="F153" s="505"/>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02" t="str">
        <f>+VLOOKUP(LEFT($A154,LEN(A154)-1)*1,Master!$D$27:$G$225,4,FALSE)</f>
        <v>Repayment of Foreign Debt</v>
      </c>
      <c r="C154" s="503"/>
      <c r="D154" s="503"/>
      <c r="E154" s="503"/>
      <c r="F154" s="503"/>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88" t="s">
        <v>795</v>
      </c>
      <c r="C155" s="489"/>
      <c r="D155" s="489"/>
      <c r="E155" s="489"/>
      <c r="F155" s="489"/>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06" t="str">
        <f>+VLOOKUP(LEFT($A156,LEN(A156)-1)*1,Master!$D$27:$G$225,4,FALSE)</f>
        <v>Financing needs</v>
      </c>
      <c r="C156" s="507"/>
      <c r="D156" s="507"/>
      <c r="E156" s="507"/>
      <c r="F156" s="507"/>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08" t="str">
        <f>+VLOOKUP(LEFT($A157,LEN(A157)-1)*1,Master!$D$27:$G$225,4,FALSE)</f>
        <v>Financing</v>
      </c>
      <c r="C157" s="509"/>
      <c r="D157" s="509"/>
      <c r="E157" s="509"/>
      <c r="F157" s="509"/>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04" t="str">
        <f>+VLOOKUP(LEFT($A158,LEN(A158)-1)*1,Master!$D$27:$G$225,4,FALSE)</f>
        <v>Domestic Loans and Borrowings</v>
      </c>
      <c r="C158" s="505"/>
      <c r="D158" s="505"/>
      <c r="E158" s="505"/>
      <c r="F158" s="505"/>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02" t="str">
        <f>+VLOOKUP(LEFT($A159,LEN(A159)-1)*1,Master!$D$27:$G$225,4,FALSE)</f>
        <v>Foreign Loans and Borrowings</v>
      </c>
      <c r="C159" s="503"/>
      <c r="D159" s="503"/>
      <c r="E159" s="503"/>
      <c r="F159" s="503"/>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02" t="str">
        <f>+VLOOKUP(LEFT($A160,LEN(A160)-1)*1,Master!$D$27:$G$225,4,FALSE)</f>
        <v>Revenues from Selling Assets</v>
      </c>
      <c r="C160" s="503"/>
      <c r="D160" s="503"/>
      <c r="E160" s="503"/>
      <c r="F160" s="503"/>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G32" sqref="G32"/>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760</v>
      </c>
      <c r="H6" s="259" t="s">
        <v>761</v>
      </c>
      <c r="I6" s="259" t="s">
        <v>762</v>
      </c>
      <c r="J6" s="259" t="s">
        <v>763</v>
      </c>
      <c r="K6" s="259" t="s">
        <v>764</v>
      </c>
      <c r="L6" s="259" t="s">
        <v>765</v>
      </c>
      <c r="M6" s="259" t="s">
        <v>766</v>
      </c>
      <c r="N6" s="259" t="s">
        <v>767</v>
      </c>
      <c r="O6" s="259" t="s">
        <v>768</v>
      </c>
      <c r="P6" s="259" t="s">
        <v>769</v>
      </c>
      <c r="Q6" s="259" t="s">
        <v>770</v>
      </c>
      <c r="R6" s="259" t="s">
        <v>771</v>
      </c>
      <c r="S6" s="258"/>
      <c r="T6" s="258"/>
    </row>
    <row r="7" spans="1:20" ht="15" customHeight="1" thickBot="1">
      <c r="A7" s="169"/>
      <c r="B7" s="557" t="str">
        <f>+Master!G251</f>
        <v>Budget Execution</v>
      </c>
      <c r="C7" s="455"/>
      <c r="D7" s="455"/>
      <c r="E7" s="455"/>
      <c r="F7" s="455"/>
      <c r="G7" s="463">
        <v>2018</v>
      </c>
      <c r="H7" s="464"/>
      <c r="I7" s="464"/>
      <c r="J7" s="464"/>
      <c r="K7" s="464"/>
      <c r="L7" s="464"/>
      <c r="M7" s="464"/>
      <c r="N7" s="464"/>
      <c r="O7" s="464"/>
      <c r="P7" s="464"/>
      <c r="Q7" s="464"/>
      <c r="R7" s="467"/>
      <c r="S7" s="260" t="str">
        <f>+Master!G248</f>
        <v>GDP</v>
      </c>
      <c r="T7" s="261">
        <v>4619100000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Apr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81573046.349999994</v>
      </c>
      <c r="H10" s="176">
        <f t="shared" si="1"/>
        <v>107080108.15000001</v>
      </c>
      <c r="I10" s="176">
        <f t="shared" si="1"/>
        <v>138824742.16</v>
      </c>
      <c r="J10" s="176">
        <f t="shared" si="1"/>
        <v>156838196.73000002</v>
      </c>
      <c r="K10" s="176">
        <f t="shared" si="1"/>
        <v>138843146.69</v>
      </c>
      <c r="L10" s="176">
        <f t="shared" si="1"/>
        <v>140712903.42000002</v>
      </c>
      <c r="M10" s="176">
        <f t="shared" si="1"/>
        <v>160533597.69999999</v>
      </c>
      <c r="N10" s="176">
        <f t="shared" si="1"/>
        <v>161264030.17000002</v>
      </c>
      <c r="O10" s="176">
        <f t="shared" si="1"/>
        <v>187333296.65000001</v>
      </c>
      <c r="P10" s="176">
        <f t="shared" si="1"/>
        <v>145768164.45000002</v>
      </c>
      <c r="Q10" s="176">
        <f t="shared" si="1"/>
        <v>142235974.88999999</v>
      </c>
      <c r="R10" s="176">
        <f t="shared" si="1"/>
        <v>185010591.01999998</v>
      </c>
      <c r="S10" s="264">
        <f>+SUM(G10:R10)</f>
        <v>1746017798.3800001</v>
      </c>
      <c r="T10" s="265">
        <f>+S10/$T$7</f>
        <v>0.37799956666450174</v>
      </c>
    </row>
    <row r="11" spans="1:20">
      <c r="A11" s="175">
        <v>711</v>
      </c>
      <c r="B11" s="498" t="str">
        <f>+VLOOKUP($A11,Master!$D$27:$G$225,4,FALSE)</f>
        <v>Taxes</v>
      </c>
      <c r="C11" s="499"/>
      <c r="D11" s="499"/>
      <c r="E11" s="499"/>
      <c r="F11" s="499"/>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4" t="str">
        <f>+VLOOKUP($A12,Master!$D$27:$G$225,4,FALSE)</f>
        <v>Personal Income Tax</v>
      </c>
      <c r="C12" s="485"/>
      <c r="D12" s="485"/>
      <c r="E12" s="485"/>
      <c r="F12" s="48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4" t="str">
        <f>+VLOOKUP($A13,Master!$D$27:$G$225,4,FALSE)</f>
        <v>Corporate Income Tax</v>
      </c>
      <c r="C13" s="485"/>
      <c r="D13" s="485"/>
      <c r="E13" s="485"/>
      <c r="F13" s="48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4" t="str">
        <f>+VLOOKUP($A14,Master!$D$27:$G$225,4,FALSE)</f>
        <v xml:space="preserve">Taxes on Sales of Property </v>
      </c>
      <c r="C14" s="485"/>
      <c r="D14" s="485"/>
      <c r="E14" s="485"/>
      <c r="F14" s="48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4" t="str">
        <f>+VLOOKUP($A15,Master!$D$27:$G$225,4,FALSE)</f>
        <v>Value Added Tax</v>
      </c>
      <c r="C15" s="485"/>
      <c r="D15" s="485"/>
      <c r="E15" s="485"/>
      <c r="F15" s="48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4" t="str">
        <f>+VLOOKUP($A16,Master!$D$27:$G$225,4,FALSE)</f>
        <v>Excises</v>
      </c>
      <c r="C16" s="485"/>
      <c r="D16" s="485"/>
      <c r="E16" s="485"/>
      <c r="F16" s="48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4" t="str">
        <f>+VLOOKUP($A17,Master!$D$27:$G$225,4,FALSE)</f>
        <v>Tax on International Trade and Transactions</v>
      </c>
      <c r="C17" s="485"/>
      <c r="D17" s="485"/>
      <c r="E17" s="485"/>
      <c r="F17" s="48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4" t="str">
        <f>+VLOOKUP($A18,Master!$D$27:$G$225,4,FALSE)</f>
        <v>Other Republic Taxes</v>
      </c>
      <c r="C18" s="485"/>
      <c r="D18" s="485"/>
      <c r="E18" s="485"/>
      <c r="F18" s="48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4" t="str">
        <f>+VLOOKUP($A19,Master!$D$27:$G$225,4,FALSE)</f>
        <v>Contributions</v>
      </c>
      <c r="C19" s="495"/>
      <c r="D19" s="495"/>
      <c r="E19" s="495"/>
      <c r="F19" s="495"/>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4" t="str">
        <f>+VLOOKUP($A20,Master!$D$27:$G$225,4,FALSE)</f>
        <v>Contributions for Pension and Disability Insurance</v>
      </c>
      <c r="C20" s="485"/>
      <c r="D20" s="485"/>
      <c r="E20" s="485"/>
      <c r="F20" s="48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4" t="str">
        <f>+VLOOKUP($A21,Master!$D$27:$G$225,4,FALSE)</f>
        <v>Contributions for Health Insurance</v>
      </c>
      <c r="C21" s="485"/>
      <c r="D21" s="485"/>
      <c r="E21" s="485"/>
      <c r="F21" s="48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4" t="str">
        <f>+VLOOKUP($A22,Master!$D$27:$G$225,4,FALSE)</f>
        <v>Contributions for  Unemployment Insurance</v>
      </c>
      <c r="C22" s="485"/>
      <c r="D22" s="485"/>
      <c r="E22" s="485"/>
      <c r="F22" s="48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4" t="str">
        <f>+VLOOKUP($A23,Master!$D$27:$G$225,4,FALSE)</f>
        <v>Other contributions</v>
      </c>
      <c r="C23" s="485"/>
      <c r="D23" s="485"/>
      <c r="E23" s="485"/>
      <c r="F23" s="48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86" t="str">
        <f>+VLOOKUP($A24,Master!$D$27:$G$225,4,FALSE)</f>
        <v>Duties</v>
      </c>
      <c r="C24" s="487"/>
      <c r="D24" s="487"/>
      <c r="E24" s="487"/>
      <c r="F24" s="487"/>
      <c r="G24" s="200">
        <f>+INDEX(DataEx!$1:$1048576,MATCH('2018'!$A24,DataEx!$D:$D,0),MATCH('2018'!G$6,DataEx!$7:$7,0))</f>
        <v>814937.81</v>
      </c>
      <c r="H24" s="200">
        <f>+INDEX(DataEx!$1:$1048576,MATCH('2018'!$A24,DataEx!$D:$D,0),MATCH('2018'!H$6,DataEx!$7:$7,0))</f>
        <v>993423.94</v>
      </c>
      <c r="I24" s="200">
        <f>+INDEX(DataEx!$1:$1048576,MATCH('2018'!$A24,DataEx!$D:$D,0),MATCH('2018'!I$6,DataEx!$7:$7,0))</f>
        <v>1111103.6599999999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2005608.26</v>
      </c>
      <c r="N24" s="200">
        <f>+INDEX(DataEx!$1:$1048576,MATCH('2018'!$A24,DataEx!$D:$D,0),MATCH('2018'!N$6,DataEx!$7:$7,0))</f>
        <v>1882210.04</v>
      </c>
      <c r="O24" s="200">
        <f>+INDEX(DataEx!$1:$1048576,MATCH('2018'!$A24,DataEx!$D:$D,0),MATCH('2018'!O$6,DataEx!$7:$7,0))</f>
        <v>1545122.56</v>
      </c>
      <c r="P24" s="200">
        <f>+INDEX(DataEx!$1:$1048576,MATCH('2018'!$A24,DataEx!$D:$D,0),MATCH('2018'!P$6,DataEx!$7:$7,0))</f>
        <v>1572482.29</v>
      </c>
      <c r="Q24" s="200">
        <f>+INDEX(DataEx!$1:$1048576,MATCH('2018'!$A24,DataEx!$D:$D,0),MATCH('2018'!Q$6,DataEx!$7:$7,0))</f>
        <v>1331866.75</v>
      </c>
      <c r="R24" s="274">
        <f>+INDEX(DataEx!$1:$1048576,MATCH('2018'!$A24,DataEx!$D:$D,0),MATCH('2018'!R$6,DataEx!$7:$7,0))</f>
        <v>1446961.78</v>
      </c>
      <c r="S24" s="272">
        <f t="shared" si="3"/>
        <v>16901008.330000002</v>
      </c>
      <c r="T24" s="273">
        <f t="shared" si="4"/>
        <v>3.6589396917148368E-3</v>
      </c>
      <c r="Y24" s="379"/>
    </row>
    <row r="25" spans="1:25">
      <c r="A25" s="175">
        <v>714</v>
      </c>
      <c r="B25" s="486" t="str">
        <f>+VLOOKUP($A25,Master!$D$27:$G$225,4,FALSE)</f>
        <v>Fees</v>
      </c>
      <c r="C25" s="487"/>
      <c r="D25" s="487"/>
      <c r="E25" s="487"/>
      <c r="F25" s="48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86" t="str">
        <f>+VLOOKUP($A26,Master!$D$27:$G$225,4,FALSE)</f>
        <v>Other revenues</v>
      </c>
      <c r="C26" s="487"/>
      <c r="D26" s="487"/>
      <c r="E26" s="487"/>
      <c r="F26" s="487"/>
      <c r="G26" s="200">
        <f>+INDEX(DataEx!$1:$1048576,MATCH('2018'!$A26,DataEx!$D:$D,0),MATCH('2018'!G$6,DataEx!$7:$7,0))</f>
        <v>2425522.83</v>
      </c>
      <c r="H26" s="200">
        <f>+INDEX(DataEx!$1:$1048576,MATCH('2018'!$A26,DataEx!$D:$D,0),MATCH('2018'!H$6,DataEx!$7:$7,0))</f>
        <v>1609741.96</v>
      </c>
      <c r="I26" s="200">
        <f>+INDEX(DataEx!$1:$1048576,MATCH('2018'!$A26,DataEx!$D:$D,0),MATCH('2018'!I$6,DataEx!$7:$7,0))</f>
        <v>1991465.56</v>
      </c>
      <c r="J26" s="200">
        <f>+INDEX(DataEx!$1:$1048576,MATCH('2018'!$A26,DataEx!$D:$D,0),MATCH('2018'!J$6,DataEx!$7:$7,0))</f>
        <v>5482661.4299999997</v>
      </c>
      <c r="K26" s="200">
        <f>+INDEX(DataEx!$1:$1048576,MATCH('2018'!$A26,DataEx!$D:$D,0),MATCH('2018'!K$6,DataEx!$7:$7,0))</f>
        <v>2151496.35</v>
      </c>
      <c r="L26" s="200">
        <f>+INDEX(DataEx!$1:$1048576,MATCH('2018'!$A26,DataEx!$D:$D,0),MATCH('2018'!L$6,DataEx!$7:$7,0))</f>
        <v>2746748.26</v>
      </c>
      <c r="M26" s="200">
        <f>+INDEX(DataEx!$1:$1048576,MATCH('2018'!$A26,DataEx!$D:$D,0),MATCH('2018'!M$6,DataEx!$7:$7,0))</f>
        <v>3904620.91</v>
      </c>
      <c r="N26" s="200">
        <f>+INDEX(DataEx!$1:$1048576,MATCH('2018'!$A26,DataEx!$D:$D,0),MATCH('2018'!N$6,DataEx!$7:$7,0))</f>
        <v>3453591.6</v>
      </c>
      <c r="O26" s="200">
        <f>+INDEX(DataEx!$1:$1048576,MATCH('2018'!$A26,DataEx!$D:$D,0),MATCH('2018'!O$6,DataEx!$7:$7,0))</f>
        <v>37485104.390000001</v>
      </c>
      <c r="P26" s="200">
        <f>+INDEX(DataEx!$1:$1048576,MATCH('2018'!$A26,DataEx!$D:$D,0),MATCH('2018'!P$6,DataEx!$7:$7,0))</f>
        <v>2268381.7599999998</v>
      </c>
      <c r="Q26" s="200">
        <f>+INDEX(DataEx!$1:$1048576,MATCH('2018'!$A26,DataEx!$D:$D,0),MATCH('2018'!Q$6,DataEx!$7:$7,0))</f>
        <v>3459602.91</v>
      </c>
      <c r="R26" s="274">
        <f>+INDEX(DataEx!$1:$1048576,MATCH('2018'!$A26,DataEx!$D:$D,0),MATCH('2018'!R$6,DataEx!$7:$7,0))</f>
        <v>4336127.47</v>
      </c>
      <c r="S26" s="272">
        <f t="shared" si="3"/>
        <v>71315065.429999992</v>
      </c>
      <c r="T26" s="273">
        <f t="shared" si="4"/>
        <v>1.5439168978805394E-2</v>
      </c>
    </row>
    <row r="27" spans="1:25">
      <c r="A27" s="175">
        <v>73</v>
      </c>
      <c r="B27" s="486" t="str">
        <f>+VLOOKUP($A27,Master!$D$27:$G$225,4,FALSE)</f>
        <v>Receipts from Repayment of Loans and Funds Carried over from Previous Year</v>
      </c>
      <c r="C27" s="487"/>
      <c r="D27" s="487"/>
      <c r="E27" s="487"/>
      <c r="F27" s="48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2374596.09</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942551.18</v>
      </c>
      <c r="S27" s="272">
        <f t="shared" si="3"/>
        <v>11285945.1</v>
      </c>
      <c r="T27" s="273">
        <f t="shared" si="4"/>
        <v>2.443321231408716E-3</v>
      </c>
    </row>
    <row r="28" spans="1:25" ht="13.5" thickBot="1">
      <c r="A28" s="175">
        <v>74</v>
      </c>
      <c r="B28" s="488" t="str">
        <f>+VLOOKUP($A28,Master!$D$27:$G$225,4,FALSE)</f>
        <v>Grants and Transfers</v>
      </c>
      <c r="C28" s="489"/>
      <c r="D28" s="489"/>
      <c r="E28" s="489"/>
      <c r="F28" s="489"/>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716886.96</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4414865.1500000004</v>
      </c>
      <c r="R28" s="274">
        <f>+INDEX(DataEx!$1:$1048576,MATCH('2018'!$A28,DataEx!$D:$D,0),MATCH('2018'!R$6,DataEx!$7:$7,0))</f>
        <v>3855321.16</v>
      </c>
      <c r="S28" s="272">
        <f t="shared" si="3"/>
        <v>26708924.740000006</v>
      </c>
      <c r="T28" s="276">
        <f t="shared" si="4"/>
        <v>5.7822789591045884E-3</v>
      </c>
    </row>
    <row r="29" spans="1:25" ht="13.5" thickBot="1">
      <c r="A29" s="175">
        <v>4</v>
      </c>
      <c r="B29" s="474" t="str">
        <f>+VLOOKUP($A29,Master!$D$27:$G$225,4,FALSE)</f>
        <v>Total Expenditures</v>
      </c>
      <c r="C29" s="475"/>
      <c r="D29" s="475"/>
      <c r="E29" s="475"/>
      <c r="F29" s="475"/>
      <c r="G29" s="176">
        <f>+G31+G42+G48+SUM(G49:G53)</f>
        <v>106111813.93000001</v>
      </c>
      <c r="H29" s="176">
        <f t="shared" ref="H29:R29" si="5">+H31+H42+H48+SUM(H49:H53)</f>
        <v>118982807.86999999</v>
      </c>
      <c r="I29" s="176">
        <f t="shared" si="5"/>
        <v>172441842.06000003</v>
      </c>
      <c r="J29" s="176">
        <f t="shared" si="5"/>
        <v>163090651.16</v>
      </c>
      <c r="K29" s="176">
        <f t="shared" si="5"/>
        <v>141754488.21000001</v>
      </c>
      <c r="L29" s="176">
        <f t="shared" si="5"/>
        <v>162103400.82999998</v>
      </c>
      <c r="M29" s="176">
        <f t="shared" si="5"/>
        <v>155871539.53999999</v>
      </c>
      <c r="N29" s="176">
        <f t="shared" si="5"/>
        <v>127128803.52999999</v>
      </c>
      <c r="O29" s="176">
        <f t="shared" si="5"/>
        <v>166113337.59999999</v>
      </c>
      <c r="P29" s="176">
        <f t="shared" si="5"/>
        <v>158165873.20999998</v>
      </c>
      <c r="Q29" s="176">
        <f t="shared" si="5"/>
        <v>187135170.95999998</v>
      </c>
      <c r="R29" s="176">
        <f t="shared" si="5"/>
        <v>256074809.05000001</v>
      </c>
      <c r="S29" s="277">
        <f t="shared" si="3"/>
        <v>1914974537.9499998</v>
      </c>
      <c r="T29" s="278">
        <f t="shared" si="4"/>
        <v>0.41457741507003526</v>
      </c>
    </row>
    <row r="30" spans="1:25" ht="13.5" thickBot="1">
      <c r="A30" s="175">
        <v>41</v>
      </c>
      <c r="B30" s="490" t="str">
        <f>+VLOOKUP($A30,Master!$D$27:$G$225,4,FALSE)</f>
        <v>Current Expenditures</v>
      </c>
      <c r="C30" s="491"/>
      <c r="D30" s="491"/>
      <c r="E30" s="491"/>
      <c r="F30" s="491"/>
      <c r="G30" s="206">
        <f>+G29-G49</f>
        <v>104051239.66000001</v>
      </c>
      <c r="H30" s="206">
        <f t="shared" ref="H30:R30" si="6">+H29-H49</f>
        <v>116024412.38</v>
      </c>
      <c r="I30" s="206">
        <f t="shared" si="6"/>
        <v>161635336.39000005</v>
      </c>
      <c r="J30" s="206">
        <f t="shared" si="6"/>
        <v>134315159.68000001</v>
      </c>
      <c r="K30" s="206">
        <f t="shared" si="6"/>
        <v>129440129.29000001</v>
      </c>
      <c r="L30" s="206">
        <f t="shared" si="6"/>
        <v>139852804.26999998</v>
      </c>
      <c r="M30" s="206">
        <f t="shared" si="6"/>
        <v>133652075.81999999</v>
      </c>
      <c r="N30" s="206">
        <f t="shared" si="6"/>
        <v>120061732.95999998</v>
      </c>
      <c r="O30" s="206">
        <f t="shared" si="6"/>
        <v>127759921.53</v>
      </c>
      <c r="P30" s="206">
        <f t="shared" si="6"/>
        <v>130879774.88999999</v>
      </c>
      <c r="Q30" s="206">
        <f t="shared" si="6"/>
        <v>162423162.77999997</v>
      </c>
      <c r="R30" s="206">
        <f t="shared" si="6"/>
        <v>211516338.12</v>
      </c>
      <c r="S30" s="431">
        <f t="shared" si="3"/>
        <v>1671612087.77</v>
      </c>
      <c r="T30" s="280">
        <f t="shared" si="4"/>
        <v>0.36189129652313223</v>
      </c>
    </row>
    <row r="31" spans="1:25">
      <c r="A31" s="175">
        <v>40</v>
      </c>
      <c r="B31" s="492" t="str">
        <f>+VLOOKUP($A31,Master!$D$27:$G$225,4,FALSE)</f>
        <v>Current Budgetary Expenditures</v>
      </c>
      <c r="C31" s="493"/>
      <c r="D31" s="493"/>
      <c r="E31" s="493"/>
      <c r="F31" s="493"/>
      <c r="G31" s="212">
        <f>+SUM(G32:G41)</f>
        <v>48875760.810000002</v>
      </c>
      <c r="H31" s="212">
        <f t="shared" ref="H31:R31" si="7">+SUM(H32:H41)</f>
        <v>54713401.43999999</v>
      </c>
      <c r="I31" s="212">
        <f t="shared" si="7"/>
        <v>95706627.480000019</v>
      </c>
      <c r="J31" s="212">
        <f t="shared" si="7"/>
        <v>72369941.129999995</v>
      </c>
      <c r="K31" s="212">
        <f t="shared" si="7"/>
        <v>66893583.370000005</v>
      </c>
      <c r="L31" s="212">
        <f t="shared" si="7"/>
        <v>72164823.269999996</v>
      </c>
      <c r="M31" s="212">
        <f t="shared" si="7"/>
        <v>62875485.640000001</v>
      </c>
      <c r="N31" s="212">
        <f t="shared" si="7"/>
        <v>54539929.089999989</v>
      </c>
      <c r="O31" s="212">
        <f t="shared" si="7"/>
        <v>63478225.789999999</v>
      </c>
      <c r="P31" s="212">
        <f t="shared" si="7"/>
        <v>65918434.339999996</v>
      </c>
      <c r="Q31" s="212">
        <f t="shared" si="7"/>
        <v>94992536.449999988</v>
      </c>
      <c r="R31" s="281">
        <f t="shared" si="7"/>
        <v>114155910.17999999</v>
      </c>
      <c r="S31" s="432">
        <f t="shared" si="3"/>
        <v>866684658.98999989</v>
      </c>
      <c r="T31" s="268">
        <f t="shared" si="4"/>
        <v>0.18763063345456904</v>
      </c>
    </row>
    <row r="32" spans="1:25">
      <c r="A32" s="175">
        <v>411</v>
      </c>
      <c r="B32" s="484" t="str">
        <f>+VLOOKUP($A32,Master!$D$27:$G$225,4,FALSE)</f>
        <v>Gross Salaries and Contributions</v>
      </c>
      <c r="C32" s="485"/>
      <c r="D32" s="485"/>
      <c r="E32" s="485"/>
      <c r="F32" s="48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4" t="str">
        <f>+VLOOKUP($A33,Master!$D$27:$G$225,4,FALSE)</f>
        <v>Other Personal Income</v>
      </c>
      <c r="C33" s="485"/>
      <c r="D33" s="485"/>
      <c r="E33" s="485"/>
      <c r="F33" s="48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4" t="str">
        <f>+VLOOKUP($A34,Master!$D$27:$G$225,4,FALSE)</f>
        <v>Expenditures for Supplies</v>
      </c>
      <c r="C34" s="485"/>
      <c r="D34" s="485"/>
      <c r="E34" s="485"/>
      <c r="F34" s="485"/>
      <c r="G34" s="188">
        <f>+INDEX(DataEx!$1:$1048576,MATCH('2018'!$A34,DataEx!$D:$D,0),MATCH('2018'!G$6,DataEx!$7:$7,0))</f>
        <v>1028193.82</v>
      </c>
      <c r="H34" s="188">
        <f>+INDEX(DataEx!$1:$1048576,MATCH('2018'!$A34,DataEx!$D:$D,0),MATCH('2018'!H$6,DataEx!$7:$7,0))</f>
        <v>2319006.39</v>
      </c>
      <c r="I34" s="188">
        <f>+INDEX(DataEx!$1:$1048576,MATCH('2018'!$A34,DataEx!$D:$D,0),MATCH('2018'!I$6,DataEx!$7:$7,0))</f>
        <v>3799655</v>
      </c>
      <c r="J34" s="188">
        <f>+INDEX(DataEx!$1:$1048576,MATCH('2018'!$A34,DataEx!$D:$D,0),MATCH('2018'!J$6,DataEx!$7:$7,0))</f>
        <v>2444213.75</v>
      </c>
      <c r="K34" s="188">
        <f>+INDEX(DataEx!$1:$1048576,MATCH('2018'!$A34,DataEx!$D:$D,0),MATCH('2018'!K$6,DataEx!$7:$7,0))</f>
        <v>2819164.34</v>
      </c>
      <c r="L34" s="188">
        <f>+INDEX(DataEx!$1:$1048576,MATCH('2018'!$A34,DataEx!$D:$D,0),MATCH('2018'!L$6,DataEx!$7:$7,0))</f>
        <v>2228904.96</v>
      </c>
      <c r="M34" s="188">
        <f>+INDEX(DataEx!$1:$1048576,MATCH('2018'!$A34,DataEx!$D:$D,0),MATCH('2018'!M$6,DataEx!$7:$7,0))</f>
        <v>2858658.74</v>
      </c>
      <c r="N34" s="188">
        <f>+INDEX(DataEx!$1:$1048576,MATCH('2018'!$A34,DataEx!$D:$D,0),MATCH('2018'!N$6,DataEx!$7:$7,0))</f>
        <v>2382536.89</v>
      </c>
      <c r="O34" s="188">
        <f>+INDEX(DataEx!$1:$1048576,MATCH('2018'!$A34,DataEx!$D:$D,0),MATCH('2018'!O$6,DataEx!$7:$7,0))</f>
        <v>1933588.85</v>
      </c>
      <c r="P34" s="188">
        <f>+INDEX(DataEx!$1:$1048576,MATCH('2018'!$A34,DataEx!$D:$D,0),MATCH('2018'!P$6,DataEx!$7:$7,0))</f>
        <v>3004874.41</v>
      </c>
      <c r="Q34" s="188">
        <f>+INDEX(DataEx!$1:$1048576,MATCH('2018'!$A34,DataEx!$D:$D,0),MATCH('2018'!Q$6,DataEx!$7:$7,0))</f>
        <v>3031428.93</v>
      </c>
      <c r="R34" s="188">
        <f>+INDEX(DataEx!$1:$1048576,MATCH('2018'!$A34,DataEx!$D:$D,0),MATCH('2018'!R$6,DataEx!$7:$7,0))</f>
        <v>8894630.3100000005</v>
      </c>
      <c r="S34" s="269">
        <f t="shared" si="3"/>
        <v>36744856.390000001</v>
      </c>
      <c r="T34" s="270">
        <f t="shared" si="4"/>
        <v>7.9549817908250529E-3</v>
      </c>
      <c r="U34" s="385"/>
      <c r="V34" s="365"/>
    </row>
    <row r="35" spans="1:22">
      <c r="A35" s="175">
        <v>414</v>
      </c>
      <c r="B35" s="484" t="str">
        <f>+VLOOKUP($A35,Master!$D$27:$G$225,4,FALSE)</f>
        <v>Expenditures for Services</v>
      </c>
      <c r="C35" s="485"/>
      <c r="D35" s="485"/>
      <c r="E35" s="485"/>
      <c r="F35" s="485"/>
      <c r="G35" s="188">
        <f>+INDEX(DataEx!$1:$1048576,MATCH('2018'!$A35,DataEx!$D:$D,0),MATCH('2018'!G$6,DataEx!$7:$7,0))</f>
        <v>1680235.02</v>
      </c>
      <c r="H35" s="188">
        <f>+INDEX(DataEx!$1:$1048576,MATCH('2018'!$A35,DataEx!$D:$D,0),MATCH('2018'!H$6,DataEx!$7:$7,0))</f>
        <v>3138627.78</v>
      </c>
      <c r="I35" s="188">
        <f>+INDEX(DataEx!$1:$1048576,MATCH('2018'!$A35,DataEx!$D:$D,0),MATCH('2018'!I$6,DataEx!$7:$7,0))</f>
        <v>4224659.0199999996</v>
      </c>
      <c r="J35" s="188">
        <f>+INDEX(DataEx!$1:$1048576,MATCH('2018'!$A35,DataEx!$D:$D,0),MATCH('2018'!J$6,DataEx!$7:$7,0))</f>
        <v>4569774.72</v>
      </c>
      <c r="K35" s="188">
        <f>+INDEX(DataEx!$1:$1048576,MATCH('2018'!$A35,DataEx!$D:$D,0),MATCH('2018'!K$6,DataEx!$7:$7,0))</f>
        <v>4902792.45</v>
      </c>
      <c r="L35" s="188">
        <f>+INDEX(DataEx!$1:$1048576,MATCH('2018'!$A35,DataEx!$D:$D,0),MATCH('2018'!L$6,DataEx!$7:$7,0))</f>
        <v>14378872.84</v>
      </c>
      <c r="M35" s="188">
        <f>+INDEX(DataEx!$1:$1048576,MATCH('2018'!$A35,DataEx!$D:$D,0),MATCH('2018'!M$6,DataEx!$7:$7,0))</f>
        <v>4934074.01</v>
      </c>
      <c r="N35" s="188">
        <f>+INDEX(DataEx!$1:$1048576,MATCH('2018'!$A35,DataEx!$D:$D,0),MATCH('2018'!N$6,DataEx!$7:$7,0))</f>
        <v>3590546.61</v>
      </c>
      <c r="O35" s="188">
        <f>+INDEX(DataEx!$1:$1048576,MATCH('2018'!$A35,DataEx!$D:$D,0),MATCH('2018'!O$6,DataEx!$7:$7,0))</f>
        <v>5520674.5999999996</v>
      </c>
      <c r="P35" s="188">
        <f>+INDEX(DataEx!$1:$1048576,MATCH('2018'!$A35,DataEx!$D:$D,0),MATCH('2018'!P$6,DataEx!$7:$7,0))</f>
        <v>5584761.9900000002</v>
      </c>
      <c r="Q35" s="188">
        <f>+INDEX(DataEx!$1:$1048576,MATCH('2018'!$A35,DataEx!$D:$D,0),MATCH('2018'!Q$6,DataEx!$7:$7,0))</f>
        <v>5166021.46</v>
      </c>
      <c r="R35" s="188">
        <f>+INDEX(DataEx!$1:$1048576,MATCH('2018'!$A35,DataEx!$D:$D,0),MATCH('2018'!R$6,DataEx!$7:$7,0))</f>
        <v>17447882.190000001</v>
      </c>
      <c r="S35" s="269">
        <f t="shared" si="3"/>
        <v>75138922.689999998</v>
      </c>
      <c r="T35" s="270">
        <f t="shared" si="4"/>
        <v>1.6267004977160052E-2</v>
      </c>
    </row>
    <row r="36" spans="1:22">
      <c r="A36" s="175">
        <v>415</v>
      </c>
      <c r="B36" s="484" t="str">
        <f>+VLOOKUP($A36,Master!$D$27:$G$225,4,FALSE)</f>
        <v>Current Maintenance</v>
      </c>
      <c r="C36" s="485"/>
      <c r="D36" s="485"/>
      <c r="E36" s="485"/>
      <c r="F36" s="48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84" t="str">
        <f>+VLOOKUP($A37,Master!$D$27:$G$225,4,FALSE)</f>
        <v>Interests</v>
      </c>
      <c r="C37" s="485"/>
      <c r="D37" s="485"/>
      <c r="E37" s="485"/>
      <c r="F37" s="48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17000784.449999999</v>
      </c>
      <c r="K37" s="188">
        <f>+INDEX(DataEx!$1:$1048576,MATCH('2018'!$A37,DataEx!$D:$D,0),MATCH('2018'!K$6,DataEx!$7:$7,0))</f>
        <v>10064809.060000001</v>
      </c>
      <c r="L37" s="188">
        <f>+INDEX(DataEx!$1:$1048576,MATCH('2018'!$A37,DataEx!$D:$D,0),MATCH('2018'!L$6,DataEx!$7:$7,0))</f>
        <v>1838720.63</v>
      </c>
      <c r="M37" s="188">
        <f>+INDEX(DataEx!$1:$1048576,MATCH('2018'!$A37,DataEx!$D:$D,0),MATCH('2018'!M$6,DataEx!$7:$7,0))</f>
        <v>7518062.3499999996</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5677848.6699999999</v>
      </c>
      <c r="S37" s="269">
        <f>+SUM(G37:R37)</f>
        <v>97563028.689999983</v>
      </c>
      <c r="T37" s="270">
        <f t="shared" si="4"/>
        <v>2.1121653285272018E-2</v>
      </c>
    </row>
    <row r="38" spans="1:22">
      <c r="A38" s="175">
        <v>417</v>
      </c>
      <c r="B38" s="484" t="str">
        <f>+VLOOKUP($A38,Master!$D$27:$G$225,4,FALSE)</f>
        <v>Rent</v>
      </c>
      <c r="C38" s="485"/>
      <c r="D38" s="485"/>
      <c r="E38" s="485"/>
      <c r="F38" s="48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933048.68</v>
      </c>
      <c r="L38" s="188">
        <f>+INDEX(DataEx!$1:$1048576,MATCH('2018'!$A38,DataEx!$D:$D,0),MATCH('2018'!L$6,DataEx!$7:$7,0))</f>
        <v>835746.88</v>
      </c>
      <c r="M38" s="188">
        <f>+INDEX(DataEx!$1:$1048576,MATCH('2018'!$A38,DataEx!$D:$D,0),MATCH('2018'!M$6,DataEx!$7:$7,0))</f>
        <v>824828.88</v>
      </c>
      <c r="N38" s="188">
        <f>+INDEX(DataEx!$1:$1048576,MATCH('2018'!$A38,DataEx!$D:$D,0),MATCH('2018'!N$6,DataEx!$7:$7,0))</f>
        <v>555711.06999999995</v>
      </c>
      <c r="O38" s="188">
        <f>+INDEX(DataEx!$1:$1048576,MATCH('2018'!$A38,DataEx!$D:$D,0),MATCH('2018'!O$6,DataEx!$7:$7,0))</f>
        <v>949304.64</v>
      </c>
      <c r="P38" s="188">
        <f>+INDEX(DataEx!$1:$1048576,MATCH('2018'!$A38,DataEx!$D:$D,0),MATCH('2018'!P$6,DataEx!$7:$7,0))</f>
        <v>827176.94</v>
      </c>
      <c r="Q38" s="188">
        <f>+INDEX(DataEx!$1:$1048576,MATCH('2018'!$A38,DataEx!$D:$D,0),MATCH('2018'!Q$6,DataEx!$7:$7,0))</f>
        <v>584262.68000000005</v>
      </c>
      <c r="R38" s="188">
        <f>+INDEX(DataEx!$1:$1048576,MATCH('2018'!$A38,DataEx!$D:$D,0),MATCH('2018'!R$6,DataEx!$7:$7,0))</f>
        <v>2717616.81</v>
      </c>
      <c r="S38" s="269">
        <f t="shared" si="3"/>
        <v>10693128.550000001</v>
      </c>
      <c r="T38" s="270">
        <f t="shared" si="4"/>
        <v>2.3149809594942739E-3</v>
      </c>
    </row>
    <row r="39" spans="1:22">
      <c r="A39" s="175">
        <v>418</v>
      </c>
      <c r="B39" s="484" t="str">
        <f>+VLOOKUP($A39,Master!$D$27:$G$225,4,FALSE)</f>
        <v>Subsidies</v>
      </c>
      <c r="C39" s="485"/>
      <c r="D39" s="485"/>
      <c r="E39" s="485"/>
      <c r="F39" s="48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4" t="str">
        <f>+VLOOKUP($A40,Master!$D$27:$G$225,4,FALSE)</f>
        <v>Other expenditures</v>
      </c>
      <c r="C40" s="485"/>
      <c r="D40" s="485"/>
      <c r="E40" s="485"/>
      <c r="F40" s="48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84" t="str">
        <f>+VLOOKUP($A41,Master!$D$27:$G$225,4,FALSE)</f>
        <v>Current Capital Expenditure</v>
      </c>
      <c r="C41" s="485"/>
      <c r="D41" s="485"/>
      <c r="E41" s="485"/>
      <c r="F41" s="485"/>
      <c r="G41" s="188">
        <f>+INDEX(DataEx!$1:$1048576,MATCH('2018'!$A41,DataEx!$D:$D,0),MATCH('2018'!G$6,DataEx!$7:$7,0))</f>
        <v>3266992.16</v>
      </c>
      <c r="H41" s="188">
        <f>+INDEX(DataEx!$1:$1048576,MATCH('2018'!$A41,DataEx!$D:$D,0),MATCH('2018'!H$6,DataEx!$7:$7,0))</f>
        <v>1252962.76</v>
      </c>
      <c r="I41" s="188">
        <f>+INDEX(DataEx!$1:$1048576,MATCH('2018'!$A41,DataEx!$D:$D,0),MATCH('2018'!I$6,DataEx!$7:$7,0))</f>
        <v>2398205.81</v>
      </c>
      <c r="J41" s="188">
        <f>+INDEX(DataEx!$1:$1048576,MATCH('2018'!$A41,DataEx!$D:$D,0),MATCH('2018'!J$6,DataEx!$7:$7,0))</f>
        <v>2567489.7200000002</v>
      </c>
      <c r="K41" s="188">
        <f>+INDEX(DataEx!$1:$1048576,MATCH('2018'!$A41,DataEx!$D:$D,0),MATCH('2018'!K$6,DataEx!$7:$7,0))</f>
        <v>3090956.98</v>
      </c>
      <c r="L41" s="188">
        <f>+INDEX(DataEx!$1:$1048576,MATCH('2018'!$A41,DataEx!$D:$D,0),MATCH('2018'!L$6,DataEx!$7:$7,0))</f>
        <v>5031700.74</v>
      </c>
      <c r="M41" s="188">
        <f>+INDEX(DataEx!$1:$1048576,MATCH('2018'!$A41,DataEx!$D:$D,0),MATCH('2018'!M$6,DataEx!$7:$7,0))</f>
        <v>2615698.5299999998</v>
      </c>
      <c r="N41" s="188">
        <f>+INDEX(DataEx!$1:$1048576,MATCH('2018'!$A41,DataEx!$D:$D,0),MATCH('2018'!N$6,DataEx!$7:$7,0))</f>
        <v>2782160.17</v>
      </c>
      <c r="O41" s="188">
        <f>+INDEX(DataEx!$1:$1048576,MATCH('2018'!$A41,DataEx!$D:$D,0),MATCH('2018'!O$6,DataEx!$7:$7,0))</f>
        <v>3339367.45</v>
      </c>
      <c r="P41" s="188">
        <f>+INDEX(DataEx!$1:$1048576,MATCH('2018'!$A41,DataEx!$D:$D,0),MATCH('2018'!P$6,DataEx!$7:$7,0))</f>
        <v>5912379.6799999997</v>
      </c>
      <c r="Q41" s="188">
        <f>+INDEX(DataEx!$1:$1048576,MATCH('2018'!$A41,DataEx!$D:$D,0),MATCH('2018'!Q$6,DataEx!$7:$7,0))</f>
        <v>28699706.960000001</v>
      </c>
      <c r="R41" s="188">
        <f>+INDEX(DataEx!$1:$1048576,MATCH('2018'!$A41,DataEx!$D:$D,0),MATCH('2018'!R$6,DataEx!$7:$7,0))</f>
        <v>17413656</v>
      </c>
      <c r="S41" s="269">
        <f t="shared" si="3"/>
        <v>78371276.960000008</v>
      </c>
      <c r="T41" s="270">
        <f t="shared" si="4"/>
        <v>1.6966785079344463E-2</v>
      </c>
    </row>
    <row r="42" spans="1:22">
      <c r="A42" s="175">
        <v>42</v>
      </c>
      <c r="B42" s="480" t="str">
        <f>+VLOOKUP($A42,Master!$D$27:$G$225,4,FALSE)</f>
        <v>Social Security Transfers</v>
      </c>
      <c r="C42" s="481"/>
      <c r="D42" s="481"/>
      <c r="E42" s="481"/>
      <c r="F42" s="48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4" t="str">
        <f>+VLOOKUP($A43,Master!$D$27:$G$225,4,FALSE)</f>
        <v>Social Security</v>
      </c>
      <c r="C43" s="485"/>
      <c r="D43" s="485"/>
      <c r="E43" s="485"/>
      <c r="F43" s="48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4" t="str">
        <f>+VLOOKUP($A44,Master!$D$27:$G$225,4,FALSE)</f>
        <v>Funds for redundant labor</v>
      </c>
      <c r="C44" s="485"/>
      <c r="D44" s="485"/>
      <c r="E44" s="485"/>
      <c r="F44" s="48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4" t="str">
        <f>+VLOOKUP($A45,Master!$D$27:$G$225,4,FALSE)</f>
        <v>Pension and Disability Insurance</v>
      </c>
      <c r="C45" s="485"/>
      <c r="D45" s="485"/>
      <c r="E45" s="485"/>
      <c r="F45" s="48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4" t="str">
        <f>+VLOOKUP($A46,Master!$D$27:$G$225,4,FALSE)</f>
        <v>Other Health Care Transfers</v>
      </c>
      <c r="C46" s="485"/>
      <c r="D46" s="485"/>
      <c r="E46" s="485"/>
      <c r="F46" s="48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55" t="str">
        <f>+VLOOKUP($A47,Master!$D$27:$G$225,4,FALSE)</f>
        <v>Other Health Care Insurance</v>
      </c>
      <c r="C47" s="556"/>
      <c r="D47" s="556"/>
      <c r="E47" s="556"/>
      <c r="F47" s="556"/>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2" t="str">
        <f>+VLOOKUP($A48,Master!$D$27:$G$225,4,FALSE)</f>
        <v xml:space="preserve">Transfers to Institutions, Individuals, NGO and Public Sector </v>
      </c>
      <c r="C48" s="483"/>
      <c r="D48" s="483"/>
      <c r="E48" s="483"/>
      <c r="F48" s="483"/>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82" t="str">
        <f>+VLOOKUP($A49,Master!$D$27:$G$225,4,FALSE)</f>
        <v>Capital Expenditure</v>
      </c>
      <c r="C49" s="483"/>
      <c r="D49" s="483"/>
      <c r="E49" s="483"/>
      <c r="F49" s="483"/>
      <c r="G49" s="200">
        <f>+INDEX(DataEx!$1:$1048576,MATCH('2018'!$A49,DataEx!$D:$D,0),MATCH('2018'!G$6,DataEx!$7:$7,0))</f>
        <v>2060574.27</v>
      </c>
      <c r="H49" s="200">
        <f>+INDEX(DataEx!$1:$1048576,MATCH('2018'!$A49,DataEx!$D:$D,0),MATCH('2018'!H$6,DataEx!$7:$7,0))</f>
        <v>2958395.49</v>
      </c>
      <c r="I49" s="200">
        <f>+INDEX(DataEx!$1:$1048576,MATCH('2018'!$A49,DataEx!$D:$D,0),MATCH('2018'!I$6,DataEx!$7:$7,0))</f>
        <v>10806505.67</v>
      </c>
      <c r="J49" s="200">
        <f>+INDEX(DataEx!$1:$1048576,MATCH('2018'!$A49,DataEx!$D:$D,0),MATCH('2018'!J$6,DataEx!$7:$7,0))</f>
        <v>28775491.48</v>
      </c>
      <c r="K49" s="200">
        <f>+INDEX(DataEx!$1:$1048576,MATCH('2018'!$A49,DataEx!$D:$D,0),MATCH('2018'!K$6,DataEx!$7:$7,0))</f>
        <v>12314358.92</v>
      </c>
      <c r="L49" s="200">
        <f>+INDEX(DataEx!$1:$1048576,MATCH('2018'!$A49,DataEx!$D:$D,0),MATCH('2018'!L$6,DataEx!$7:$7,0))</f>
        <v>22250596.559999999</v>
      </c>
      <c r="M49" s="200">
        <f>+INDEX(DataEx!$1:$1048576,MATCH('2018'!$A49,DataEx!$D:$D,0),MATCH('2018'!M$6,DataEx!$7:$7,0))</f>
        <v>22219463.719999999</v>
      </c>
      <c r="N49" s="200">
        <f>+INDEX(DataEx!$1:$1048576,MATCH('2018'!$A49,DataEx!$D:$D,0),MATCH('2018'!N$6,DataEx!$7:$7,0))</f>
        <v>7067070.5700000003</v>
      </c>
      <c r="O49" s="200">
        <f>+INDEX(DataEx!$1:$1048576,MATCH('2018'!$A49,DataEx!$D:$D,0),MATCH('2018'!O$6,DataEx!$7:$7,0))</f>
        <v>38353416.07</v>
      </c>
      <c r="P49" s="200">
        <f>+INDEX(DataEx!$1:$1048576,MATCH('2018'!$A49,DataEx!$D:$D,0),MATCH('2018'!P$6,DataEx!$7:$7,0))</f>
        <v>27286098.32</v>
      </c>
      <c r="Q49" s="200">
        <f>+INDEX(DataEx!$1:$1048576,MATCH('2018'!$A49,DataEx!$D:$D,0),MATCH('2018'!Q$6,DataEx!$7:$7,0))</f>
        <v>24712008.18</v>
      </c>
      <c r="R49" s="200">
        <f>+INDEX(DataEx!$1:$1048576,MATCH('2018'!$A49,DataEx!$D:$D,0),MATCH('2018'!R$6,DataEx!$7:$7,0))</f>
        <v>44558470.93</v>
      </c>
      <c r="S49" s="272">
        <f t="shared" si="3"/>
        <v>243362450.18000001</v>
      </c>
      <c r="T49" s="273">
        <f t="shared" si="4"/>
        <v>5.2686118546903075E-2</v>
      </c>
    </row>
    <row r="50" spans="1:22">
      <c r="A50" s="175">
        <v>451</v>
      </c>
      <c r="B50" s="549" t="str">
        <f>+VLOOKUP($A50,Master!$D$27:$G$225,4,FALSE)</f>
        <v>Credits and Borrowings</v>
      </c>
      <c r="C50" s="550"/>
      <c r="D50" s="550"/>
      <c r="E50" s="550"/>
      <c r="F50" s="550"/>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2" t="str">
        <f>+VLOOKUP($A51,Master!$D$27:$G$225,4,FALSE)</f>
        <v>Reserves</v>
      </c>
      <c r="C51" s="453"/>
      <c r="D51" s="453"/>
      <c r="E51" s="453"/>
      <c r="F51" s="45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0" t="str">
        <f>+VLOOKUP($A52,Master!$D$27:$G$225,4,FALSE)</f>
        <v>Repayment of Guarantees</v>
      </c>
      <c r="C52" s="471"/>
      <c r="D52" s="471"/>
      <c r="E52" s="471"/>
      <c r="F52" s="471"/>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1" t="str">
        <f>+VLOOKUP($A53,Master!$D$27:$G$225,4,TRUE)</f>
        <v>Repayments of Arrears</v>
      </c>
      <c r="C53" s="552"/>
      <c r="D53" s="552"/>
      <c r="E53" s="552"/>
      <c r="F53" s="552"/>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4562283.55</v>
      </c>
      <c r="N53" s="224">
        <f>+INDEX(DataEx!$1:$1048576,MATCH('2018'!$A53,DataEx!$D:$D,0),MATCH('2018'!N$6,DataEx!$7:$7,0))</f>
        <v>924617.69</v>
      </c>
      <c r="O53" s="224">
        <f>+INDEX(DataEx!$1:$1048576,MATCH('2018'!$A53,DataEx!$D:$D,0),MATCH('2018'!O$6,DataEx!$7:$7,0))</f>
        <v>872755.39</v>
      </c>
      <c r="P53" s="224">
        <f>+INDEX(DataEx!$1:$1048576,MATCH('2018'!$A53,DataEx!$D:$D,0),MATCH('2018'!P$6,DataEx!$7:$7,0))</f>
        <v>1966075.9</v>
      </c>
      <c r="Q53" s="224">
        <f>+INDEX(DataEx!$1:$1048576,MATCH('2018'!$A53,DataEx!$D:$D,0),MATCH('2018'!Q$6,DataEx!$7:$7,0))</f>
        <v>1659582.3</v>
      </c>
      <c r="R53" s="224">
        <f>+INDEX(DataEx!$1:$1048576,MATCH('2018'!$A53,DataEx!$D:$D,0),MATCH('2018'!R$6,DataEx!$7:$7,0))</f>
        <v>1578931.59</v>
      </c>
      <c r="S53" s="433">
        <f>+SUM(G53:R53)</f>
        <v>23228368.030000001</v>
      </c>
      <c r="T53" s="284">
        <f>+S53/$T$7</f>
        <v>5.0287649174081536E-3</v>
      </c>
    </row>
    <row r="54" spans="1:22" ht="13.5" thickBot="1">
      <c r="A54" s="71">
        <v>1005</v>
      </c>
      <c r="B54" s="553" t="str">
        <f>+VLOOKUP($A54,Master!$D$27:$G$227,4,FALSE)</f>
        <v>Net increase of liabilities</v>
      </c>
      <c r="C54" s="554"/>
      <c r="D54" s="554"/>
      <c r="E54" s="554"/>
      <c r="F54" s="554"/>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-24538767.580000013</v>
      </c>
      <c r="H55" s="176">
        <f t="shared" si="9"/>
        <v>-11902699.719999984</v>
      </c>
      <c r="I55" s="176">
        <f t="shared" si="9"/>
        <v>-33617099.900000036</v>
      </c>
      <c r="J55" s="176">
        <f t="shared" si="9"/>
        <v>-6252454.4299999774</v>
      </c>
      <c r="K55" s="176">
        <f t="shared" si="9"/>
        <v>-2911341.5200000107</v>
      </c>
      <c r="L55" s="176">
        <f t="shared" si="9"/>
        <v>-21390497.409999967</v>
      </c>
      <c r="M55" s="176">
        <f t="shared" si="9"/>
        <v>4662058.1599999964</v>
      </c>
      <c r="N55" s="176">
        <f t="shared" si="9"/>
        <v>34135226.64000003</v>
      </c>
      <c r="O55" s="176">
        <f t="shared" si="9"/>
        <v>21219959.050000012</v>
      </c>
      <c r="P55" s="176">
        <f t="shared" si="9"/>
        <v>-12397708.759999961</v>
      </c>
      <c r="Q55" s="176">
        <f t="shared" si="9"/>
        <v>-44899196.069999993</v>
      </c>
      <c r="R55" s="176">
        <f t="shared" si="9"/>
        <v>-71064218.030000031</v>
      </c>
      <c r="S55" s="285">
        <f t="shared" si="3"/>
        <v>-168956739.56999993</v>
      </c>
      <c r="T55" s="286">
        <f t="shared" si="4"/>
        <v>-3.6577848405533533E-2</v>
      </c>
    </row>
    <row r="56" spans="1:22" ht="13.5" thickBot="1">
      <c r="A56" s="169">
        <v>1001</v>
      </c>
      <c r="B56" s="478" t="str">
        <f>+VLOOKUP($A56,Master!$D$27:$G$225,4,FALSE)</f>
        <v>Primary balance</v>
      </c>
      <c r="C56" s="479"/>
      <c r="D56" s="479"/>
      <c r="E56" s="479"/>
      <c r="F56" s="479"/>
      <c r="G56" s="230">
        <f>+G55+G37</f>
        <v>-20214690.030000012</v>
      </c>
      <c r="H56" s="230">
        <f t="shared" ref="H56:R56" si="10">+H55+H37</f>
        <v>-10851898.489999983</v>
      </c>
      <c r="I56" s="230">
        <f t="shared" si="10"/>
        <v>5897576.8099999651</v>
      </c>
      <c r="J56" s="230">
        <f t="shared" si="10"/>
        <v>10748330.020000022</v>
      </c>
      <c r="K56" s="230">
        <f t="shared" si="10"/>
        <v>7153467.5399999898</v>
      </c>
      <c r="L56" s="230">
        <f t="shared" si="10"/>
        <v>-19551776.779999968</v>
      </c>
      <c r="M56" s="230">
        <f t="shared" si="10"/>
        <v>12180120.509999996</v>
      </c>
      <c r="N56" s="230">
        <f t="shared" si="10"/>
        <v>35269381.580000028</v>
      </c>
      <c r="O56" s="230">
        <f t="shared" si="10"/>
        <v>24837314.650000013</v>
      </c>
      <c r="P56" s="230">
        <f t="shared" si="10"/>
        <v>-10859020.45999996</v>
      </c>
      <c r="Q56" s="230">
        <f t="shared" si="10"/>
        <v>-40616146.86999999</v>
      </c>
      <c r="R56" s="230">
        <f t="shared" si="10"/>
        <v>-65386369.360000029</v>
      </c>
      <c r="S56" s="285">
        <f t="shared" si="3"/>
        <v>-71393710.879999921</v>
      </c>
      <c r="T56" s="286">
        <f t="shared" si="4"/>
        <v>-1.5456195120261506E-2</v>
      </c>
    </row>
    <row r="57" spans="1:22">
      <c r="A57" s="169">
        <v>46</v>
      </c>
      <c r="B57" s="547" t="str">
        <f>+VLOOKUP($A57,Master!$D$27:$G$225,4,FALSE)</f>
        <v>Repayment of Debt</v>
      </c>
      <c r="C57" s="548"/>
      <c r="D57" s="548"/>
      <c r="E57" s="548"/>
      <c r="F57" s="548"/>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68" t="str">
        <f>+VLOOKUP($A58,Master!$D$27:$G$225,4,FALSE)</f>
        <v>Repayment of Domestic Debt</v>
      </c>
      <c r="C58" s="469"/>
      <c r="D58" s="469"/>
      <c r="E58" s="469"/>
      <c r="F58" s="469"/>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2" t="str">
        <f>+VLOOKUP($A59,Master!$D$27:$G$225,4,FALSE)</f>
        <v>Repayment of Foreign Debt</v>
      </c>
      <c r="C59" s="453"/>
      <c r="D59" s="453"/>
      <c r="E59" s="453"/>
      <c r="F59" s="45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488" t="s">
        <v>795</v>
      </c>
      <c r="C60" s="489"/>
      <c r="D60" s="489"/>
      <c r="E60" s="489"/>
      <c r="F60" s="489"/>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2" t="str">
        <f>+VLOOKUP($A61,Master!$D$27:$G$225,4,FALSE)</f>
        <v>Financing needs</v>
      </c>
      <c r="C61" s="473"/>
      <c r="D61" s="473"/>
      <c r="E61" s="473"/>
      <c r="F61" s="473"/>
      <c r="G61" s="242">
        <f>+G55-G57-G60</f>
        <v>-50738932.560000017</v>
      </c>
      <c r="H61" s="242">
        <f t="shared" ref="H61:R61" si="12">+H55-H57-H60</f>
        <v>-66391671.479999982</v>
      </c>
      <c r="I61" s="242">
        <f t="shared" si="12"/>
        <v>-52683124.390000038</v>
      </c>
      <c r="J61" s="242">
        <f t="shared" si="12"/>
        <v>-388584926.41999996</v>
      </c>
      <c r="K61" s="242">
        <f t="shared" si="12"/>
        <v>-86611632.640000015</v>
      </c>
      <c r="L61" s="242">
        <f t="shared" si="12"/>
        <v>-34320048.219999969</v>
      </c>
      <c r="M61" s="242">
        <f t="shared" si="12"/>
        <v>-39303707.860000007</v>
      </c>
      <c r="N61" s="242">
        <f t="shared" si="12"/>
        <v>-64444878.49999997</v>
      </c>
      <c r="O61" s="242">
        <f t="shared" si="12"/>
        <v>3796253.1500000134</v>
      </c>
      <c r="P61" s="242">
        <f t="shared" si="12"/>
        <v>-18429701.229999959</v>
      </c>
      <c r="Q61" s="242">
        <f t="shared" si="12"/>
        <v>-54489518.879999995</v>
      </c>
      <c r="R61" s="242">
        <f t="shared" si="12"/>
        <v>-82281607.110000029</v>
      </c>
      <c r="S61" s="291">
        <f t="shared" si="3"/>
        <v>-934483496.1400001</v>
      </c>
      <c r="T61" s="292">
        <f t="shared" si="4"/>
        <v>-0.20230856576822326</v>
      </c>
    </row>
    <row r="62" spans="1:22" ht="13.5" thickBot="1">
      <c r="A62" s="169">
        <v>1003</v>
      </c>
      <c r="B62" s="474" t="str">
        <f>+VLOOKUP($A62,Master!$D$27:$G$225,4,FALSE)</f>
        <v>Financing</v>
      </c>
      <c r="C62" s="475"/>
      <c r="D62" s="475"/>
      <c r="E62" s="475"/>
      <c r="F62" s="475"/>
      <c r="G62" s="176">
        <f>+SUM(G63:G66)</f>
        <v>50738932.560000017</v>
      </c>
      <c r="H62" s="176">
        <f t="shared" ref="H62:R62" si="13">+SUM(H63:H66)</f>
        <v>66391671.479999982</v>
      </c>
      <c r="I62" s="176">
        <f t="shared" si="13"/>
        <v>52683124.390000038</v>
      </c>
      <c r="J62" s="176">
        <f t="shared" si="13"/>
        <v>388584926.41999996</v>
      </c>
      <c r="K62" s="176">
        <f t="shared" si="13"/>
        <v>86611632.640000015</v>
      </c>
      <c r="L62" s="176">
        <f t="shared" si="13"/>
        <v>34320048.219999969</v>
      </c>
      <c r="M62" s="176">
        <f t="shared" si="13"/>
        <v>39303707.860000007</v>
      </c>
      <c r="N62" s="176">
        <f t="shared" si="13"/>
        <v>64444878.49999997</v>
      </c>
      <c r="O62" s="176">
        <f t="shared" si="13"/>
        <v>-3796253.1500000134</v>
      </c>
      <c r="P62" s="176">
        <f t="shared" si="13"/>
        <v>18429701.229999959</v>
      </c>
      <c r="Q62" s="176">
        <f t="shared" si="13"/>
        <v>54489518.879999995</v>
      </c>
      <c r="R62" s="176">
        <f t="shared" si="13"/>
        <v>82281607.110000029</v>
      </c>
      <c r="S62" s="293">
        <f t="shared" si="3"/>
        <v>934483496.1400001</v>
      </c>
      <c r="T62" s="294">
        <f t="shared" si="4"/>
        <v>0.20230856576822326</v>
      </c>
    </row>
    <row r="63" spans="1:22">
      <c r="A63" s="169">
        <v>7511</v>
      </c>
      <c r="B63" s="468" t="str">
        <f>+VLOOKUP($A63,Master!$D$27:$G$225,4,FALSE)</f>
        <v>Domestic Loans and Borrowings</v>
      </c>
      <c r="C63" s="469"/>
      <c r="D63" s="469"/>
      <c r="E63" s="469"/>
      <c r="F63" s="469"/>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2" t="str">
        <f>+VLOOKUP($A64,Master!$D$27:$G$225,4,FALSE)</f>
        <v>Foreign Loans and Borrowings</v>
      </c>
      <c r="C64" s="453"/>
      <c r="D64" s="453"/>
      <c r="E64" s="453"/>
      <c r="F64" s="45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503121949.51999998</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24442619.199999999</v>
      </c>
      <c r="S64" s="289">
        <f t="shared" si="3"/>
        <v>909773438.82000017</v>
      </c>
      <c r="T64" s="290">
        <f t="shared" si="4"/>
        <v>0.19695902639475227</v>
      </c>
    </row>
    <row r="65" spans="1:20">
      <c r="A65" s="169">
        <v>72</v>
      </c>
      <c r="B65" s="452" t="str">
        <f>+VLOOKUP($A65,Master!$D$27:$G$225,4,FALSE)</f>
        <v>Revenues from Selling Assets</v>
      </c>
      <c r="C65" s="453"/>
      <c r="D65" s="453"/>
      <c r="E65" s="453"/>
      <c r="F65" s="45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25845995.960000016</v>
      </c>
      <c r="H66" s="250">
        <f t="shared" ref="H66:R66" si="14">-H61-SUM(H63:H65)</f>
        <v>-25429897.320000015</v>
      </c>
      <c r="I66" s="250">
        <f t="shared" si="14"/>
        <v>24360167.480000034</v>
      </c>
      <c r="J66" s="250">
        <f t="shared" si="14"/>
        <v>-114645296.21000004</v>
      </c>
      <c r="K66" s="250">
        <f t="shared" si="14"/>
        <v>78722714.38000001</v>
      </c>
      <c r="L66" s="250">
        <f t="shared" si="14"/>
        <v>-242181705.76000005</v>
      </c>
      <c r="M66" s="250">
        <f t="shared" si="14"/>
        <v>5533798.8600000069</v>
      </c>
      <c r="N66" s="250">
        <f t="shared" si="14"/>
        <v>-7930509.8700000346</v>
      </c>
      <c r="O66" s="250">
        <f t="shared" si="14"/>
        <v>-20563076.170000013</v>
      </c>
      <c r="P66" s="250">
        <f t="shared" si="14"/>
        <v>-542790.32000003755</v>
      </c>
      <c r="Q66" s="250">
        <f t="shared" si="14"/>
        <v>15351045.609999999</v>
      </c>
      <c r="R66" s="250">
        <f t="shared" si="14"/>
        <v>56840528.970000029</v>
      </c>
      <c r="S66" s="295">
        <f>+SUM(G66:R66)</f>
        <v>-204639024.39000005</v>
      </c>
      <c r="T66" s="296">
        <f t="shared" si="4"/>
        <v>-4.4302791537312473E-2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39" t="str">
        <f>+Master!G252</f>
        <v>Planned Budget Execution</v>
      </c>
      <c r="C102" s="540"/>
      <c r="D102" s="540"/>
      <c r="E102" s="540"/>
      <c r="F102" s="540"/>
      <c r="G102" s="532">
        <v>2018</v>
      </c>
      <c r="H102" s="533"/>
      <c r="I102" s="533"/>
      <c r="J102" s="533"/>
      <c r="K102" s="533"/>
      <c r="L102" s="533"/>
      <c r="M102" s="533"/>
      <c r="N102" s="533"/>
      <c r="O102" s="533"/>
      <c r="P102" s="533"/>
      <c r="Q102" s="533"/>
      <c r="R102" s="534"/>
      <c r="S102" s="115" t="str">
        <f>+S7</f>
        <v>GDP</v>
      </c>
      <c r="T102" s="116">
        <f>+T7</f>
        <v>4619100000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37" t="str">
        <f>+VLOOKUP(LEFT($A106,LEN(A106)-1)*1,Master!$D$27:$G$225,4,FALSE)</f>
        <v>Taxes</v>
      </c>
      <c r="C106" s="538"/>
      <c r="D106" s="538"/>
      <c r="E106" s="538"/>
      <c r="F106" s="538"/>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18" t="str">
        <f>+VLOOKUP(LEFT($A107,LEN(A107)-1)*1,Master!$D$27:$G$225,4,FALSE)</f>
        <v>Personal Income Tax</v>
      </c>
      <c r="C107" s="519"/>
      <c r="D107" s="519"/>
      <c r="E107" s="519"/>
      <c r="F107" s="519"/>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18" t="str">
        <f>+VLOOKUP(LEFT($A108,LEN(A108)-1)*1,Master!$D$27:$G$225,4,FALSE)</f>
        <v>Corporate Income Tax</v>
      </c>
      <c r="C108" s="519"/>
      <c r="D108" s="519"/>
      <c r="E108" s="519"/>
      <c r="F108" s="519"/>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18" t="str">
        <f>+VLOOKUP(LEFT($A109,LEN(A109)-1)*1,Master!$D$27:$G$225,4,FALSE)</f>
        <v xml:space="preserve">Taxes on Sales of Property </v>
      </c>
      <c r="C109" s="519"/>
      <c r="D109" s="519"/>
      <c r="E109" s="519"/>
      <c r="F109" s="519"/>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18" t="str">
        <f>+VLOOKUP(LEFT($A110,LEN(A110)-1)*1,Master!$D$27:$G$225,4,FALSE)</f>
        <v>Value Added Tax</v>
      </c>
      <c r="C110" s="519"/>
      <c r="D110" s="519"/>
      <c r="E110" s="519"/>
      <c r="F110" s="519"/>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18" t="str">
        <f>+VLOOKUP(LEFT($A111,LEN(A111)-1)*1,Master!$D$27:$G$225,4,FALSE)</f>
        <v>Excises</v>
      </c>
      <c r="C111" s="519"/>
      <c r="D111" s="519"/>
      <c r="E111" s="519"/>
      <c r="F111" s="519"/>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18" t="str">
        <f>+VLOOKUP(LEFT($A112,LEN(A112)-1)*1,Master!$D$27:$G$225,4,FALSE)</f>
        <v>Tax on International Trade and Transactions</v>
      </c>
      <c r="C112" s="519"/>
      <c r="D112" s="519"/>
      <c r="E112" s="519"/>
      <c r="F112" s="519"/>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18" t="str">
        <f>+VLOOKUP(LEFT($A113,LEN(A113)-1)*1,Master!$D$27:$G$225,4,FALSE)</f>
        <v>Other Republic Taxes</v>
      </c>
      <c r="C113" s="519"/>
      <c r="D113" s="519"/>
      <c r="E113" s="519"/>
      <c r="F113" s="519"/>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0" t="str">
        <f>+VLOOKUP(LEFT($A114,LEN(A114)-1)*1,Master!$D$27:$G$225,4,FALSE)</f>
        <v>Contributions</v>
      </c>
      <c r="C114" s="531"/>
      <c r="D114" s="531"/>
      <c r="E114" s="531"/>
      <c r="F114" s="531"/>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18" t="str">
        <f>+VLOOKUP(LEFT($A115,LEN(A115)-1)*1,Master!$D$27:$G$225,4,FALSE)</f>
        <v>Contributions for Pension and Disability Insurance</v>
      </c>
      <c r="C115" s="519"/>
      <c r="D115" s="519"/>
      <c r="E115" s="519"/>
      <c r="F115" s="519"/>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18" t="str">
        <f>+VLOOKUP(LEFT($A116,LEN(A116)-1)*1,Master!$D$27:$G$225,4,FALSE)</f>
        <v>Contributions for Health Insurance</v>
      </c>
      <c r="C116" s="519"/>
      <c r="D116" s="519"/>
      <c r="E116" s="519"/>
      <c r="F116" s="519"/>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18" t="str">
        <f>+VLOOKUP(LEFT($A117,LEN(A117)-1)*1,Master!$D$27:$G$225,4,FALSE)</f>
        <v>Contributions for  Unemployment Insurance</v>
      </c>
      <c r="C117" s="519"/>
      <c r="D117" s="519"/>
      <c r="E117" s="519"/>
      <c r="F117" s="519"/>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18" t="str">
        <f>+VLOOKUP(LEFT($A118,LEN(A118)-1)*1,Master!$D$27:$G$225,4,FALSE)</f>
        <v>Other contributions</v>
      </c>
      <c r="C118" s="519"/>
      <c r="D118" s="519"/>
      <c r="E118" s="519"/>
      <c r="F118" s="519"/>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2" t="str">
        <f>+VLOOKUP(LEFT($A119,LEN(A119)-1)*1,Master!$D$27:$G$225,4,FALSE)</f>
        <v>Duties</v>
      </c>
      <c r="C119" s="523"/>
      <c r="D119" s="523"/>
      <c r="E119" s="523"/>
      <c r="F119" s="523"/>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2" t="str">
        <f>+VLOOKUP(LEFT($A120,LEN(A120)-1)*1,Master!$D$27:$G$225,4,FALSE)</f>
        <v>Fees</v>
      </c>
      <c r="C120" s="523"/>
      <c r="D120" s="523"/>
      <c r="E120" s="523"/>
      <c r="F120" s="523"/>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2" t="str">
        <f>+VLOOKUP(LEFT($A121,LEN(A121)-1)*1,Master!$D$27:$G$225,4,FALSE)</f>
        <v>Other revenues</v>
      </c>
      <c r="C121" s="523"/>
      <c r="D121" s="523"/>
      <c r="E121" s="523"/>
      <c r="F121" s="523"/>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4" t="str">
        <f>+VLOOKUP(LEFT($A123,LEN(A123)-1)*1,Master!$D$27:$G$225,4,FALSE)</f>
        <v>Grants and Transfers</v>
      </c>
      <c r="C123" s="525"/>
      <c r="D123" s="525"/>
      <c r="E123" s="525"/>
      <c r="F123" s="52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08" t="str">
        <f>+VLOOKUP(LEFT($A124,LEN(A124)-1)*1,Master!$D$27:$G$225,4,FALSE)</f>
        <v>Total Expenditures</v>
      </c>
      <c r="C124" s="509"/>
      <c r="D124" s="509"/>
      <c r="E124" s="509"/>
      <c r="F124" s="509"/>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26" t="str">
        <f>+VLOOKUP(LEFT($A125,LEN(A125)-1)*1,Master!$D$27:$G$225,4,FALSE)</f>
        <v>Current Expenditures</v>
      </c>
      <c r="C125" s="527"/>
      <c r="D125" s="527"/>
      <c r="E125" s="527"/>
      <c r="F125" s="527"/>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28" t="str">
        <f>+VLOOKUP(LEFT($A126,LEN(A126)-1)*1,Master!$D$27:$G$225,4,FALSE)</f>
        <v>Current Budgetary Expenditures</v>
      </c>
      <c r="C126" s="529"/>
      <c r="D126" s="529"/>
      <c r="E126" s="529"/>
      <c r="F126" s="529"/>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18" t="str">
        <f>+VLOOKUP(LEFT($A127,LEN(A127)-1)*1,Master!$D$27:$G$225,4,FALSE)</f>
        <v>Gross Salaries and Contributions</v>
      </c>
      <c r="C127" s="519"/>
      <c r="D127" s="519"/>
      <c r="E127" s="519"/>
      <c r="F127" s="519"/>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18" t="str">
        <f>+VLOOKUP(LEFT($A128,LEN(A128)-1)*1,Master!$D$27:$G$225,4,FALSE)</f>
        <v>Other Personal Income</v>
      </c>
      <c r="C128" s="519"/>
      <c r="D128" s="519"/>
      <c r="E128" s="519"/>
      <c r="F128" s="519"/>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18" t="str">
        <f>+VLOOKUP(LEFT($A129,LEN(A129)-1)*1,Master!$D$27:$G$225,4,FALSE)</f>
        <v>Expenditures for Supplies</v>
      </c>
      <c r="C129" s="519"/>
      <c r="D129" s="519"/>
      <c r="E129" s="519"/>
      <c r="F129" s="519"/>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18" t="str">
        <f>+VLOOKUP(LEFT($A130,LEN(A130)-1)*1,Master!$D$27:$G$225,4,FALSE)</f>
        <v>Expenditures for Services</v>
      </c>
      <c r="C130" s="519"/>
      <c r="D130" s="519"/>
      <c r="E130" s="519"/>
      <c r="F130" s="519"/>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18" t="str">
        <f>+VLOOKUP(LEFT($A131,LEN(A131)-1)*1,Master!$D$27:$G$225,4,FALSE)</f>
        <v>Current Maintenance</v>
      </c>
      <c r="C131" s="519"/>
      <c r="D131" s="519"/>
      <c r="E131" s="519"/>
      <c r="F131" s="519"/>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18" t="str">
        <f>+VLOOKUP(LEFT($A132,LEN(A132)-1)*1,Master!$D$27:$G$225,4,FALSE)</f>
        <v>Interests</v>
      </c>
      <c r="C132" s="519"/>
      <c r="D132" s="519"/>
      <c r="E132" s="519"/>
      <c r="F132" s="519"/>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18" t="str">
        <f>+VLOOKUP(LEFT($A133,LEN(A133)-1)*1,Master!$D$27:$G$225,4,FALSE)</f>
        <v>Rent</v>
      </c>
      <c r="C133" s="519"/>
      <c r="D133" s="519"/>
      <c r="E133" s="519"/>
      <c r="F133" s="519"/>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18" t="str">
        <f>+VLOOKUP(LEFT($A134,LEN(A134)-1)*1,Master!$D$27:$G$225,4,FALSE)</f>
        <v>Subsidies</v>
      </c>
      <c r="C134" s="519"/>
      <c r="D134" s="519"/>
      <c r="E134" s="519"/>
      <c r="F134" s="519"/>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18" t="str">
        <f>+VLOOKUP(LEFT($A135,LEN(A135)-1)*1,Master!$D$27:$G$225,4,FALSE)</f>
        <v>Other expenditures</v>
      </c>
      <c r="C135" s="519"/>
      <c r="D135" s="519"/>
      <c r="E135" s="519"/>
      <c r="F135" s="519"/>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18" t="str">
        <f>+VLOOKUP(LEFT($A136,LEN(A136)-1)*1,Master!$D$27:$G$225,4,FALSE)</f>
        <v>Current Capital Expenditure</v>
      </c>
      <c r="C136" s="519"/>
      <c r="D136" s="519"/>
      <c r="E136" s="519"/>
      <c r="F136" s="519"/>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4" t="str">
        <f>+VLOOKUP(LEFT($A137,LEN(A137)-1)*1,Master!$D$27:$G$225,4,FALSE)</f>
        <v>Social Security Transfers</v>
      </c>
      <c r="C137" s="515"/>
      <c r="D137" s="515"/>
      <c r="E137" s="515"/>
      <c r="F137" s="51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18" t="str">
        <f>+VLOOKUP(LEFT($A138,LEN(A138)-1)*1,Master!$D$27:$G$225,4,FALSE)</f>
        <v>Social Security</v>
      </c>
      <c r="C138" s="519"/>
      <c r="D138" s="519"/>
      <c r="E138" s="519"/>
      <c r="F138" s="519"/>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18" t="str">
        <f>+VLOOKUP(LEFT($A139,LEN(A139)-1)*1,Master!$D$27:$G$225,4,FALSE)</f>
        <v>Funds for redundant labor</v>
      </c>
      <c r="C139" s="519"/>
      <c r="D139" s="519"/>
      <c r="E139" s="519"/>
      <c r="F139" s="519"/>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18" t="str">
        <f>+VLOOKUP(LEFT($A140,LEN(A140)-1)*1,Master!$D$27:$G$225,4,FALSE)</f>
        <v>Pension and Disability Insurance</v>
      </c>
      <c r="C140" s="519"/>
      <c r="D140" s="519"/>
      <c r="E140" s="519"/>
      <c r="F140" s="519"/>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18" t="str">
        <f>+VLOOKUP(LEFT($A141,LEN(A141)-1)*1,Master!$D$27:$G$225,4,FALSE)</f>
        <v>Other Health Care Transfers</v>
      </c>
      <c r="C141" s="519"/>
      <c r="D141" s="519"/>
      <c r="E141" s="519"/>
      <c r="F141" s="519"/>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18" t="str">
        <f>+VLOOKUP(LEFT($A142,LEN(A142)-1)*1,Master!$D$27:$G$225,4,FALSE)</f>
        <v>Other Health Care Insurance</v>
      </c>
      <c r="C142" s="519"/>
      <c r="D142" s="519"/>
      <c r="E142" s="519"/>
      <c r="F142" s="519"/>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0" t="str">
        <f>+VLOOKUP(LEFT($A144,LEN(A144)-1)*1,Master!$D$27:$G$225,4,FALSE)</f>
        <v>Capital Expenditure</v>
      </c>
      <c r="C144" s="521"/>
      <c r="D144" s="521"/>
      <c r="E144" s="521"/>
      <c r="F144" s="521"/>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2" t="str">
        <f>+VLOOKUP(LEFT($A145,LEN(A145)-1)*1,Master!$D$27:$G$225,4,FALSE)</f>
        <v>Credits and Borrowings</v>
      </c>
      <c r="C145" s="503"/>
      <c r="D145" s="503"/>
      <c r="E145" s="503"/>
      <c r="F145" s="503"/>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2" t="str">
        <f>+VLOOKUP(LEFT($A146,LEN(A146)-1)*1,Master!$D$27:$G$225,4,FALSE)</f>
        <v>Reserves</v>
      </c>
      <c r="C146" s="503"/>
      <c r="D146" s="503"/>
      <c r="E146" s="503"/>
      <c r="F146" s="503"/>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2" t="str">
        <f>+VLOOKUP(LEFT($A147,LEN(A147)-1)*1,Master!$D$27:$G$225,4,FALSE)</f>
        <v>Repayment of Guarantees</v>
      </c>
      <c r="C147" s="503"/>
      <c r="D147" s="503"/>
      <c r="E147" s="503"/>
      <c r="F147" s="503"/>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700</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0" t="str">
        <f>+VLOOKUP(LEFT($A149,LEN(A149)-1)*1,Master!$D$27:$G$225,4,FALSE)</f>
        <v>Surplus / deficit</v>
      </c>
      <c r="C149" s="511"/>
      <c r="D149" s="511"/>
      <c r="E149" s="511"/>
      <c r="F149" s="511"/>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2" t="str">
        <f>+VLOOKUP(LEFT($A150,LEN(A150)-1)*1,Master!$D$27:$G$225,4,FALSE)</f>
        <v>Primary balance</v>
      </c>
      <c r="C150" s="513"/>
      <c r="D150" s="513"/>
      <c r="E150" s="513"/>
      <c r="F150" s="513"/>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4" t="str">
        <f>+VLOOKUP(LEFT($A151,LEN(A151)-1)*1,Master!$D$27:$G$225,4,FALSE)</f>
        <v>Repayment of Debt</v>
      </c>
      <c r="C151" s="515"/>
      <c r="D151" s="515"/>
      <c r="E151" s="515"/>
      <c r="F151" s="51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4" t="str">
        <f>+VLOOKUP(LEFT($A152,LEN(A152)-1)*1,Master!$D$27:$G$225,4,FALSE)</f>
        <v>Repayment of Domestic Debt</v>
      </c>
      <c r="C152" s="505"/>
      <c r="D152" s="505"/>
      <c r="E152" s="505"/>
      <c r="F152" s="505"/>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2" t="str">
        <f>+VLOOKUP(LEFT($A153,LEN(A153)-1)*1,Master!$D$27:$G$225,4,FALSE)</f>
        <v>Repayment of Foreign Debt</v>
      </c>
      <c r="C153" s="503"/>
      <c r="D153" s="503"/>
      <c r="E153" s="503"/>
      <c r="F153" s="503"/>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2" t="str">
        <f>+VLOOKUP(LEFT($A154,LEN(A154)-1)*1,Master!$D$27:$G$225,4,FALSE)</f>
        <v>Repayments of Arrears</v>
      </c>
      <c r="C154" s="503"/>
      <c r="D154" s="503"/>
      <c r="E154" s="503"/>
      <c r="F154" s="503"/>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795</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06" t="str">
        <f>+VLOOKUP(LEFT($A156,LEN(A156)-1)*1,Master!$D$27:$G$225,4,FALSE)</f>
        <v>Financing needs</v>
      </c>
      <c r="C156" s="507"/>
      <c r="D156" s="507"/>
      <c r="E156" s="507"/>
      <c r="F156" s="507"/>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08" t="str">
        <f>+VLOOKUP(LEFT($A157,LEN(A157)-1)*1,Master!$D$27:$G$225,4,FALSE)</f>
        <v>Financing</v>
      </c>
      <c r="C157" s="509"/>
      <c r="D157" s="509"/>
      <c r="E157" s="509"/>
      <c r="F157" s="509"/>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4" t="str">
        <f>+VLOOKUP(LEFT($A158,LEN(A158)-1)*1,Master!$D$27:$G$225,4,FALSE)</f>
        <v>Domestic Loans and Borrowings</v>
      </c>
      <c r="C158" s="505"/>
      <c r="D158" s="505"/>
      <c r="E158" s="505"/>
      <c r="F158" s="505"/>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2" t="str">
        <f>+VLOOKUP(LEFT($A159,LEN(A159)-1)*1,Master!$D$27:$G$225,4,FALSE)</f>
        <v>Foreign Loans and Borrowings</v>
      </c>
      <c r="C159" s="503"/>
      <c r="D159" s="503"/>
      <c r="E159" s="503"/>
      <c r="F159" s="503"/>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2" t="str">
        <f>+VLOOKUP(LEFT($A160,LEN(A160)-1)*1,Master!$D$27:$G$225,4,FALSE)</f>
        <v>Revenues from Selling Assets</v>
      </c>
      <c r="C160" s="503"/>
      <c r="D160" s="503"/>
      <c r="E160" s="503"/>
      <c r="F160" s="503"/>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 activePane="bottomLeft" state="frozen"/>
      <selection pane="bottomLeft" activeCell="P37" sqref="P37"/>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742</v>
      </c>
      <c r="H6" s="259" t="s">
        <v>743</v>
      </c>
      <c r="I6" s="259" t="s">
        <v>744</v>
      </c>
      <c r="J6" s="259" t="s">
        <v>745</v>
      </c>
      <c r="K6" s="259" t="s">
        <v>746</v>
      </c>
      <c r="L6" s="259" t="s">
        <v>747</v>
      </c>
      <c r="M6" s="259" t="s">
        <v>748</v>
      </c>
      <c r="N6" s="259" t="s">
        <v>749</v>
      </c>
      <c r="O6" s="259" t="s">
        <v>750</v>
      </c>
      <c r="P6" s="259" t="s">
        <v>751</v>
      </c>
      <c r="Q6" s="259" t="s">
        <v>752</v>
      </c>
      <c r="R6" s="259" t="s">
        <v>753</v>
      </c>
      <c r="S6" s="258"/>
      <c r="T6" s="258"/>
    </row>
    <row r="7" spans="1:20" ht="15" customHeight="1" thickBot="1">
      <c r="A7" s="169"/>
      <c r="B7" s="557" t="s">
        <v>565</v>
      </c>
      <c r="C7" s="455"/>
      <c r="D7" s="455"/>
      <c r="E7" s="455"/>
      <c r="F7" s="455"/>
      <c r="G7" s="463">
        <v>2017</v>
      </c>
      <c r="H7" s="464"/>
      <c r="I7" s="464"/>
      <c r="J7" s="464"/>
      <c r="K7" s="464"/>
      <c r="L7" s="464"/>
      <c r="M7" s="464"/>
      <c r="N7" s="464"/>
      <c r="O7" s="464"/>
      <c r="P7" s="464"/>
      <c r="Q7" s="464"/>
      <c r="R7" s="467"/>
      <c r="S7" s="260" t="str">
        <f>+[1]Master!G246</f>
        <v>BDP</v>
      </c>
      <c r="T7" s="261">
        <v>4299000000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+[1]Master!G243</f>
        <v>Jan - Dec</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+[1]Master!G247</f>
        <v>% BDP</v>
      </c>
    </row>
    <row r="10" spans="1:20" ht="13.5" thickBot="1">
      <c r="A10" s="175">
        <v>7</v>
      </c>
      <c r="B10" s="496" t="s">
        <v>22</v>
      </c>
      <c r="C10" s="497"/>
      <c r="D10" s="497"/>
      <c r="E10" s="497"/>
      <c r="F10" s="497"/>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98" t="s">
        <v>26</v>
      </c>
      <c r="C11" s="499"/>
      <c r="D11" s="499"/>
      <c r="E11" s="499"/>
      <c r="F11" s="499"/>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4" t="s">
        <v>28</v>
      </c>
      <c r="C12" s="485"/>
      <c r="D12" s="485"/>
      <c r="E12" s="485"/>
      <c r="F12" s="48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4" t="s">
        <v>30</v>
      </c>
      <c r="C13" s="485"/>
      <c r="D13" s="485"/>
      <c r="E13" s="485"/>
      <c r="F13" s="48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4" t="s">
        <v>32</v>
      </c>
      <c r="C14" s="485"/>
      <c r="D14" s="485"/>
      <c r="E14" s="485"/>
      <c r="F14" s="48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4" t="s">
        <v>34</v>
      </c>
      <c r="C15" s="485"/>
      <c r="D15" s="485"/>
      <c r="E15" s="485"/>
      <c r="F15" s="48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4" t="s">
        <v>36</v>
      </c>
      <c r="C16" s="485"/>
      <c r="D16" s="485"/>
      <c r="E16" s="485"/>
      <c r="F16" s="48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4" t="s">
        <v>38</v>
      </c>
      <c r="C17" s="485"/>
      <c r="D17" s="485"/>
      <c r="E17" s="485"/>
      <c r="F17" s="48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4" t="s">
        <v>40</v>
      </c>
      <c r="C18" s="485"/>
      <c r="D18" s="485"/>
      <c r="E18" s="485"/>
      <c r="F18" s="48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4" t="s">
        <v>42</v>
      </c>
      <c r="C19" s="495"/>
      <c r="D19" s="495"/>
      <c r="E19" s="495"/>
      <c r="F19" s="495"/>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4" t="s">
        <v>44</v>
      </c>
      <c r="C20" s="485"/>
      <c r="D20" s="485"/>
      <c r="E20" s="485"/>
      <c r="F20" s="48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4" t="s">
        <v>46</v>
      </c>
      <c r="C21" s="485"/>
      <c r="D21" s="485"/>
      <c r="E21" s="485"/>
      <c r="F21" s="48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4" t="s">
        <v>48</v>
      </c>
      <c r="C22" s="485"/>
      <c r="D22" s="485"/>
      <c r="E22" s="485"/>
      <c r="F22" s="48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4" t="s">
        <v>50</v>
      </c>
      <c r="C23" s="485"/>
      <c r="D23" s="485"/>
      <c r="E23" s="485"/>
      <c r="F23" s="48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86" t="s">
        <v>52</v>
      </c>
      <c r="C24" s="487"/>
      <c r="D24" s="487"/>
      <c r="E24" s="487"/>
      <c r="F24" s="48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86" t="s">
        <v>66</v>
      </c>
      <c r="C25" s="487"/>
      <c r="D25" s="487"/>
      <c r="E25" s="487"/>
      <c r="F25" s="48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86" t="s">
        <v>86</v>
      </c>
      <c r="C26" s="487"/>
      <c r="D26" s="487"/>
      <c r="E26" s="487"/>
      <c r="F26" s="48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86" t="s">
        <v>104</v>
      </c>
      <c r="C27" s="487"/>
      <c r="D27" s="487"/>
      <c r="E27" s="487"/>
      <c r="F27" s="48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88" t="s">
        <v>110</v>
      </c>
      <c r="C28" s="489"/>
      <c r="D28" s="489"/>
      <c r="E28" s="489"/>
      <c r="F28" s="489"/>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4" t="s">
        <v>123</v>
      </c>
      <c r="C29" s="475"/>
      <c r="D29" s="475"/>
      <c r="E29" s="475"/>
      <c r="F29" s="475"/>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90" t="s">
        <v>125</v>
      </c>
      <c r="C30" s="491"/>
      <c r="D30" s="491"/>
      <c r="E30" s="491"/>
      <c r="F30" s="491"/>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92" t="s">
        <v>424</v>
      </c>
      <c r="C31" s="493"/>
      <c r="D31" s="493"/>
      <c r="E31" s="493"/>
      <c r="F31" s="493"/>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4" t="s">
        <v>127</v>
      </c>
      <c r="C32" s="485"/>
      <c r="D32" s="485"/>
      <c r="E32" s="485"/>
      <c r="F32" s="48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4" t="s">
        <v>138</v>
      </c>
      <c r="C33" s="485"/>
      <c r="D33" s="485"/>
      <c r="E33" s="485"/>
      <c r="F33" s="48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4" t="s">
        <v>153</v>
      </c>
      <c r="C34" s="485"/>
      <c r="D34" s="485"/>
      <c r="E34" s="485"/>
      <c r="F34" s="48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4" t="s">
        <v>167</v>
      </c>
      <c r="C35" s="485"/>
      <c r="D35" s="485"/>
      <c r="E35" s="485"/>
      <c r="F35" s="48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4" t="s">
        <v>187</v>
      </c>
      <c r="C36" s="485"/>
      <c r="D36" s="485"/>
      <c r="E36" s="485"/>
      <c r="F36" s="48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4" t="s">
        <v>195</v>
      </c>
      <c r="C37" s="485"/>
      <c r="D37" s="485"/>
      <c r="E37" s="485"/>
      <c r="F37" s="48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4" t="s">
        <v>201</v>
      </c>
      <c r="C38" s="485"/>
      <c r="D38" s="485"/>
      <c r="E38" s="485"/>
      <c r="F38" s="48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4" t="s">
        <v>209</v>
      </c>
      <c r="C39" s="485"/>
      <c r="D39" s="485"/>
      <c r="E39" s="485"/>
      <c r="F39" s="48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4" t="s">
        <v>217</v>
      </c>
      <c r="C40" s="485"/>
      <c r="D40" s="485"/>
      <c r="E40" s="485"/>
      <c r="F40" s="48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4" t="s">
        <v>426</v>
      </c>
      <c r="C41" s="485"/>
      <c r="D41" s="485"/>
      <c r="E41" s="485"/>
      <c r="F41" s="48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0" t="s">
        <v>235</v>
      </c>
      <c r="C42" s="481"/>
      <c r="D42" s="481"/>
      <c r="E42" s="481"/>
      <c r="F42" s="48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4" t="s">
        <v>237</v>
      </c>
      <c r="C43" s="485"/>
      <c r="D43" s="485"/>
      <c r="E43" s="485"/>
      <c r="F43" s="48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4" t="s">
        <v>253</v>
      </c>
      <c r="C44" s="485"/>
      <c r="D44" s="485"/>
      <c r="E44" s="485"/>
      <c r="F44" s="48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4" t="s">
        <v>264</v>
      </c>
      <c r="C45" s="485"/>
      <c r="D45" s="485"/>
      <c r="E45" s="485"/>
      <c r="F45" s="48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4" t="s">
        <v>279</v>
      </c>
      <c r="C46" s="485"/>
      <c r="D46" s="485"/>
      <c r="E46" s="485"/>
      <c r="F46" s="48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4" t="s">
        <v>283</v>
      </c>
      <c r="C47" s="485"/>
      <c r="D47" s="485"/>
      <c r="E47" s="485"/>
      <c r="F47" s="48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2" t="s">
        <v>291</v>
      </c>
      <c r="C48" s="483"/>
      <c r="D48" s="483"/>
      <c r="E48" s="483"/>
      <c r="F48" s="483"/>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2" t="s">
        <v>325</v>
      </c>
      <c r="C49" s="483"/>
      <c r="D49" s="483"/>
      <c r="E49" s="483"/>
      <c r="F49" s="483"/>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2" t="s">
        <v>345</v>
      </c>
      <c r="C50" s="453"/>
      <c r="D50" s="453"/>
      <c r="E50" s="453"/>
      <c r="F50" s="45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2" t="s">
        <v>372</v>
      </c>
      <c r="C51" s="453"/>
      <c r="D51" s="453"/>
      <c r="E51" s="453"/>
      <c r="F51" s="45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0" t="s">
        <v>364</v>
      </c>
      <c r="C52" s="471"/>
      <c r="D52" s="471"/>
      <c r="E52" s="471"/>
      <c r="F52" s="471"/>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0" t="s">
        <v>370</v>
      </c>
      <c r="C53" s="471"/>
      <c r="D53" s="471"/>
      <c r="E53" s="471"/>
      <c r="F53" s="471"/>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16" t="s">
        <v>700</v>
      </c>
      <c r="C54" s="517"/>
      <c r="D54" s="517"/>
      <c r="E54" s="517"/>
      <c r="F54" s="51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558</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796</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560</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0" t="s">
        <v>357</v>
      </c>
      <c r="C58" s="481"/>
      <c r="D58" s="481"/>
      <c r="E58" s="481"/>
      <c r="F58" s="48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68" t="s">
        <v>360</v>
      </c>
      <c r="C59" s="469"/>
      <c r="D59" s="469"/>
      <c r="E59" s="469"/>
      <c r="F59" s="469"/>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2" t="s">
        <v>362</v>
      </c>
      <c r="C60" s="453"/>
      <c r="D60" s="453"/>
      <c r="E60" s="453"/>
      <c r="F60" s="45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2" t="str">
        <f>+VLOOKUP($A61,Master!$D$27:$G$225,4,FALSE)</f>
        <v>Financing needs</v>
      </c>
      <c r="C61" s="473"/>
      <c r="D61" s="473"/>
      <c r="E61" s="473"/>
      <c r="F61" s="473"/>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4" t="str">
        <f>+VLOOKUP($A62,Master!$D$27:$G$225,4,FALSE)</f>
        <v>Financing</v>
      </c>
      <c r="C62" s="475"/>
      <c r="D62" s="475"/>
      <c r="E62" s="475"/>
      <c r="F62" s="475"/>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68" t="str">
        <f>+VLOOKUP($A63,Master!$D$27:$G$225,4,FALSE)</f>
        <v>Domestic Loans and Borrowings</v>
      </c>
      <c r="C63" s="469"/>
      <c r="D63" s="469"/>
      <c r="E63" s="469"/>
      <c r="F63" s="469"/>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2" t="str">
        <f>+VLOOKUP($A64,Master!$D$27:$G$225,4,FALSE)</f>
        <v>Foreign Loans and Borrowings</v>
      </c>
      <c r="C64" s="453"/>
      <c r="D64" s="453"/>
      <c r="E64" s="453"/>
      <c r="F64" s="45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2" t="str">
        <f>+VLOOKUP($A65,Master!$D$27:$G$225,4,FALSE)</f>
        <v>Revenues from Selling Assets</v>
      </c>
      <c r="C65" s="453"/>
      <c r="D65" s="453"/>
      <c r="E65" s="453"/>
      <c r="F65" s="45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39" t="str">
        <f>+[1]Master!G250</f>
        <v>Plan ostvarenja budžeta</v>
      </c>
      <c r="C102" s="540"/>
      <c r="D102" s="540"/>
      <c r="E102" s="540"/>
      <c r="F102" s="540"/>
      <c r="G102" s="532">
        <v>2017</v>
      </c>
      <c r="H102" s="533"/>
      <c r="I102" s="533"/>
      <c r="J102" s="533"/>
      <c r="K102" s="533"/>
      <c r="L102" s="533"/>
      <c r="M102" s="533"/>
      <c r="N102" s="533"/>
      <c r="O102" s="533"/>
      <c r="P102" s="533"/>
      <c r="Q102" s="533"/>
      <c r="R102" s="534"/>
      <c r="S102" s="115" t="str">
        <f>+S7</f>
        <v>BDP</v>
      </c>
      <c r="T102" s="116">
        <f>+T7</f>
        <v>4299000000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+[1]Master!G244</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BDP</v>
      </c>
    </row>
    <row r="105" spans="1:21" ht="13.5" thickBot="1">
      <c r="A105" s="137" t="str">
        <f t="shared" ref="A105:A147" si="18">+CONCATENATE(A10,"p")</f>
        <v>7p</v>
      </c>
      <c r="B105" s="535" t="str">
        <f>+VLOOKUP(LEFT($A105,LEN(A105)-1)*1,[1]Master!$D$25:$G$223,4,FALSE)</f>
        <v>Prihodi budžeta</v>
      </c>
      <c r="C105" s="536"/>
      <c r="D105" s="536"/>
      <c r="E105" s="536"/>
      <c r="F105" s="536"/>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37" t="str">
        <f>+VLOOKUP(LEFT($A106,LEN(A106)-1)*1,[1]Master!$D$25:$G$223,4,FALSE)</f>
        <v>Porezi</v>
      </c>
      <c r="C106" s="538"/>
      <c r="D106" s="538"/>
      <c r="E106" s="538"/>
      <c r="F106" s="538"/>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18" t="str">
        <f>+VLOOKUP(LEFT($A107,LEN(A107)-1)*1,[1]Master!$D$25:$G$223,4,FALSE)</f>
        <v>Porez na dohodak fizičkih lica</v>
      </c>
      <c r="C107" s="519"/>
      <c r="D107" s="519"/>
      <c r="E107" s="519"/>
      <c r="F107" s="519"/>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18" t="str">
        <f>+VLOOKUP(LEFT($A108,LEN(A108)-1)*1,[1]Master!$D$25:$G$223,4,FALSE)</f>
        <v>Porez na dobit pravnih lica</v>
      </c>
      <c r="C108" s="519"/>
      <c r="D108" s="519"/>
      <c r="E108" s="519"/>
      <c r="F108" s="519"/>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18" t="str">
        <f>+VLOOKUP(LEFT($A109,LEN(A109)-1)*1,[1]Master!$D$25:$G$223,4,FALSE)</f>
        <v>Porez na promet nepokretnosti</v>
      </c>
      <c r="C109" s="519"/>
      <c r="D109" s="519"/>
      <c r="E109" s="519"/>
      <c r="F109" s="519"/>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18" t="str">
        <f>+VLOOKUP(LEFT($A110,LEN(A110)-1)*1,[1]Master!$D$25:$G$223,4,FALSE)</f>
        <v>Porez na dodatu vrijednost</v>
      </c>
      <c r="C110" s="519"/>
      <c r="D110" s="519"/>
      <c r="E110" s="519"/>
      <c r="F110" s="519"/>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18" t="str">
        <f>+VLOOKUP(LEFT($A111,LEN(A111)-1)*1,[1]Master!$D$25:$G$223,4,FALSE)</f>
        <v>Akcize</v>
      </c>
      <c r="C111" s="519"/>
      <c r="D111" s="519"/>
      <c r="E111" s="519"/>
      <c r="F111" s="519"/>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18" t="str">
        <f>+VLOOKUP(LEFT($A112,LEN(A112)-1)*1,[1]Master!$D$25:$G$223,4,FALSE)</f>
        <v>Porez na međunarodnu trgovinu i transakcije</v>
      </c>
      <c r="C112" s="519"/>
      <c r="D112" s="519"/>
      <c r="E112" s="519"/>
      <c r="F112" s="519"/>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18" t="str">
        <f>+VLOOKUP(LEFT($A113,LEN(A113)-1)*1,[1]Master!$D$25:$G$223,4,FALSE)</f>
        <v>Ostali državni porezi</v>
      </c>
      <c r="C113" s="519"/>
      <c r="D113" s="519"/>
      <c r="E113" s="519"/>
      <c r="F113" s="519"/>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0" t="str">
        <f>+VLOOKUP(LEFT($A114,LEN(A114)-1)*1,[1]Master!$D$25:$G$223,4,FALSE)</f>
        <v>Doprinosi</v>
      </c>
      <c r="C114" s="531"/>
      <c r="D114" s="531"/>
      <c r="E114" s="531"/>
      <c r="F114" s="531"/>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18" t="str">
        <f>+VLOOKUP(LEFT($A115,LEN(A115)-1)*1,[1]Master!$D$25:$G$223,4,FALSE)</f>
        <v>Doprinosi za penzijsko i invalidsko osiguranje</v>
      </c>
      <c r="C115" s="519"/>
      <c r="D115" s="519"/>
      <c r="E115" s="519"/>
      <c r="F115" s="519"/>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18" t="str">
        <f>+VLOOKUP(LEFT($A116,LEN(A116)-1)*1,[1]Master!$D$25:$G$223,4,FALSE)</f>
        <v>Doprinosi za zdravstveno osiguranje</v>
      </c>
      <c r="C116" s="519"/>
      <c r="D116" s="519"/>
      <c r="E116" s="519"/>
      <c r="F116" s="519"/>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18" t="str">
        <f>+VLOOKUP(LEFT($A117,LEN(A117)-1)*1,[1]Master!$D$25:$G$223,4,FALSE)</f>
        <v>Doprinosi za osiguranje od nezaposlenosti</v>
      </c>
      <c r="C117" s="519"/>
      <c r="D117" s="519"/>
      <c r="E117" s="519"/>
      <c r="F117" s="519"/>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18" t="str">
        <f>+VLOOKUP(LEFT($A118,LEN(A118)-1)*1,[1]Master!$D$25:$G$223,4,FALSE)</f>
        <v>Ostali doprinosi</v>
      </c>
      <c r="C118" s="519"/>
      <c r="D118" s="519"/>
      <c r="E118" s="519"/>
      <c r="F118" s="519"/>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2" t="str">
        <f>+VLOOKUP(LEFT($A119,LEN(A119)-1)*1,[1]Master!$D$25:$G$223,4,FALSE)</f>
        <v>Takse</v>
      </c>
      <c r="C119" s="523"/>
      <c r="D119" s="523"/>
      <c r="E119" s="523"/>
      <c r="F119" s="523"/>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2" t="str">
        <f>+VLOOKUP(LEFT($A120,LEN(A120)-1)*1,[1]Master!$D$25:$G$223,4,FALSE)</f>
        <v>Naknade</v>
      </c>
      <c r="C120" s="523"/>
      <c r="D120" s="523"/>
      <c r="E120" s="523"/>
      <c r="F120" s="523"/>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2" t="str">
        <f>+VLOOKUP(LEFT($A121,LEN(A121)-1)*1,[1]Master!$D$25:$G$223,4,FALSE)</f>
        <v>Ostali prihodi</v>
      </c>
      <c r="C121" s="523"/>
      <c r="D121" s="523"/>
      <c r="E121" s="523"/>
      <c r="F121" s="523"/>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2" t="str">
        <f>+VLOOKUP(LEFT($A122,LEN(A122)-1)*1,[1]Master!$D$25:$G$223,4,FALSE)</f>
        <v>Primici od otplate kredita i sredstva prenesena iz prethodne godine</v>
      </c>
      <c r="C122" s="523"/>
      <c r="D122" s="523"/>
      <c r="E122" s="523"/>
      <c r="F122" s="523"/>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4" t="str">
        <f>+VLOOKUP(LEFT($A123,LEN(A123)-1)*1,[1]Master!$D$25:$G$223,4,FALSE)</f>
        <v>Donacije i transferi</v>
      </c>
      <c r="C123" s="525"/>
      <c r="D123" s="525"/>
      <c r="E123" s="525"/>
      <c r="F123" s="52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08" t="str">
        <f>+VLOOKUP(LEFT($A124,LEN(A124)-1)*1,[1]Master!$D$25:$G$223,4,FALSE)</f>
        <v>Budžetki izdaci</v>
      </c>
      <c r="C124" s="509"/>
      <c r="D124" s="509"/>
      <c r="E124" s="509"/>
      <c r="F124" s="509"/>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26" t="str">
        <f>+VLOOKUP(LEFT($A125,LEN(A125)-1)*1,[1]Master!$D$25:$G$223,4,FALSE)</f>
        <v>Tekući izdaci</v>
      </c>
      <c r="C125" s="527"/>
      <c r="D125" s="527"/>
      <c r="E125" s="527"/>
      <c r="F125" s="527"/>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28" t="str">
        <f>+VLOOKUP(LEFT($A126,LEN(A126)-1)*1,[1]Master!$D$25:$G$223,4,FALSE)</f>
        <v>Tekući budžetski izdaci</v>
      </c>
      <c r="C126" s="529"/>
      <c r="D126" s="529"/>
      <c r="E126" s="529"/>
      <c r="F126" s="529"/>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18" t="str">
        <f>+VLOOKUP(LEFT($A127,LEN(A127)-1)*1,[1]Master!$D$25:$G$223,4,FALSE)</f>
        <v>Bruto zarade i doprinosi na teret poslodavca</v>
      </c>
      <c r="C127" s="519"/>
      <c r="D127" s="519"/>
      <c r="E127" s="519"/>
      <c r="F127" s="519"/>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18" t="str">
        <f>+VLOOKUP(LEFT($A128,LEN(A128)-1)*1,[1]Master!$D$25:$G$223,4,FALSE)</f>
        <v>Ostala lična primanja</v>
      </c>
      <c r="C128" s="519"/>
      <c r="D128" s="519"/>
      <c r="E128" s="519"/>
      <c r="F128" s="519"/>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18" t="str">
        <f>+VLOOKUP(LEFT($A129,LEN(A129)-1)*1,[1]Master!$D$25:$G$223,4,FALSE)</f>
        <v>Rashodi za materijal</v>
      </c>
      <c r="C129" s="519"/>
      <c r="D129" s="519"/>
      <c r="E129" s="519"/>
      <c r="F129" s="519"/>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18" t="str">
        <f>+VLOOKUP(LEFT($A130,LEN(A130)-1)*1,[1]Master!$D$25:$G$223,4,FALSE)</f>
        <v>Rashodi za usluge</v>
      </c>
      <c r="C130" s="519"/>
      <c r="D130" s="519"/>
      <c r="E130" s="519"/>
      <c r="F130" s="519"/>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18" t="str">
        <f>+VLOOKUP(LEFT($A131,LEN(A131)-1)*1,[1]Master!$D$25:$G$223,4,FALSE)</f>
        <v>Rashodi za tekuće održavanje</v>
      </c>
      <c r="C131" s="519"/>
      <c r="D131" s="519"/>
      <c r="E131" s="519"/>
      <c r="F131" s="519"/>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18" t="str">
        <f>+VLOOKUP(LEFT($A132,LEN(A132)-1)*1,[1]Master!$D$25:$G$223,4,FALSE)</f>
        <v>Kamate</v>
      </c>
      <c r="C132" s="519"/>
      <c r="D132" s="519"/>
      <c r="E132" s="519"/>
      <c r="F132" s="519"/>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18" t="str">
        <f>+VLOOKUP(LEFT($A133,LEN(A133)-1)*1,[1]Master!$D$25:$G$223,4,FALSE)</f>
        <v>Renta</v>
      </c>
      <c r="C133" s="519"/>
      <c r="D133" s="519"/>
      <c r="E133" s="519"/>
      <c r="F133" s="519"/>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18" t="str">
        <f>+VLOOKUP(LEFT($A134,LEN(A134)-1)*1,[1]Master!$D$25:$G$223,4,FALSE)</f>
        <v>Subvencije</v>
      </c>
      <c r="C134" s="519"/>
      <c r="D134" s="519"/>
      <c r="E134" s="519"/>
      <c r="F134" s="519"/>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18" t="str">
        <f>+VLOOKUP(LEFT($A135,LEN(A135)-1)*1,[1]Master!$D$25:$G$223,4,FALSE)</f>
        <v>Ostali izdaci</v>
      </c>
      <c r="C135" s="519"/>
      <c r="D135" s="519"/>
      <c r="E135" s="519"/>
      <c r="F135" s="519"/>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18" t="str">
        <f>+VLOOKUP(LEFT($A136,LEN(A136)-1)*1,[1]Master!$D$25:$G$223,4,FALSE)</f>
        <v>Kapitalni izdaci u tekućem budžetu</v>
      </c>
      <c r="C136" s="519"/>
      <c r="D136" s="519"/>
      <c r="E136" s="519"/>
      <c r="F136" s="519"/>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4" t="str">
        <f>+VLOOKUP(LEFT($A137,LEN(A137)-1)*1,[1]Master!$D$25:$G$223,4,FALSE)</f>
        <v>Transferi za socijalnu zaštitu</v>
      </c>
      <c r="C137" s="515"/>
      <c r="D137" s="515"/>
      <c r="E137" s="515"/>
      <c r="F137" s="51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18" t="str">
        <f>+VLOOKUP(LEFT($A138,LEN(A138)-1)*1,[1]Master!$D$25:$G$223,4,FALSE)</f>
        <v>Prava iz oblasti socijalne zaštite</v>
      </c>
      <c r="C138" s="519"/>
      <c r="D138" s="519"/>
      <c r="E138" s="519"/>
      <c r="F138" s="519"/>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18" t="str">
        <f>+VLOOKUP(LEFT($A139,LEN(A139)-1)*1,[1]Master!$D$25:$G$223,4,FALSE)</f>
        <v>Sredstva za tehnološke viškove</v>
      </c>
      <c r="C139" s="519"/>
      <c r="D139" s="519"/>
      <c r="E139" s="519"/>
      <c r="F139" s="519"/>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18" t="str">
        <f>+VLOOKUP(LEFT($A140,LEN(A140)-1)*1,[1]Master!$D$25:$G$223,4,FALSE)</f>
        <v>Prava iz oblasti penzijskog i invalidskog osiguranja</v>
      </c>
      <c r="C140" s="519"/>
      <c r="D140" s="519"/>
      <c r="E140" s="519"/>
      <c r="F140" s="519"/>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18" t="str">
        <f>+VLOOKUP(LEFT($A141,LEN(A141)-1)*1,[1]Master!$D$25:$G$223,4,FALSE)</f>
        <v>Ostala prava iz oblasti zdravstvene zaštite</v>
      </c>
      <c r="C141" s="519"/>
      <c r="D141" s="519"/>
      <c r="E141" s="519"/>
      <c r="F141" s="519"/>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18" t="str">
        <f>+VLOOKUP(LEFT($A142,LEN(A142)-1)*1,[1]Master!$D$25:$G$223,4,FALSE)</f>
        <v>Ostala prava iz zdravstvenog osiguranja</v>
      </c>
      <c r="C142" s="519"/>
      <c r="D142" s="519"/>
      <c r="E142" s="519"/>
      <c r="F142" s="519"/>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0" t="str">
        <f>+VLOOKUP(LEFT($A143,LEN(A143)-1)*1,[1]Master!$D$25:$G$223,4,FALSE)</f>
        <v xml:space="preserve">Transferi institucijama, pojedincima, nevladinom i javnom sektoru </v>
      </c>
      <c r="C143" s="521"/>
      <c r="D143" s="521"/>
      <c r="E143" s="521"/>
      <c r="F143" s="521"/>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0" t="str">
        <f>+VLOOKUP(LEFT($A144,LEN(A144)-1)*1,[1]Master!$D$25:$G$223,4,FALSE)</f>
        <v>Kapitalni budžet</v>
      </c>
      <c r="C144" s="521"/>
      <c r="D144" s="521"/>
      <c r="E144" s="521"/>
      <c r="F144" s="521"/>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2" t="str">
        <f>+VLOOKUP(LEFT($A145,LEN(A145)-1)*1,[1]Master!$D$25:$G$223,4,FALSE)</f>
        <v>Pozajmice i krediti</v>
      </c>
      <c r="C145" s="503"/>
      <c r="D145" s="503"/>
      <c r="E145" s="503"/>
      <c r="F145" s="503"/>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2" t="str">
        <f>+VLOOKUP(LEFT($A146,LEN(A146)-1)*1,[1]Master!$D$25:$G$223,4,FALSE)</f>
        <v>Rezerve</v>
      </c>
      <c r="C146" s="503"/>
      <c r="D146" s="503"/>
      <c r="E146" s="503"/>
      <c r="F146" s="503"/>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2" t="str">
        <f>+VLOOKUP(LEFT($A147,LEN(A147)-1)*1,[1]Master!$D$25:$G$223,4,FALSE)</f>
        <v>Otplata garancija</v>
      </c>
      <c r="C147" s="503"/>
      <c r="D147" s="503"/>
      <c r="E147" s="503"/>
      <c r="F147" s="503"/>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699</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+VLOOKUP(LEFT($A149,LEN(A149)-1)*1,[1]Master!$D$25:$G$223,4,FALSE)</f>
        <v>Suficit / deficit</v>
      </c>
      <c r="C149" s="511"/>
      <c r="D149" s="511"/>
      <c r="E149" s="511"/>
      <c r="F149" s="511"/>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2" t="str">
        <f>+VLOOKUP(LEFT($A150,LEN(A150)-1)*1,[1]Master!$D$25:$G$223,4,FALSE)</f>
        <v>Primarni bilans</v>
      </c>
      <c r="C150" s="513"/>
      <c r="D150" s="513"/>
      <c r="E150" s="513"/>
      <c r="F150" s="513"/>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4" t="str">
        <f>+VLOOKUP(LEFT($A151,LEN(A151)-1)*1,[1]Master!$D$25:$G$223,4,FALSE)</f>
        <v>Otplata dugova</v>
      </c>
      <c r="C151" s="515"/>
      <c r="D151" s="515"/>
      <c r="E151" s="515"/>
      <c r="F151" s="51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4" t="str">
        <f>+VLOOKUP(LEFT($A152,LEN(A152)-1)*1,[1]Master!$D$25:$G$223,4,FALSE)</f>
        <v>Otplata hartija od vrijednosti i kredita rezidentima</v>
      </c>
      <c r="C152" s="505"/>
      <c r="D152" s="505"/>
      <c r="E152" s="505"/>
      <c r="F152" s="505"/>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2" t="str">
        <f>+VLOOKUP(LEFT($A153,LEN(A153)-1)*1,[1]Master!$D$25:$G$223,4,FALSE)</f>
        <v>Otplata hartija od vrijednosti i kredita nerezidentima</v>
      </c>
      <c r="C153" s="503"/>
      <c r="D153" s="503"/>
      <c r="E153" s="503"/>
      <c r="F153" s="503"/>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16" t="str">
        <f>+VLOOKUP(LEFT($A154,LEN(A154)-1)*1,[1]Master!$D$25:$G$223,4,FALSE)</f>
        <v>Otplata obaveza iz prethodnih godina</v>
      </c>
      <c r="C154" s="517"/>
      <c r="D154" s="517"/>
      <c r="E154" s="517"/>
      <c r="F154" s="51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06" t="str">
        <f>+VLOOKUP(LEFT($A155,LEN(A155)-1)*1,[1]Master!$D$25:$G$223,4,FALSE)</f>
        <v>Nedostajuća sredstva</v>
      </c>
      <c r="C155" s="507"/>
      <c r="D155" s="507"/>
      <c r="E155" s="507"/>
      <c r="F155" s="507"/>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08" t="str">
        <f>+VLOOKUP(LEFT($A156,LEN(A156)-1)*1,[1]Master!$D$25:$G$223,4,FALSE)</f>
        <v>Finansiranje</v>
      </c>
      <c r="C156" s="509"/>
      <c r="D156" s="509"/>
      <c r="E156" s="509"/>
      <c r="F156" s="509"/>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4" t="str">
        <f>+VLOOKUP(LEFT($A157,LEN(A157)-1)*1,[1]Master!$D$25:$G$223,4,FALSE)</f>
        <v>Pozajmice i krediti od domaćih izvora</v>
      </c>
      <c r="C157" s="505"/>
      <c r="D157" s="505"/>
      <c r="E157" s="505"/>
      <c r="F157" s="505"/>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2" t="str">
        <f>+VLOOKUP(LEFT($A158,LEN(A158)-1)*1,[1]Master!$D$25:$G$223,4,FALSE)</f>
        <v>Pozajmice i krediti od inostranih izvora</v>
      </c>
      <c r="C158" s="503"/>
      <c r="D158" s="503"/>
      <c r="E158" s="503"/>
      <c r="F158" s="503"/>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2" t="str">
        <f>+VLOOKUP(LEFT($A159,LEN(A159)-1)*1,[1]Master!$D$25:$G$223,4,FALSE)</f>
        <v>Primici od prodaje imovine</v>
      </c>
      <c r="C159" s="503"/>
      <c r="D159" s="503"/>
      <c r="E159" s="503"/>
      <c r="F159" s="503"/>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M69" sqref="M6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708</v>
      </c>
      <c r="H6" s="259" t="s">
        <v>709</v>
      </c>
      <c r="I6" s="259" t="s">
        <v>710</v>
      </c>
      <c r="J6" s="259" t="s">
        <v>711</v>
      </c>
      <c r="K6" s="259" t="s">
        <v>712</v>
      </c>
      <c r="L6" s="259" t="s">
        <v>713</v>
      </c>
      <c r="M6" s="259" t="s">
        <v>714</v>
      </c>
      <c r="N6" s="259" t="s">
        <v>715</v>
      </c>
      <c r="O6" s="259" t="s">
        <v>716</v>
      </c>
      <c r="P6" s="259" t="s">
        <v>717</v>
      </c>
      <c r="Q6" s="259" t="s">
        <v>718</v>
      </c>
      <c r="R6" s="259" t="s">
        <v>719</v>
      </c>
      <c r="S6" s="258"/>
      <c r="T6" s="258"/>
    </row>
    <row r="7" spans="1:20" ht="15" customHeight="1" thickBot="1">
      <c r="A7" s="169"/>
      <c r="B7" s="557" t="str">
        <f>+Master!G251</f>
        <v>Budget Execution</v>
      </c>
      <c r="C7" s="455"/>
      <c r="D7" s="455"/>
      <c r="E7" s="455"/>
      <c r="F7" s="455"/>
      <c r="G7" s="463">
        <v>2016</v>
      </c>
      <c r="H7" s="464"/>
      <c r="I7" s="464"/>
      <c r="J7" s="464"/>
      <c r="K7" s="464"/>
      <c r="L7" s="464"/>
      <c r="M7" s="464"/>
      <c r="N7" s="464"/>
      <c r="O7" s="464"/>
      <c r="P7" s="464"/>
      <c r="Q7" s="464"/>
      <c r="R7" s="467"/>
      <c r="S7" s="260" t="str">
        <f>+Master!G248</f>
        <v>GDP</v>
      </c>
      <c r="T7" s="261">
        <v>3954200000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Apr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98" t="str">
        <f>+VLOOKUP($A11,Master!$D$27:$G$225,4,FALSE)</f>
        <v>Taxes</v>
      </c>
      <c r="C11" s="499"/>
      <c r="D11" s="499"/>
      <c r="E11" s="499"/>
      <c r="F11" s="499"/>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4" t="str">
        <f>+VLOOKUP($A12,Master!$D$27:$G$225,4,FALSE)</f>
        <v>Personal Income Tax</v>
      </c>
      <c r="C12" s="485"/>
      <c r="D12" s="485"/>
      <c r="E12" s="485"/>
      <c r="F12" s="48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4" t="str">
        <f>+VLOOKUP($A13,Master!$D$27:$G$225,4,FALSE)</f>
        <v>Corporate Income Tax</v>
      </c>
      <c r="C13" s="485"/>
      <c r="D13" s="485"/>
      <c r="E13" s="485"/>
      <c r="F13" s="48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4" t="str">
        <f>+VLOOKUP($A14,Master!$D$27:$G$225,4,FALSE)</f>
        <v xml:space="preserve">Taxes on Sales of Property </v>
      </c>
      <c r="C14" s="485"/>
      <c r="D14" s="485"/>
      <c r="E14" s="485"/>
      <c r="F14" s="48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4" t="str">
        <f>+VLOOKUP($A15,Master!$D$27:$G$225,4,FALSE)</f>
        <v>Value Added Tax</v>
      </c>
      <c r="C15" s="485"/>
      <c r="D15" s="485"/>
      <c r="E15" s="485"/>
      <c r="F15" s="48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4" t="str">
        <f>+VLOOKUP($A16,Master!$D$27:$G$225,4,FALSE)</f>
        <v>Excises</v>
      </c>
      <c r="C16" s="485"/>
      <c r="D16" s="485"/>
      <c r="E16" s="485"/>
      <c r="F16" s="48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4" t="str">
        <f>+VLOOKUP($A17,Master!$D$27:$G$225,4,FALSE)</f>
        <v>Tax on International Trade and Transactions</v>
      </c>
      <c r="C17" s="485"/>
      <c r="D17" s="485"/>
      <c r="E17" s="485"/>
      <c r="F17" s="48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4" t="str">
        <f>+VLOOKUP($A18,Master!$D$27:$G$225,4,FALSE)</f>
        <v>Other Republic Taxes</v>
      </c>
      <c r="C18" s="485"/>
      <c r="D18" s="485"/>
      <c r="E18" s="485"/>
      <c r="F18" s="48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4" t="str">
        <f>+VLOOKUP($A19,Master!$D$27:$G$225,4,FALSE)</f>
        <v>Contributions</v>
      </c>
      <c r="C19" s="495"/>
      <c r="D19" s="495"/>
      <c r="E19" s="495"/>
      <c r="F19" s="495"/>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4" t="str">
        <f>+VLOOKUP($A20,Master!$D$27:$G$225,4,FALSE)</f>
        <v>Contributions for Pension and Disability Insurance</v>
      </c>
      <c r="C20" s="485"/>
      <c r="D20" s="485"/>
      <c r="E20" s="485"/>
      <c r="F20" s="48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4" t="str">
        <f>+VLOOKUP($A21,Master!$D$27:$G$225,4,FALSE)</f>
        <v>Contributions for Health Insurance</v>
      </c>
      <c r="C21" s="485"/>
      <c r="D21" s="485"/>
      <c r="E21" s="485"/>
      <c r="F21" s="48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4" t="str">
        <f>+VLOOKUP($A22,Master!$D$27:$G$225,4,FALSE)</f>
        <v>Contributions for  Unemployment Insurance</v>
      </c>
      <c r="C22" s="485"/>
      <c r="D22" s="485"/>
      <c r="E22" s="485"/>
      <c r="F22" s="48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4" t="str">
        <f>+VLOOKUP($A23,Master!$D$27:$G$225,4,FALSE)</f>
        <v>Other contributions</v>
      </c>
      <c r="C23" s="485"/>
      <c r="D23" s="485"/>
      <c r="E23" s="485"/>
      <c r="F23" s="48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86" t="str">
        <f>+VLOOKUP($A24,Master!$D$27:$G$225,4,FALSE)</f>
        <v>Duties</v>
      </c>
      <c r="C24" s="487"/>
      <c r="D24" s="487"/>
      <c r="E24" s="487"/>
      <c r="F24" s="48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86" t="str">
        <f>+VLOOKUP($A25,Master!$D$27:$G$225,4,FALSE)</f>
        <v>Fees</v>
      </c>
      <c r="C25" s="487"/>
      <c r="D25" s="487"/>
      <c r="E25" s="487"/>
      <c r="F25" s="48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86" t="str">
        <f>+VLOOKUP($A26,Master!$D$27:$G$225,4,FALSE)</f>
        <v>Other revenues</v>
      </c>
      <c r="C26" s="487"/>
      <c r="D26" s="487"/>
      <c r="E26" s="487"/>
      <c r="F26" s="48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86" t="str">
        <f>+VLOOKUP($A27,Master!$D$27:$G$225,4,FALSE)</f>
        <v>Receipts from Repayment of Loans and Funds Carried over from Previous Year</v>
      </c>
      <c r="C27" s="487"/>
      <c r="D27" s="487"/>
      <c r="E27" s="487"/>
      <c r="F27" s="48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88" t="str">
        <f>+VLOOKUP($A28,Master!$D$27:$G$225,4,FALSE)</f>
        <v>Grants and Transfers</v>
      </c>
      <c r="C28" s="489"/>
      <c r="D28" s="489"/>
      <c r="E28" s="489"/>
      <c r="F28" s="489"/>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4" t="str">
        <f>+VLOOKUP($A29,Master!$D$27:$G$225,4,FALSE)</f>
        <v>Total Expenditures</v>
      </c>
      <c r="C29" s="475"/>
      <c r="D29" s="475"/>
      <c r="E29" s="475"/>
      <c r="F29" s="475"/>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90" t="str">
        <f>+VLOOKUP($A30,Master!$D$27:$G$225,4,FALSE)</f>
        <v>Current Expenditures</v>
      </c>
      <c r="C30" s="491"/>
      <c r="D30" s="491"/>
      <c r="E30" s="491"/>
      <c r="F30" s="491"/>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92" t="str">
        <f>+VLOOKUP($A31,Master!$D$27:$G$225,4,FALSE)</f>
        <v>Current Budgetary Expenditures</v>
      </c>
      <c r="C31" s="493"/>
      <c r="D31" s="493"/>
      <c r="E31" s="493"/>
      <c r="F31" s="493"/>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4" t="str">
        <f>+VLOOKUP($A32,Master!$D$27:$G$225,4,FALSE)</f>
        <v>Gross Salaries and Contributions</v>
      </c>
      <c r="C32" s="485"/>
      <c r="D32" s="485"/>
      <c r="E32" s="485"/>
      <c r="F32" s="48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4" t="str">
        <f>+VLOOKUP($A33,Master!$D$27:$G$225,4,FALSE)</f>
        <v>Other Personal Income</v>
      </c>
      <c r="C33" s="485"/>
      <c r="D33" s="485"/>
      <c r="E33" s="485"/>
      <c r="F33" s="48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4" t="str">
        <f>+VLOOKUP($A34,Master!$D$27:$G$225,4,FALSE)</f>
        <v>Expenditures for Supplies</v>
      </c>
      <c r="C34" s="485"/>
      <c r="D34" s="485"/>
      <c r="E34" s="485"/>
      <c r="F34" s="48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4" t="str">
        <f>+VLOOKUP($A35,Master!$D$27:$G$225,4,FALSE)</f>
        <v>Expenditures for Services</v>
      </c>
      <c r="C35" s="485"/>
      <c r="D35" s="485"/>
      <c r="E35" s="485"/>
      <c r="F35" s="48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4" t="str">
        <f>+VLOOKUP($A36,Master!$D$27:$G$225,4,FALSE)</f>
        <v>Current Maintenance</v>
      </c>
      <c r="C36" s="485"/>
      <c r="D36" s="485"/>
      <c r="E36" s="485"/>
      <c r="F36" s="48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4" t="str">
        <f>+VLOOKUP($A37,Master!$D$27:$G$225,4,FALSE)</f>
        <v>Interests</v>
      </c>
      <c r="C37" s="485"/>
      <c r="D37" s="485"/>
      <c r="E37" s="485"/>
      <c r="F37" s="48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4" t="str">
        <f>+VLOOKUP($A38,Master!$D$27:$G$225,4,FALSE)</f>
        <v>Rent</v>
      </c>
      <c r="C38" s="485"/>
      <c r="D38" s="485"/>
      <c r="E38" s="485"/>
      <c r="F38" s="48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4" t="str">
        <f>+VLOOKUP($A39,Master!$D$27:$G$225,4,FALSE)</f>
        <v>Subsidies</v>
      </c>
      <c r="C39" s="485"/>
      <c r="D39" s="485"/>
      <c r="E39" s="485"/>
      <c r="F39" s="48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4" t="str">
        <f>+VLOOKUP($A40,Master!$D$27:$G$225,4,FALSE)</f>
        <v>Other expenditures</v>
      </c>
      <c r="C40" s="485"/>
      <c r="D40" s="485"/>
      <c r="E40" s="485"/>
      <c r="F40" s="48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4" t="str">
        <f>+VLOOKUP($A41,Master!$D$27:$G$225,4,FALSE)</f>
        <v>Current Capital Expenditure</v>
      </c>
      <c r="C41" s="485"/>
      <c r="D41" s="485"/>
      <c r="E41" s="485"/>
      <c r="F41" s="48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0" t="str">
        <f>+VLOOKUP($A42,Master!$D$27:$G$225,4,FALSE)</f>
        <v>Social Security Transfers</v>
      </c>
      <c r="C42" s="481"/>
      <c r="D42" s="481"/>
      <c r="E42" s="481"/>
      <c r="F42" s="48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4" t="str">
        <f>+VLOOKUP($A43,Master!$D$27:$G$225,4,FALSE)</f>
        <v>Social Security</v>
      </c>
      <c r="C43" s="485"/>
      <c r="D43" s="485"/>
      <c r="E43" s="485"/>
      <c r="F43" s="48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4" t="str">
        <f>+VLOOKUP($A44,Master!$D$27:$G$225,4,FALSE)</f>
        <v>Funds for redundant labor</v>
      </c>
      <c r="C44" s="485"/>
      <c r="D44" s="485"/>
      <c r="E44" s="485"/>
      <c r="F44" s="48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4" t="str">
        <f>+VLOOKUP($A45,Master!$D$27:$G$225,4,FALSE)</f>
        <v>Pension and Disability Insurance</v>
      </c>
      <c r="C45" s="485"/>
      <c r="D45" s="485"/>
      <c r="E45" s="485"/>
      <c r="F45" s="48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4" t="str">
        <f>+VLOOKUP($A46,Master!$D$27:$G$225,4,FALSE)</f>
        <v>Other Health Care Transfers</v>
      </c>
      <c r="C46" s="485"/>
      <c r="D46" s="485"/>
      <c r="E46" s="485"/>
      <c r="F46" s="48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4" t="str">
        <f>+VLOOKUP($A47,Master!$D$27:$G$225,4,FALSE)</f>
        <v>Other Health Care Insurance</v>
      </c>
      <c r="C47" s="485"/>
      <c r="D47" s="485"/>
      <c r="E47" s="485"/>
      <c r="F47" s="48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2" t="str">
        <f>+VLOOKUP($A48,Master!$D$27:$G$225,4,FALSE)</f>
        <v xml:space="preserve">Transfers to Institutions, Individuals, NGO and Public Sector </v>
      </c>
      <c r="C48" s="483"/>
      <c r="D48" s="483"/>
      <c r="E48" s="483"/>
      <c r="F48" s="483"/>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2" t="str">
        <f>+VLOOKUP($A49,Master!$D$27:$G$225,4,FALSE)</f>
        <v>Capital Expenditure</v>
      </c>
      <c r="C49" s="483"/>
      <c r="D49" s="483"/>
      <c r="E49" s="483"/>
      <c r="F49" s="483"/>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2" t="str">
        <f>+VLOOKUP($A50,Master!$D$27:$G$225,4,FALSE)</f>
        <v>Credits and Borrowings</v>
      </c>
      <c r="C50" s="453"/>
      <c r="D50" s="453"/>
      <c r="E50" s="453"/>
      <c r="F50" s="45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2" t="str">
        <f>+VLOOKUP($A51,Master!$D$27:$G$225,4,FALSE)</f>
        <v>Reserves</v>
      </c>
      <c r="C51" s="453"/>
      <c r="D51" s="453"/>
      <c r="E51" s="453"/>
      <c r="F51" s="45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0" t="str">
        <f>+VLOOKUP($A52,Master!$D$27:$G$225,4,FALSE)</f>
        <v>Repayment of Guarantees</v>
      </c>
      <c r="C52" s="471"/>
      <c r="D52" s="471"/>
      <c r="E52" s="471"/>
      <c r="F52" s="471"/>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0" t="str">
        <f>+VLOOKUP($A53,Master!$D$27:$G$225,4,TRUE)</f>
        <v>Repayments of Arrears</v>
      </c>
      <c r="C53" s="471"/>
      <c r="D53" s="471"/>
      <c r="E53" s="471"/>
      <c r="F53" s="471"/>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16" t="str">
        <f>+VLOOKUP($A54,Master!$D$27:$G$227,4,FALSE)</f>
        <v>Net increase of liabilities</v>
      </c>
      <c r="C54" s="517"/>
      <c r="D54" s="517"/>
      <c r="E54" s="517"/>
      <c r="F54" s="51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796</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0" t="str">
        <f>+VLOOKUP($A58,Master!$D$27:$G$225,4,FALSE)</f>
        <v>Repayment of Debt</v>
      </c>
      <c r="C58" s="481"/>
      <c r="D58" s="481"/>
      <c r="E58" s="481"/>
      <c r="F58" s="48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68" t="str">
        <f>+VLOOKUP($A59,Master!$D$27:$G$225,4,FALSE)</f>
        <v>Repayment of Domestic Debt</v>
      </c>
      <c r="C59" s="469"/>
      <c r="D59" s="469"/>
      <c r="E59" s="469"/>
      <c r="F59" s="469"/>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2" t="str">
        <f>+VLOOKUP($A60,Master!$D$27:$G$225,4,FALSE)</f>
        <v>Repayment of Foreign Debt</v>
      </c>
      <c r="C60" s="453"/>
      <c r="D60" s="453"/>
      <c r="E60" s="453"/>
      <c r="F60" s="45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2" t="str">
        <f>+VLOOKUP($A61,Master!$D$27:$G$225,4,FALSE)</f>
        <v>Financing needs</v>
      </c>
      <c r="C61" s="473"/>
      <c r="D61" s="473"/>
      <c r="E61" s="473"/>
      <c r="F61" s="473"/>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4" t="str">
        <f>+VLOOKUP($A62,Master!$D$27:$G$225,4,FALSE)</f>
        <v>Financing</v>
      </c>
      <c r="C62" s="475"/>
      <c r="D62" s="475"/>
      <c r="E62" s="475"/>
      <c r="F62" s="475"/>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68" t="str">
        <f>+VLOOKUP($A63,Master!$D$27:$G$225,4,FALSE)</f>
        <v>Domestic Loans and Borrowings</v>
      </c>
      <c r="C63" s="469"/>
      <c r="D63" s="469"/>
      <c r="E63" s="469"/>
      <c r="F63" s="469"/>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2" t="str">
        <f>+VLOOKUP($A64,Master!$D$27:$G$225,4,FALSE)</f>
        <v>Foreign Loans and Borrowings</v>
      </c>
      <c r="C64" s="453"/>
      <c r="D64" s="453"/>
      <c r="E64" s="453"/>
      <c r="F64" s="45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2" t="str">
        <f>+VLOOKUP($A65,Master!$D$27:$G$225,4,FALSE)</f>
        <v>Revenues from Selling Assets</v>
      </c>
      <c r="C65" s="453"/>
      <c r="D65" s="453"/>
      <c r="E65" s="453"/>
      <c r="F65" s="45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39" t="str">
        <f>+Master!G252</f>
        <v>Planned Budget Execution</v>
      </c>
      <c r="C102" s="540"/>
      <c r="D102" s="540"/>
      <c r="E102" s="540"/>
      <c r="F102" s="540"/>
      <c r="G102" s="532">
        <v>2016</v>
      </c>
      <c r="H102" s="533"/>
      <c r="I102" s="533"/>
      <c r="J102" s="533"/>
      <c r="K102" s="533"/>
      <c r="L102" s="533"/>
      <c r="M102" s="533"/>
      <c r="N102" s="533"/>
      <c r="O102" s="533"/>
      <c r="P102" s="533"/>
      <c r="Q102" s="533"/>
      <c r="R102" s="534"/>
      <c r="S102" s="115" t="str">
        <f>+S7</f>
        <v>GDP</v>
      </c>
      <c r="T102" s="116">
        <f>+T7</f>
        <v>3954200000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37" t="str">
        <f>+VLOOKUP(LEFT($A106,LEN(A106)-1)*1,Master!$D$27:$G$225,4,FALSE)</f>
        <v>Taxes</v>
      </c>
      <c r="C106" s="538"/>
      <c r="D106" s="538"/>
      <c r="E106" s="538"/>
      <c r="F106" s="538"/>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18" t="str">
        <f>+VLOOKUP(LEFT($A107,LEN(A107)-1)*1,Master!$D$27:$G$225,4,FALSE)</f>
        <v>Personal Income Tax</v>
      </c>
      <c r="C107" s="519"/>
      <c r="D107" s="519"/>
      <c r="E107" s="519"/>
      <c r="F107" s="519"/>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18" t="str">
        <f>+VLOOKUP(LEFT($A108,LEN(A108)-1)*1,Master!$D$27:$G$225,4,FALSE)</f>
        <v>Corporate Income Tax</v>
      </c>
      <c r="C108" s="519"/>
      <c r="D108" s="519"/>
      <c r="E108" s="519"/>
      <c r="F108" s="519"/>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18" t="str">
        <f>+VLOOKUP(LEFT($A109,LEN(A109)-1)*1,Master!$D$27:$G$225,4,FALSE)</f>
        <v xml:space="preserve">Taxes on Sales of Property </v>
      </c>
      <c r="C109" s="519"/>
      <c r="D109" s="519"/>
      <c r="E109" s="519"/>
      <c r="F109" s="519"/>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18" t="str">
        <f>+VLOOKUP(LEFT($A110,LEN(A110)-1)*1,Master!$D$27:$G$225,4,FALSE)</f>
        <v>Value Added Tax</v>
      </c>
      <c r="C110" s="519"/>
      <c r="D110" s="519"/>
      <c r="E110" s="519"/>
      <c r="F110" s="519"/>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18" t="str">
        <f>+VLOOKUP(LEFT($A111,LEN(A111)-1)*1,Master!$D$27:$G$225,4,FALSE)</f>
        <v>Excises</v>
      </c>
      <c r="C111" s="519"/>
      <c r="D111" s="519"/>
      <c r="E111" s="519"/>
      <c r="F111" s="519"/>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18" t="str">
        <f>+VLOOKUP(LEFT($A112,LEN(A112)-1)*1,Master!$D$27:$G$225,4,FALSE)</f>
        <v>Tax on International Trade and Transactions</v>
      </c>
      <c r="C112" s="519"/>
      <c r="D112" s="519"/>
      <c r="E112" s="519"/>
      <c r="F112" s="519"/>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18" t="str">
        <f>+VLOOKUP(LEFT($A113,LEN(A113)-1)*1,Master!$D$27:$G$225,4,FALSE)</f>
        <v>Other Republic Taxes</v>
      </c>
      <c r="C113" s="519"/>
      <c r="D113" s="519"/>
      <c r="E113" s="519"/>
      <c r="F113" s="519"/>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0" t="str">
        <f>+VLOOKUP(LEFT($A114,LEN(A114)-1)*1,Master!$D$27:$G$225,4,FALSE)</f>
        <v>Contributions</v>
      </c>
      <c r="C114" s="531"/>
      <c r="D114" s="531"/>
      <c r="E114" s="531"/>
      <c r="F114" s="531"/>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18" t="str">
        <f>+VLOOKUP(LEFT($A116,LEN(A116)-1)*1,Master!$D$27:$G$225,4,FALSE)</f>
        <v>Contributions for Health Insurance</v>
      </c>
      <c r="C116" s="519"/>
      <c r="D116" s="519"/>
      <c r="E116" s="519"/>
      <c r="F116" s="519"/>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18" t="str">
        <f>+VLOOKUP(LEFT($A117,LEN(A117)-1)*1,Master!$D$27:$G$225,4,FALSE)</f>
        <v>Contributions for  Unemployment Insurance</v>
      </c>
      <c r="C117" s="519"/>
      <c r="D117" s="519"/>
      <c r="E117" s="519"/>
      <c r="F117" s="519"/>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18" t="str">
        <f>+VLOOKUP(LEFT($A118,LEN(A118)-1)*1,Master!$D$27:$G$225,4,FALSE)</f>
        <v>Other contributions</v>
      </c>
      <c r="C118" s="519"/>
      <c r="D118" s="519"/>
      <c r="E118" s="519"/>
      <c r="F118" s="519"/>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2" t="str">
        <f>+VLOOKUP(LEFT($A119,LEN(A119)-1)*1,Master!$D$27:$G$225,4,FALSE)</f>
        <v>Duties</v>
      </c>
      <c r="C119" s="523"/>
      <c r="D119" s="523"/>
      <c r="E119" s="523"/>
      <c r="F119" s="523"/>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2" t="str">
        <f>+VLOOKUP(LEFT($A120,LEN(A120)-1)*1,Master!$D$27:$G$225,4,FALSE)</f>
        <v>Fees</v>
      </c>
      <c r="C120" s="523"/>
      <c r="D120" s="523"/>
      <c r="E120" s="523"/>
      <c r="F120" s="523"/>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2" t="str">
        <f>+VLOOKUP(LEFT($A121,LEN(A121)-1)*1,Master!$D$27:$G$225,4,FALSE)</f>
        <v>Other revenues</v>
      </c>
      <c r="C121" s="523"/>
      <c r="D121" s="523"/>
      <c r="E121" s="523"/>
      <c r="F121" s="523"/>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4" t="str">
        <f>+VLOOKUP(LEFT($A123,LEN(A123)-1)*1,Master!$D$27:$G$225,4,FALSE)</f>
        <v>Grants and Transfers</v>
      </c>
      <c r="C123" s="525"/>
      <c r="D123" s="525"/>
      <c r="E123" s="525"/>
      <c r="F123" s="52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08" t="str">
        <f>+VLOOKUP(LEFT($A124,LEN(A124)-1)*1,Master!$D$27:$G$225,4,FALSE)</f>
        <v>Total Expenditures</v>
      </c>
      <c r="C124" s="509"/>
      <c r="D124" s="509"/>
      <c r="E124" s="509"/>
      <c r="F124" s="509"/>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26" t="str">
        <f>+VLOOKUP(LEFT($A125,LEN(A125)-1)*1,Master!$D$27:$G$225,4,FALSE)</f>
        <v>Current Expenditures</v>
      </c>
      <c r="C125" s="527"/>
      <c r="D125" s="527"/>
      <c r="E125" s="527"/>
      <c r="F125" s="527"/>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28" t="str">
        <f>+VLOOKUP(LEFT($A126,LEN(A126)-1)*1,Master!$D$27:$G$225,4,FALSE)</f>
        <v>Current Budgetary Expenditures</v>
      </c>
      <c r="C126" s="529"/>
      <c r="D126" s="529"/>
      <c r="E126" s="529"/>
      <c r="F126" s="529"/>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18" t="str">
        <f>+VLOOKUP(LEFT($A127,LEN(A127)-1)*1,Master!$D$27:$G$225,4,FALSE)</f>
        <v>Gross Salaries and Contributions</v>
      </c>
      <c r="C127" s="519"/>
      <c r="D127" s="519"/>
      <c r="E127" s="519"/>
      <c r="F127" s="519"/>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18" t="str">
        <f>+VLOOKUP(LEFT($A128,LEN(A128)-1)*1,Master!$D$27:$G$225,4,FALSE)</f>
        <v>Other Personal Income</v>
      </c>
      <c r="C128" s="519"/>
      <c r="D128" s="519"/>
      <c r="E128" s="519"/>
      <c r="F128" s="519"/>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18" t="str">
        <f>+VLOOKUP(LEFT($A129,LEN(A129)-1)*1,Master!$D$27:$G$225,4,FALSE)</f>
        <v>Expenditures for Supplies</v>
      </c>
      <c r="C129" s="519"/>
      <c r="D129" s="519"/>
      <c r="E129" s="519"/>
      <c r="F129" s="519"/>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18" t="str">
        <f>+VLOOKUP(LEFT($A130,LEN(A130)-1)*1,Master!$D$27:$G$225,4,FALSE)</f>
        <v>Expenditures for Services</v>
      </c>
      <c r="C130" s="519"/>
      <c r="D130" s="519"/>
      <c r="E130" s="519"/>
      <c r="F130" s="519"/>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18" t="str">
        <f>+VLOOKUP(LEFT($A131,LEN(A131)-1)*1,Master!$D$27:$G$225,4,FALSE)</f>
        <v>Current Maintenance</v>
      </c>
      <c r="C131" s="519"/>
      <c r="D131" s="519"/>
      <c r="E131" s="519"/>
      <c r="F131" s="519"/>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18" t="str">
        <f>+VLOOKUP(LEFT($A132,LEN(A132)-1)*1,Master!$D$27:$G$225,4,FALSE)</f>
        <v>Interests</v>
      </c>
      <c r="C132" s="519"/>
      <c r="D132" s="519"/>
      <c r="E132" s="519"/>
      <c r="F132" s="519"/>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18" t="str">
        <f>+VLOOKUP(LEFT($A133,LEN(A133)-1)*1,Master!$D$27:$G$225,4,FALSE)</f>
        <v>Rent</v>
      </c>
      <c r="C133" s="519"/>
      <c r="D133" s="519"/>
      <c r="E133" s="519"/>
      <c r="F133" s="519"/>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18" t="str">
        <f>+VLOOKUP(LEFT($A134,LEN(A134)-1)*1,Master!$D$27:$G$225,4,FALSE)</f>
        <v>Subsidies</v>
      </c>
      <c r="C134" s="519"/>
      <c r="D134" s="519"/>
      <c r="E134" s="519"/>
      <c r="F134" s="519"/>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18" t="str">
        <f>+VLOOKUP(LEFT($A135,LEN(A135)-1)*1,Master!$D$27:$G$225,4,FALSE)</f>
        <v>Other expenditures</v>
      </c>
      <c r="C135" s="519"/>
      <c r="D135" s="519"/>
      <c r="E135" s="519"/>
      <c r="F135" s="519"/>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18" t="str">
        <f>+VLOOKUP(LEFT($A136,LEN(A136)-1)*1,Master!$D$27:$G$225,4,FALSE)</f>
        <v>Current Capital Expenditure</v>
      </c>
      <c r="C136" s="519"/>
      <c r="D136" s="519"/>
      <c r="E136" s="519"/>
      <c r="F136" s="519"/>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4" t="str">
        <f>+VLOOKUP(LEFT($A137,LEN(A137)-1)*1,Master!$D$27:$G$225,4,FALSE)</f>
        <v>Social Security Transfers</v>
      </c>
      <c r="C137" s="515"/>
      <c r="D137" s="515"/>
      <c r="E137" s="515"/>
      <c r="F137" s="51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18" t="str">
        <f>+VLOOKUP(LEFT($A138,LEN(A138)-1)*1,Master!$D$27:$G$225,4,FALSE)</f>
        <v>Social Security</v>
      </c>
      <c r="C138" s="519"/>
      <c r="D138" s="519"/>
      <c r="E138" s="519"/>
      <c r="F138" s="519"/>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18" t="str">
        <f>+VLOOKUP(LEFT($A139,LEN(A139)-1)*1,Master!$D$27:$G$225,4,FALSE)</f>
        <v>Funds for redundant labor</v>
      </c>
      <c r="C139" s="519"/>
      <c r="D139" s="519"/>
      <c r="E139" s="519"/>
      <c r="F139" s="519"/>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18" t="str">
        <f>+VLOOKUP(LEFT($A140,LEN(A140)-1)*1,Master!$D$27:$G$225,4,FALSE)</f>
        <v>Pension and Disability Insurance</v>
      </c>
      <c r="C140" s="519"/>
      <c r="D140" s="519"/>
      <c r="E140" s="519"/>
      <c r="F140" s="519"/>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18" t="str">
        <f>+VLOOKUP(LEFT($A141,LEN(A141)-1)*1,Master!$D$27:$G$225,4,FALSE)</f>
        <v>Other Health Care Transfers</v>
      </c>
      <c r="C141" s="519"/>
      <c r="D141" s="519"/>
      <c r="E141" s="519"/>
      <c r="F141" s="519"/>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18" t="str">
        <f>+VLOOKUP(LEFT($A142,LEN(A142)-1)*1,Master!$D$27:$G$225,4,FALSE)</f>
        <v>Other Health Care Insurance</v>
      </c>
      <c r="C142" s="519"/>
      <c r="D142" s="519"/>
      <c r="E142" s="519"/>
      <c r="F142" s="519"/>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0" t="str">
        <f>+VLOOKUP(LEFT($A144,LEN(A144)-1)*1,Master!$D$27:$G$225,4,FALSE)</f>
        <v>Capital Expenditure</v>
      </c>
      <c r="C144" s="521"/>
      <c r="D144" s="521"/>
      <c r="E144" s="521"/>
      <c r="F144" s="521"/>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2" t="str">
        <f>+VLOOKUP(LEFT($A145,LEN(A145)-1)*1,Master!$D$27:$G$225,4,FALSE)</f>
        <v>Credits and Borrowings</v>
      </c>
      <c r="C145" s="503"/>
      <c r="D145" s="503"/>
      <c r="E145" s="503"/>
      <c r="F145" s="503"/>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2" t="str">
        <f>+VLOOKUP(LEFT($A146,LEN(A146)-1)*1,Master!$D$27:$G$225,4,FALSE)</f>
        <v>Reserves</v>
      </c>
      <c r="C146" s="503"/>
      <c r="D146" s="503"/>
      <c r="E146" s="503"/>
      <c r="F146" s="503"/>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2" t="str">
        <f>+VLOOKUP(LEFT($A147,LEN(A147)-1)*1,Master!$D$27:$G$225,4,FALSE)</f>
        <v>Repayment of Guarantees</v>
      </c>
      <c r="C147" s="503"/>
      <c r="D147" s="503"/>
      <c r="E147" s="503"/>
      <c r="F147" s="503"/>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700</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+VLOOKUP(LEFT($A149,LEN(A149)-1)*1,Master!$D$27:$G$225,4,FALSE)</f>
        <v>Surplus / deficit</v>
      </c>
      <c r="C149" s="511"/>
      <c r="D149" s="511"/>
      <c r="E149" s="511"/>
      <c r="F149" s="511"/>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2" t="str">
        <f>+VLOOKUP(LEFT($A150,LEN(A150)-1)*1,Master!$D$27:$G$225,4,FALSE)</f>
        <v>Primary balance</v>
      </c>
      <c r="C150" s="513"/>
      <c r="D150" s="513"/>
      <c r="E150" s="513"/>
      <c r="F150" s="513"/>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4" t="str">
        <f>+VLOOKUP(LEFT($A151,LEN(A151)-1)*1,Master!$D$27:$G$225,4,FALSE)</f>
        <v>Repayment of Debt</v>
      </c>
      <c r="C151" s="515"/>
      <c r="D151" s="515"/>
      <c r="E151" s="515"/>
      <c r="F151" s="51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4" t="str">
        <f>+VLOOKUP(LEFT($A152,LEN(A152)-1)*1,Master!$D$27:$G$225,4,FALSE)</f>
        <v>Repayment of Domestic Debt</v>
      </c>
      <c r="C152" s="505"/>
      <c r="D152" s="505"/>
      <c r="E152" s="505"/>
      <c r="F152" s="505"/>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2" t="str">
        <f>+VLOOKUP(LEFT($A153,LEN(A153)-1)*1,Master!$D$27:$G$225,4,FALSE)</f>
        <v>Repayment of Foreign Debt</v>
      </c>
      <c r="C153" s="503"/>
      <c r="D153" s="503"/>
      <c r="E153" s="503"/>
      <c r="F153" s="503"/>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16" t="str">
        <f>+VLOOKUP(LEFT($A154,LEN(A154)-1)*1,Master!$D$27:$G$225,4,FALSE)</f>
        <v>Repayments of Arrears</v>
      </c>
      <c r="C154" s="517"/>
      <c r="D154" s="517"/>
      <c r="E154" s="517"/>
      <c r="F154" s="51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06" t="str">
        <f>+VLOOKUP(LEFT($A155,LEN(A155)-1)*1,Master!$D$27:$G$225,4,FALSE)</f>
        <v>Financing needs</v>
      </c>
      <c r="C155" s="507"/>
      <c r="D155" s="507"/>
      <c r="E155" s="507"/>
      <c r="F155" s="507"/>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08" t="str">
        <f>+VLOOKUP(LEFT($A156,LEN(A156)-1)*1,Master!$D$27:$G$225,4,FALSE)</f>
        <v>Financing</v>
      </c>
      <c r="C156" s="509"/>
      <c r="D156" s="509"/>
      <c r="E156" s="509"/>
      <c r="F156" s="509"/>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4" t="str">
        <f>+VLOOKUP(LEFT($A157,LEN(A157)-1)*1,Master!$D$27:$G$225,4,FALSE)</f>
        <v>Domestic Loans and Borrowings</v>
      </c>
      <c r="C157" s="505"/>
      <c r="D157" s="505"/>
      <c r="E157" s="505"/>
      <c r="F157" s="505"/>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2" t="str">
        <f>+VLOOKUP(LEFT($A158,LEN(A158)-1)*1,Master!$D$27:$G$225,4,FALSE)</f>
        <v>Foreign Loans and Borrowings</v>
      </c>
      <c r="C158" s="503"/>
      <c r="D158" s="503"/>
      <c r="E158" s="503"/>
      <c r="F158" s="503"/>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2" t="str">
        <f>+VLOOKUP(LEFT($A159,LEN(A159)-1)*1,Master!$D$27:$G$225,4,FALSE)</f>
        <v>Revenues from Selling Assets</v>
      </c>
      <c r="C159" s="503"/>
      <c r="D159" s="503"/>
      <c r="E159" s="503"/>
      <c r="F159" s="503"/>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542</v>
      </c>
      <c r="H6" s="259" t="s">
        <v>543</v>
      </c>
      <c r="I6" s="259" t="s">
        <v>544</v>
      </c>
      <c r="J6" s="259" t="s">
        <v>545</v>
      </c>
      <c r="K6" s="259" t="s">
        <v>546</v>
      </c>
      <c r="L6" s="259" t="s">
        <v>547</v>
      </c>
      <c r="M6" s="259" t="s">
        <v>548</v>
      </c>
      <c r="N6" s="259" t="s">
        <v>549</v>
      </c>
      <c r="O6" s="259" t="s">
        <v>550</v>
      </c>
      <c r="P6" s="259" t="s">
        <v>551</v>
      </c>
      <c r="Q6" s="259" t="s">
        <v>552</v>
      </c>
      <c r="R6" s="259" t="s">
        <v>553</v>
      </c>
      <c r="S6" s="258"/>
      <c r="T6" s="258"/>
    </row>
    <row r="7" spans="1:20" ht="15" customHeight="1" thickBot="1">
      <c r="A7" s="169"/>
      <c r="B7" s="557" t="str">
        <f>+Master!G251</f>
        <v>Budget Execution</v>
      </c>
      <c r="C7" s="455"/>
      <c r="D7" s="455"/>
      <c r="E7" s="455"/>
      <c r="F7" s="455"/>
      <c r="G7" s="463">
        <v>2015</v>
      </c>
      <c r="H7" s="464"/>
      <c r="I7" s="464"/>
      <c r="J7" s="464"/>
      <c r="K7" s="464"/>
      <c r="L7" s="464"/>
      <c r="M7" s="464"/>
      <c r="N7" s="464"/>
      <c r="O7" s="464"/>
      <c r="P7" s="464"/>
      <c r="Q7" s="464"/>
      <c r="R7" s="467"/>
      <c r="S7" s="260" t="str">
        <f>+Master!G248</f>
        <v>GDP</v>
      </c>
      <c r="T7" s="261">
        <v>3655000000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740</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98" t="str">
        <f>+VLOOKUP($A11,Master!$D$27:$G$225,4,FALSE)</f>
        <v>Taxes</v>
      </c>
      <c r="C11" s="499"/>
      <c r="D11" s="499"/>
      <c r="E11" s="499"/>
      <c r="F11" s="499"/>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4" t="str">
        <f>+VLOOKUP($A12,Master!$D$27:$G$225,4,FALSE)</f>
        <v>Personal Income Tax</v>
      </c>
      <c r="C12" s="485"/>
      <c r="D12" s="485"/>
      <c r="E12" s="485"/>
      <c r="F12" s="48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4" t="str">
        <f>+VLOOKUP($A13,Master!$D$27:$G$225,4,FALSE)</f>
        <v>Corporate Income Tax</v>
      </c>
      <c r="C13" s="485"/>
      <c r="D13" s="485"/>
      <c r="E13" s="485"/>
      <c r="F13" s="48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4" t="str">
        <f>+VLOOKUP($A14,Master!$D$27:$G$225,4,FALSE)</f>
        <v xml:space="preserve">Taxes on Sales of Property </v>
      </c>
      <c r="C14" s="485"/>
      <c r="D14" s="485"/>
      <c r="E14" s="485"/>
      <c r="F14" s="48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4" t="str">
        <f>+VLOOKUP($A15,Master!$D$27:$G$225,4,FALSE)</f>
        <v>Value Added Tax</v>
      </c>
      <c r="C15" s="485"/>
      <c r="D15" s="485"/>
      <c r="E15" s="485"/>
      <c r="F15" s="48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4" t="str">
        <f>+VLOOKUP($A16,Master!$D$27:$G$225,4,FALSE)</f>
        <v>Excises</v>
      </c>
      <c r="C16" s="485"/>
      <c r="D16" s="485"/>
      <c r="E16" s="485"/>
      <c r="F16" s="48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4" t="str">
        <f>+VLOOKUP($A17,Master!$D$27:$G$225,4,FALSE)</f>
        <v>Tax on International Trade and Transactions</v>
      </c>
      <c r="C17" s="485"/>
      <c r="D17" s="485"/>
      <c r="E17" s="485"/>
      <c r="F17" s="48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4" t="str">
        <f>+VLOOKUP($A18,Master!$D$27:$G$225,4,FALSE)</f>
        <v>Other Republic Taxes</v>
      </c>
      <c r="C18" s="485"/>
      <c r="D18" s="485"/>
      <c r="E18" s="485"/>
      <c r="F18" s="48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4" t="str">
        <f>+VLOOKUP($A19,Master!$D$27:$G$225,4,FALSE)</f>
        <v>Contributions</v>
      </c>
      <c r="C19" s="495"/>
      <c r="D19" s="495"/>
      <c r="E19" s="495"/>
      <c r="F19" s="495"/>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4" t="str">
        <f>+VLOOKUP($A20,Master!$D$27:$G$225,4,FALSE)</f>
        <v>Contributions for Pension and Disability Insurance</v>
      </c>
      <c r="C20" s="485"/>
      <c r="D20" s="485"/>
      <c r="E20" s="485"/>
      <c r="F20" s="48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4" t="str">
        <f>+VLOOKUP($A21,Master!$D$27:$G$225,4,FALSE)</f>
        <v>Contributions for Health Insurance</v>
      </c>
      <c r="C21" s="485"/>
      <c r="D21" s="485"/>
      <c r="E21" s="485"/>
      <c r="F21" s="48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4" t="str">
        <f>+VLOOKUP($A22,Master!$D$27:$G$225,4,FALSE)</f>
        <v>Contributions for  Unemployment Insurance</v>
      </c>
      <c r="C22" s="485"/>
      <c r="D22" s="485"/>
      <c r="E22" s="485"/>
      <c r="F22" s="48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4" t="str">
        <f>+VLOOKUP($A23,Master!$D$27:$G$225,4,FALSE)</f>
        <v>Other contributions</v>
      </c>
      <c r="C23" s="485"/>
      <c r="D23" s="485"/>
      <c r="E23" s="485"/>
      <c r="F23" s="48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86" t="str">
        <f>+VLOOKUP($A24,Master!$D$27:$G$225,4,FALSE)</f>
        <v>Duties</v>
      </c>
      <c r="C24" s="487"/>
      <c r="D24" s="487"/>
      <c r="E24" s="487"/>
      <c r="F24" s="48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86" t="str">
        <f>+VLOOKUP($A25,Master!$D$27:$G$225,4,FALSE)</f>
        <v>Fees</v>
      </c>
      <c r="C25" s="487"/>
      <c r="D25" s="487"/>
      <c r="E25" s="487"/>
      <c r="F25" s="48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86" t="str">
        <f>+VLOOKUP($A26,Master!$D$27:$G$225,4,FALSE)</f>
        <v>Other revenues</v>
      </c>
      <c r="C26" s="487"/>
      <c r="D26" s="487"/>
      <c r="E26" s="487"/>
      <c r="F26" s="48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86" t="str">
        <f>+VLOOKUP($A27,Master!$D$27:$G$225,4,FALSE)</f>
        <v>Receipts from Repayment of Loans and Funds Carried over from Previous Year</v>
      </c>
      <c r="C27" s="487"/>
      <c r="D27" s="487"/>
      <c r="E27" s="487"/>
      <c r="F27" s="48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88" t="str">
        <f>+VLOOKUP($A28,Master!$D$27:$G$225,4,FALSE)</f>
        <v>Grants and Transfers</v>
      </c>
      <c r="C28" s="489"/>
      <c r="D28" s="489"/>
      <c r="E28" s="489"/>
      <c r="F28" s="489"/>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4" t="str">
        <f>+VLOOKUP($A29,Master!$D$27:$G$225,4,FALSE)</f>
        <v>Total Expenditures</v>
      </c>
      <c r="C29" s="475"/>
      <c r="D29" s="475"/>
      <c r="E29" s="475"/>
      <c r="F29" s="475"/>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0" t="str">
        <f>+VLOOKUP($A30,Master!$D$27:$G$225,4,FALSE)</f>
        <v>Current Expenditures</v>
      </c>
      <c r="C30" s="491"/>
      <c r="D30" s="491"/>
      <c r="E30" s="491"/>
      <c r="F30" s="491"/>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2" t="str">
        <f>+VLOOKUP($A31,Master!$D$27:$G$225,4,FALSE)</f>
        <v>Current Budgetary Expenditures</v>
      </c>
      <c r="C31" s="493"/>
      <c r="D31" s="493"/>
      <c r="E31" s="493"/>
      <c r="F31" s="493"/>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4" t="str">
        <f>+VLOOKUP($A32,Master!$D$27:$G$225,4,FALSE)</f>
        <v>Gross Salaries and Contributions</v>
      </c>
      <c r="C32" s="485"/>
      <c r="D32" s="485"/>
      <c r="E32" s="485"/>
      <c r="F32" s="48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4" t="str">
        <f>+VLOOKUP($A33,Master!$D$27:$G$225,4,FALSE)</f>
        <v>Other Personal Income</v>
      </c>
      <c r="C33" s="485"/>
      <c r="D33" s="485"/>
      <c r="E33" s="485"/>
      <c r="F33" s="48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4" t="str">
        <f>+VLOOKUP($A34,Master!$D$27:$G$225,4,FALSE)</f>
        <v>Expenditures for Supplies</v>
      </c>
      <c r="C34" s="485"/>
      <c r="D34" s="485"/>
      <c r="E34" s="485"/>
      <c r="F34" s="48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4" t="str">
        <f>+VLOOKUP($A35,Master!$D$27:$G$225,4,FALSE)</f>
        <v>Expenditures for Services</v>
      </c>
      <c r="C35" s="485"/>
      <c r="D35" s="485"/>
      <c r="E35" s="485"/>
      <c r="F35" s="48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4" t="str">
        <f>+VLOOKUP($A36,Master!$D$27:$G$225,4,FALSE)</f>
        <v>Current Maintenance</v>
      </c>
      <c r="C36" s="485"/>
      <c r="D36" s="485"/>
      <c r="E36" s="485"/>
      <c r="F36" s="48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4" t="str">
        <f>+VLOOKUP($A37,Master!$D$27:$G$225,4,FALSE)</f>
        <v>Interests</v>
      </c>
      <c r="C37" s="485"/>
      <c r="D37" s="485"/>
      <c r="E37" s="485"/>
      <c r="F37" s="48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4" t="str">
        <f>+VLOOKUP($A38,Master!$D$27:$G$225,4,FALSE)</f>
        <v>Rent</v>
      </c>
      <c r="C38" s="485"/>
      <c r="D38" s="485"/>
      <c r="E38" s="485"/>
      <c r="F38" s="48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4" t="str">
        <f>+VLOOKUP($A39,Master!$D$27:$G$225,4,FALSE)</f>
        <v>Subsidies</v>
      </c>
      <c r="C39" s="485"/>
      <c r="D39" s="485"/>
      <c r="E39" s="485"/>
      <c r="F39" s="48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4" t="str">
        <f>+VLOOKUP($A40,Master!$D$27:$G$225,4,FALSE)</f>
        <v>Other expenditures</v>
      </c>
      <c r="C40" s="485"/>
      <c r="D40" s="485"/>
      <c r="E40" s="485"/>
      <c r="F40" s="48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4" t="str">
        <f>+VLOOKUP($A41,Master!$D$27:$G$225,4,FALSE)</f>
        <v>Current Capital Expenditure</v>
      </c>
      <c r="C41" s="485"/>
      <c r="D41" s="485"/>
      <c r="E41" s="485"/>
      <c r="F41" s="48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0" t="str">
        <f>+VLOOKUP($A42,Master!$D$27:$G$225,4,FALSE)</f>
        <v>Social Security Transfers</v>
      </c>
      <c r="C42" s="481"/>
      <c r="D42" s="481"/>
      <c r="E42" s="481"/>
      <c r="F42" s="48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4" t="str">
        <f>+VLOOKUP($A43,Master!$D$27:$G$225,4,FALSE)</f>
        <v>Social Security</v>
      </c>
      <c r="C43" s="485"/>
      <c r="D43" s="485"/>
      <c r="E43" s="485"/>
      <c r="F43" s="48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4" t="str">
        <f>+VLOOKUP($A44,Master!$D$27:$G$225,4,FALSE)</f>
        <v>Funds for redundant labor</v>
      </c>
      <c r="C44" s="485"/>
      <c r="D44" s="485"/>
      <c r="E44" s="485"/>
      <c r="F44" s="48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4" t="str">
        <f>+VLOOKUP($A45,Master!$D$27:$G$225,4,FALSE)</f>
        <v>Pension and Disability Insurance</v>
      </c>
      <c r="C45" s="485"/>
      <c r="D45" s="485"/>
      <c r="E45" s="485"/>
      <c r="F45" s="48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4" t="str">
        <f>+VLOOKUP($A46,Master!$D$27:$G$225,4,FALSE)</f>
        <v>Other Health Care Transfers</v>
      </c>
      <c r="C46" s="485"/>
      <c r="D46" s="485"/>
      <c r="E46" s="485"/>
      <c r="F46" s="48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4" t="str">
        <f>+VLOOKUP($A47,Master!$D$27:$G$225,4,FALSE)</f>
        <v>Other Health Care Insurance</v>
      </c>
      <c r="C47" s="485"/>
      <c r="D47" s="485"/>
      <c r="E47" s="485"/>
      <c r="F47" s="48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2" t="str">
        <f>+VLOOKUP($A48,Master!$D$27:$G$225,4,FALSE)</f>
        <v xml:space="preserve">Transfers to Institutions, Individuals, NGO and Public Sector </v>
      </c>
      <c r="C48" s="483"/>
      <c r="D48" s="483"/>
      <c r="E48" s="483"/>
      <c r="F48" s="483"/>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2" t="str">
        <f>+VLOOKUP($A49,Master!$D$27:$G$225,4,FALSE)</f>
        <v>Capital Expenditure</v>
      </c>
      <c r="C49" s="483"/>
      <c r="D49" s="483"/>
      <c r="E49" s="483"/>
      <c r="F49" s="483"/>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2" t="str">
        <f>+VLOOKUP($A50,Master!$D$27:$G$225,4,FALSE)</f>
        <v>Credits and Borrowings</v>
      </c>
      <c r="C50" s="453"/>
      <c r="D50" s="453"/>
      <c r="E50" s="453"/>
      <c r="F50" s="45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2" t="str">
        <f>+VLOOKUP($A51,Master!$D$27:$G$225,4,FALSE)</f>
        <v>Reserves</v>
      </c>
      <c r="C51" s="453"/>
      <c r="D51" s="453"/>
      <c r="E51" s="453"/>
      <c r="F51" s="45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0" t="str">
        <f>+VLOOKUP($A52,Master!$D$27:$G$225,4,FALSE)</f>
        <v>Repayment of Guarantees</v>
      </c>
      <c r="C52" s="471"/>
      <c r="D52" s="471"/>
      <c r="E52" s="471"/>
      <c r="F52" s="471"/>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0" t="str">
        <f>+VLOOKUP($A53,Master!$D$27:$G$225,4,TRUE)</f>
        <v>Repayments of Arrears</v>
      </c>
      <c r="C53" s="471"/>
      <c r="D53" s="471"/>
      <c r="E53" s="471"/>
      <c r="F53" s="471"/>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16" t="str">
        <f>+VLOOKUP($A54,Master!$D$27:$G$227,4,FALSE)</f>
        <v>Net increase of liabilities</v>
      </c>
      <c r="C54" s="517"/>
      <c r="D54" s="517"/>
      <c r="E54" s="517"/>
      <c r="F54" s="51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777</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0" t="str">
        <f>+VLOOKUP($A58,Master!$D$27:$G$225,4,FALSE)</f>
        <v>Repayment of Debt</v>
      </c>
      <c r="C58" s="481"/>
      <c r="D58" s="481"/>
      <c r="E58" s="481"/>
      <c r="F58" s="48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68" t="str">
        <f>+VLOOKUP($A59,Master!$D$27:$G$225,4,FALSE)</f>
        <v>Repayment of Domestic Debt</v>
      </c>
      <c r="C59" s="469"/>
      <c r="D59" s="469"/>
      <c r="E59" s="469"/>
      <c r="F59" s="469"/>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2" t="str">
        <f>+VLOOKUP($A60,Master!$D$27:$G$225,4,FALSE)</f>
        <v>Repayment of Foreign Debt</v>
      </c>
      <c r="C60" s="453"/>
      <c r="D60" s="453"/>
      <c r="E60" s="453"/>
      <c r="F60" s="45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2" t="str">
        <f>+VLOOKUP($A61,Master!$D$27:$G$225,4,FALSE)</f>
        <v>Financing needs</v>
      </c>
      <c r="C61" s="473"/>
      <c r="D61" s="473"/>
      <c r="E61" s="473"/>
      <c r="F61" s="473"/>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4" t="str">
        <f>+VLOOKUP($A62,Master!$D$27:$G$225,4,FALSE)</f>
        <v>Financing</v>
      </c>
      <c r="C62" s="475"/>
      <c r="D62" s="475"/>
      <c r="E62" s="475"/>
      <c r="F62" s="475"/>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68" t="str">
        <f>+VLOOKUP($A63,Master!$D$27:$G$225,4,FALSE)</f>
        <v>Domestic Loans and Borrowings</v>
      </c>
      <c r="C63" s="469"/>
      <c r="D63" s="469"/>
      <c r="E63" s="469"/>
      <c r="F63" s="469"/>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2" t="str">
        <f>+VLOOKUP($A64,Master!$D$27:$G$225,4,FALSE)</f>
        <v>Foreign Loans and Borrowings</v>
      </c>
      <c r="C64" s="453"/>
      <c r="D64" s="453"/>
      <c r="E64" s="453"/>
      <c r="F64" s="45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2" t="str">
        <f>+VLOOKUP($A65,Master!$D$27:$G$225,4,FALSE)</f>
        <v>Revenues from Selling Assets</v>
      </c>
      <c r="C65" s="453"/>
      <c r="D65" s="453"/>
      <c r="E65" s="453"/>
      <c r="F65" s="45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39" t="str">
        <f>+Master!G252</f>
        <v>Planned Budget Execution</v>
      </c>
      <c r="C102" s="540"/>
      <c r="D102" s="540"/>
      <c r="E102" s="540"/>
      <c r="F102" s="540"/>
      <c r="G102" s="532">
        <v>2015</v>
      </c>
      <c r="H102" s="533"/>
      <c r="I102" s="533"/>
      <c r="J102" s="533"/>
      <c r="K102" s="533"/>
      <c r="L102" s="533"/>
      <c r="M102" s="533"/>
      <c r="N102" s="533"/>
      <c r="O102" s="533"/>
      <c r="P102" s="533"/>
      <c r="Q102" s="533"/>
      <c r="R102" s="534"/>
      <c r="S102" s="115" t="str">
        <f>+S7</f>
        <v>GDP</v>
      </c>
      <c r="T102" s="116">
        <f>+T7</f>
        <v>3655000000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37" t="str">
        <f>+VLOOKUP(LEFT($A106,LEN(A106)-1)*1,Master!$D$27:$G$225,4,FALSE)</f>
        <v>Taxes</v>
      </c>
      <c r="C106" s="538"/>
      <c r="D106" s="538"/>
      <c r="E106" s="538"/>
      <c r="F106" s="538"/>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18" t="str">
        <f>+VLOOKUP(LEFT($A107,LEN(A107)-1)*1,Master!$D$27:$G$225,4,FALSE)</f>
        <v>Personal Income Tax</v>
      </c>
      <c r="C107" s="519"/>
      <c r="D107" s="519"/>
      <c r="E107" s="519"/>
      <c r="F107" s="519"/>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18" t="str">
        <f>+VLOOKUP(LEFT($A108,LEN(A108)-1)*1,Master!$D$27:$G$225,4,FALSE)</f>
        <v>Corporate Income Tax</v>
      </c>
      <c r="C108" s="519"/>
      <c r="D108" s="519"/>
      <c r="E108" s="519"/>
      <c r="F108" s="519"/>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18" t="str">
        <f>+VLOOKUP(LEFT($A109,LEN(A109)-1)*1,Master!$D$27:$G$225,4,FALSE)</f>
        <v xml:space="preserve">Taxes on Sales of Property </v>
      </c>
      <c r="C109" s="519"/>
      <c r="D109" s="519"/>
      <c r="E109" s="519"/>
      <c r="F109" s="519"/>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18" t="str">
        <f>+VLOOKUP(LEFT($A110,LEN(A110)-1)*1,Master!$D$27:$G$225,4,FALSE)</f>
        <v>Value Added Tax</v>
      </c>
      <c r="C110" s="519"/>
      <c r="D110" s="519"/>
      <c r="E110" s="519"/>
      <c r="F110" s="519"/>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18" t="str">
        <f>+VLOOKUP(LEFT($A111,LEN(A111)-1)*1,Master!$D$27:$G$225,4,FALSE)</f>
        <v>Excises</v>
      </c>
      <c r="C111" s="519"/>
      <c r="D111" s="519"/>
      <c r="E111" s="519"/>
      <c r="F111" s="519"/>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18" t="str">
        <f>+VLOOKUP(LEFT($A112,LEN(A112)-1)*1,Master!$D$27:$G$225,4,FALSE)</f>
        <v>Tax on International Trade and Transactions</v>
      </c>
      <c r="C112" s="519"/>
      <c r="D112" s="519"/>
      <c r="E112" s="519"/>
      <c r="F112" s="519"/>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18" t="str">
        <f>+VLOOKUP(LEFT($A113,LEN(A113)-1)*1,Master!$D$27:$G$225,4,FALSE)</f>
        <v>Other Republic Taxes</v>
      </c>
      <c r="C113" s="519"/>
      <c r="D113" s="519"/>
      <c r="E113" s="519"/>
      <c r="F113" s="519"/>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0" t="str">
        <f>+VLOOKUP(LEFT($A114,LEN(A114)-1)*1,Master!$D$27:$G$225,4,FALSE)</f>
        <v>Contributions</v>
      </c>
      <c r="C114" s="531"/>
      <c r="D114" s="531"/>
      <c r="E114" s="531"/>
      <c r="F114" s="531"/>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18" t="str">
        <f>+VLOOKUP(LEFT($A116,LEN(A116)-1)*1,Master!$D$27:$G$225,4,FALSE)</f>
        <v>Contributions for Health Insurance</v>
      </c>
      <c r="C116" s="519"/>
      <c r="D116" s="519"/>
      <c r="E116" s="519"/>
      <c r="F116" s="519"/>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18" t="str">
        <f>+VLOOKUP(LEFT($A117,LEN(A117)-1)*1,Master!$D$27:$G$225,4,FALSE)</f>
        <v>Contributions for  Unemployment Insurance</v>
      </c>
      <c r="C117" s="519"/>
      <c r="D117" s="519"/>
      <c r="E117" s="519"/>
      <c r="F117" s="519"/>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18" t="str">
        <f>+VLOOKUP(LEFT($A118,LEN(A118)-1)*1,Master!$D$27:$G$225,4,FALSE)</f>
        <v>Other contributions</v>
      </c>
      <c r="C118" s="519"/>
      <c r="D118" s="519"/>
      <c r="E118" s="519"/>
      <c r="F118" s="519"/>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2" t="str">
        <f>+VLOOKUP(LEFT($A119,LEN(A119)-1)*1,Master!$D$27:$G$225,4,FALSE)</f>
        <v>Duties</v>
      </c>
      <c r="C119" s="523"/>
      <c r="D119" s="523"/>
      <c r="E119" s="523"/>
      <c r="F119" s="523"/>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2" t="str">
        <f>+VLOOKUP(LEFT($A120,LEN(A120)-1)*1,Master!$D$27:$G$225,4,FALSE)</f>
        <v>Fees</v>
      </c>
      <c r="C120" s="523"/>
      <c r="D120" s="523"/>
      <c r="E120" s="523"/>
      <c r="F120" s="523"/>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2" t="str">
        <f>+VLOOKUP(LEFT($A121,LEN(A121)-1)*1,Master!$D$27:$G$225,4,FALSE)</f>
        <v>Other revenues</v>
      </c>
      <c r="C121" s="523"/>
      <c r="D121" s="523"/>
      <c r="E121" s="523"/>
      <c r="F121" s="523"/>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4" t="str">
        <f>+VLOOKUP(LEFT($A123,LEN(A123)-1)*1,Master!$D$27:$G$225,4,FALSE)</f>
        <v>Grants and Transfers</v>
      </c>
      <c r="C123" s="525"/>
      <c r="D123" s="525"/>
      <c r="E123" s="525"/>
      <c r="F123" s="52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08" t="str">
        <f>+VLOOKUP(LEFT($A124,LEN(A124)-1)*1,Master!$D$27:$G$225,4,FALSE)</f>
        <v>Total Expenditures</v>
      </c>
      <c r="C124" s="509"/>
      <c r="D124" s="509"/>
      <c r="E124" s="509"/>
      <c r="F124" s="509"/>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26" t="str">
        <f>+VLOOKUP(LEFT($A125,LEN(A125)-1)*1,Master!$D$27:$G$225,4,FALSE)</f>
        <v>Current Expenditures</v>
      </c>
      <c r="C125" s="527"/>
      <c r="D125" s="527"/>
      <c r="E125" s="527"/>
      <c r="F125" s="527"/>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28" t="str">
        <f>+VLOOKUP(LEFT($A126,LEN(A126)-1)*1,Master!$D$27:$G$225,4,FALSE)</f>
        <v>Current Budgetary Expenditures</v>
      </c>
      <c r="C126" s="529"/>
      <c r="D126" s="529"/>
      <c r="E126" s="529"/>
      <c r="F126" s="529"/>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18" t="str">
        <f>+VLOOKUP(LEFT($A127,LEN(A127)-1)*1,Master!$D$27:$G$225,4,FALSE)</f>
        <v>Gross Salaries and Contributions</v>
      </c>
      <c r="C127" s="519"/>
      <c r="D127" s="519"/>
      <c r="E127" s="519"/>
      <c r="F127" s="519"/>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18" t="str">
        <f>+VLOOKUP(LEFT($A128,LEN(A128)-1)*1,Master!$D$27:$G$225,4,FALSE)</f>
        <v>Other Personal Income</v>
      </c>
      <c r="C128" s="519"/>
      <c r="D128" s="519"/>
      <c r="E128" s="519"/>
      <c r="F128" s="519"/>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18" t="str">
        <f>+VLOOKUP(LEFT($A129,LEN(A129)-1)*1,Master!$D$27:$G$225,4,FALSE)</f>
        <v>Expenditures for Supplies</v>
      </c>
      <c r="C129" s="519"/>
      <c r="D129" s="519"/>
      <c r="E129" s="519"/>
      <c r="F129" s="519"/>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18" t="str">
        <f>+VLOOKUP(LEFT($A130,LEN(A130)-1)*1,Master!$D$27:$G$225,4,FALSE)</f>
        <v>Expenditures for Services</v>
      </c>
      <c r="C130" s="519"/>
      <c r="D130" s="519"/>
      <c r="E130" s="519"/>
      <c r="F130" s="519"/>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18" t="str">
        <f>+VLOOKUP(LEFT($A131,LEN(A131)-1)*1,Master!$D$27:$G$225,4,FALSE)</f>
        <v>Current Maintenance</v>
      </c>
      <c r="C131" s="519"/>
      <c r="D131" s="519"/>
      <c r="E131" s="519"/>
      <c r="F131" s="519"/>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18" t="str">
        <f>+VLOOKUP(LEFT($A132,LEN(A132)-1)*1,Master!$D$27:$G$225,4,FALSE)</f>
        <v>Interests</v>
      </c>
      <c r="C132" s="519"/>
      <c r="D132" s="519"/>
      <c r="E132" s="519"/>
      <c r="F132" s="519"/>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18" t="str">
        <f>+VLOOKUP(LEFT($A133,LEN(A133)-1)*1,Master!$D$27:$G$225,4,FALSE)</f>
        <v>Rent</v>
      </c>
      <c r="C133" s="519"/>
      <c r="D133" s="519"/>
      <c r="E133" s="519"/>
      <c r="F133" s="519"/>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18" t="str">
        <f>+VLOOKUP(LEFT($A134,LEN(A134)-1)*1,Master!$D$27:$G$225,4,FALSE)</f>
        <v>Subsidies</v>
      </c>
      <c r="C134" s="519"/>
      <c r="D134" s="519"/>
      <c r="E134" s="519"/>
      <c r="F134" s="519"/>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18" t="str">
        <f>+VLOOKUP(LEFT($A135,LEN(A135)-1)*1,Master!$D$27:$G$225,4,FALSE)</f>
        <v>Other expenditures</v>
      </c>
      <c r="C135" s="519"/>
      <c r="D135" s="519"/>
      <c r="E135" s="519"/>
      <c r="F135" s="519"/>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18" t="str">
        <f>+VLOOKUP(LEFT($A136,LEN(A136)-1)*1,Master!$D$27:$G$225,4,FALSE)</f>
        <v>Current Capital Expenditure</v>
      </c>
      <c r="C136" s="519"/>
      <c r="D136" s="519"/>
      <c r="E136" s="519"/>
      <c r="F136" s="519"/>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4" t="str">
        <f>+VLOOKUP(LEFT($A137,LEN(A137)-1)*1,Master!$D$27:$G$225,4,FALSE)</f>
        <v>Social Security Transfers</v>
      </c>
      <c r="C137" s="515"/>
      <c r="D137" s="515"/>
      <c r="E137" s="515"/>
      <c r="F137" s="51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18" t="str">
        <f>+VLOOKUP(LEFT($A138,LEN(A138)-1)*1,Master!$D$27:$G$225,4,FALSE)</f>
        <v>Social Security</v>
      </c>
      <c r="C138" s="519"/>
      <c r="D138" s="519"/>
      <c r="E138" s="519"/>
      <c r="F138" s="519"/>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18" t="str">
        <f>+VLOOKUP(LEFT($A139,LEN(A139)-1)*1,Master!$D$27:$G$225,4,FALSE)</f>
        <v>Funds for redundant labor</v>
      </c>
      <c r="C139" s="519"/>
      <c r="D139" s="519"/>
      <c r="E139" s="519"/>
      <c r="F139" s="519"/>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18" t="str">
        <f>+VLOOKUP(LEFT($A140,LEN(A140)-1)*1,Master!$D$27:$G$225,4,FALSE)</f>
        <v>Pension and Disability Insurance</v>
      </c>
      <c r="C140" s="519"/>
      <c r="D140" s="519"/>
      <c r="E140" s="519"/>
      <c r="F140" s="519"/>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18" t="str">
        <f>+VLOOKUP(LEFT($A141,LEN(A141)-1)*1,Master!$D$27:$G$225,4,FALSE)</f>
        <v>Other Health Care Transfers</v>
      </c>
      <c r="C141" s="519"/>
      <c r="D141" s="519"/>
      <c r="E141" s="519"/>
      <c r="F141" s="519"/>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18" t="str">
        <f>+VLOOKUP(LEFT($A142,LEN(A142)-1)*1,Master!$D$27:$G$225,4,FALSE)</f>
        <v>Other Health Care Insurance</v>
      </c>
      <c r="C142" s="519"/>
      <c r="D142" s="519"/>
      <c r="E142" s="519"/>
      <c r="F142" s="519"/>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0" t="str">
        <f>+VLOOKUP(LEFT($A144,LEN(A144)-1)*1,Master!$D$27:$G$225,4,FALSE)</f>
        <v>Capital Expenditure</v>
      </c>
      <c r="C144" s="521"/>
      <c r="D144" s="521"/>
      <c r="E144" s="521"/>
      <c r="F144" s="521"/>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2" t="str">
        <f>+VLOOKUP(LEFT($A145,LEN(A145)-1)*1,Master!$D$27:$G$225,4,FALSE)</f>
        <v>Credits and Borrowings</v>
      </c>
      <c r="C145" s="503"/>
      <c r="D145" s="503"/>
      <c r="E145" s="503"/>
      <c r="F145" s="503"/>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2" t="str">
        <f>+VLOOKUP(LEFT($A146,LEN(A146)-1)*1,Master!$D$27:$G$225,4,FALSE)</f>
        <v>Reserves</v>
      </c>
      <c r="C146" s="503"/>
      <c r="D146" s="503"/>
      <c r="E146" s="503"/>
      <c r="F146" s="503"/>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16" t="str">
        <f>+VLOOKUP(LEFT($A147,LEN(A147)-1)*1,Master!$D$27:$G$225,4,FALSE)</f>
        <v>Repayment of Guarantees</v>
      </c>
      <c r="C147" s="517"/>
      <c r="D147" s="517"/>
      <c r="E147" s="517"/>
      <c r="F147" s="51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0" t="str">
        <f>+VLOOKUP(LEFT($A148,LEN(A148)-1)*1,Master!$D$27:$G$225,4,FALSE)</f>
        <v>Surplus / deficit</v>
      </c>
      <c r="C148" s="511"/>
      <c r="D148" s="511"/>
      <c r="E148" s="511"/>
      <c r="F148" s="511"/>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2" t="str">
        <f>+VLOOKUP(LEFT($A149,LEN(A149)-1)*1,Master!$D$27:$G$225,4,FALSE)</f>
        <v>Primary balance</v>
      </c>
      <c r="C149" s="513"/>
      <c r="D149" s="513"/>
      <c r="E149" s="513"/>
      <c r="F149" s="513"/>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4" t="str">
        <f>+VLOOKUP(LEFT($A150,LEN(A150)-1)*1,Master!$D$27:$G$225,4,FALSE)</f>
        <v>Repayment of Debt</v>
      </c>
      <c r="C150" s="515"/>
      <c r="D150" s="515"/>
      <c r="E150" s="515"/>
      <c r="F150" s="51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4" t="str">
        <f>+VLOOKUP(LEFT($A151,LEN(A151)-1)*1,Master!$D$27:$G$225,4,FALSE)</f>
        <v>Repayment of Domestic Debt</v>
      </c>
      <c r="C151" s="505"/>
      <c r="D151" s="505"/>
      <c r="E151" s="505"/>
      <c r="F151" s="505"/>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2" t="str">
        <f>+VLOOKUP(LEFT($A152,LEN(A152)-1)*1,Master!$D$27:$G$225,4,FALSE)</f>
        <v>Repayment of Foreign Debt</v>
      </c>
      <c r="C152" s="503"/>
      <c r="D152" s="503"/>
      <c r="E152" s="503"/>
      <c r="F152" s="503"/>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16" t="str">
        <f>+VLOOKUP(LEFT($A153,LEN(A153)-1)*1,Master!$D$27:$G$225,4,FALSE)</f>
        <v>Repayments of Arrears</v>
      </c>
      <c r="C153" s="517"/>
      <c r="D153" s="517"/>
      <c r="E153" s="517"/>
      <c r="F153" s="51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06" t="str">
        <f>+VLOOKUP(LEFT($A154,LEN(A154)-1)*1,Master!$D$27:$G$225,4,FALSE)</f>
        <v>Financing needs</v>
      </c>
      <c r="C154" s="507"/>
      <c r="D154" s="507"/>
      <c r="E154" s="507"/>
      <c r="F154" s="507"/>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08" t="str">
        <f>+VLOOKUP(LEFT($A155,LEN(A155)-1)*1,Master!$D$27:$G$225,4,FALSE)</f>
        <v>Financing</v>
      </c>
      <c r="C155" s="509"/>
      <c r="D155" s="509"/>
      <c r="E155" s="509"/>
      <c r="F155" s="509"/>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4" t="str">
        <f>+VLOOKUP(LEFT($A156,LEN(A156)-1)*1,Master!$D$27:$G$225,4,FALSE)</f>
        <v>Domestic Loans and Borrowings</v>
      </c>
      <c r="C156" s="505"/>
      <c r="D156" s="505"/>
      <c r="E156" s="505"/>
      <c r="F156" s="505"/>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2" t="str">
        <f>+VLOOKUP(LEFT($A157,LEN(A157)-1)*1,Master!$D$27:$G$225,4,FALSE)</f>
        <v>Foreign Loans and Borrowings</v>
      </c>
      <c r="C157" s="503"/>
      <c r="D157" s="503"/>
      <c r="E157" s="503"/>
      <c r="F157" s="503"/>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2" t="str">
        <f>+VLOOKUP(LEFT($A158,LEN(A158)-1)*1,Master!$D$27:$G$225,4,FALSE)</f>
        <v>Revenues from Selling Assets</v>
      </c>
      <c r="C158" s="503"/>
      <c r="D158" s="503"/>
      <c r="E158" s="503"/>
      <c r="F158" s="503"/>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Nevena Cobeljic</cp:lastModifiedBy>
  <cp:lastPrinted>2017-03-01T13:10:49Z</cp:lastPrinted>
  <dcterms:created xsi:type="dcterms:W3CDTF">2014-09-15T13:41:17Z</dcterms:created>
  <dcterms:modified xsi:type="dcterms:W3CDTF">2019-06-14T11:27:29Z</dcterms:modified>
</cp:coreProperties>
</file>