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NOVO\IZVJEŠTAJI\OKTOBAR 2025\"/>
    </mc:Choice>
  </mc:AlternateContent>
  <xr:revisionPtr revIDLastSave="0" documentId="13_ncr:1_{7F25C805-DBD0-4DE3-8A8A-E0DD226F09A0}" xr6:coauthVersionLast="36" xr6:coauthVersionMax="36" xr10:uidLastSave="{00000000-0000-0000-0000-000000000000}"/>
  <workbookProtection workbookAlgorithmName="SHA-512" workbookHashValue="KlukhqZ9lc6pXEazB4AnixeYtoF8tyVkGDKBkYdYmTuqwSWt+kvujOtgB8YgQC3DHf707eDECf9b0l9RMikhzQ==" workbookSaltValue="A3EY+j7dLaKOtTetueL6Jw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5" sheetId="11" r:id="rId3"/>
    <sheet name="2024" sheetId="26" state="hidden" r:id="rId4"/>
    <sheet name="2025" sheetId="28" r:id="rId5"/>
    <sheet name="2023" sheetId="27" state="hidden" r:id="rId6"/>
    <sheet name="2022" sheetId="25" state="hidden" r:id="rId7"/>
    <sheet name="2021" sheetId="22" state="hidden" r:id="rId8"/>
    <sheet name="2020" sheetId="19" state="hidden" r:id="rId9"/>
    <sheet name="2019" sheetId="20" state="hidden" r:id="rId10"/>
    <sheet name="2018" sheetId="21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5plan" localSheetId="10">'2018'!$A$103:$A$162</definedName>
    <definedName name="_2015plan" localSheetId="9">'2019'!$A$100:$A$159</definedName>
    <definedName name="_2015plan" localSheetId="8">'2020'!$A$100:$A$157</definedName>
    <definedName name="_2015plan" localSheetId="7">'2021'!$A$81:$A$138</definedName>
    <definedName name="_2015plan" localSheetId="6">'2022'!$A$83:$A$140</definedName>
    <definedName name="_2015plan" localSheetId="5">'2023'!$A$83:$A$142</definedName>
    <definedName name="_2015plan" localSheetId="3">'2024'!$A$83:$A$142</definedName>
    <definedName name="_2015plan" localSheetId="4">'2025'!$A$83:$A$142</definedName>
  </definedNames>
  <calcPr calcId="191029"/>
</workbook>
</file>

<file path=xl/calcChain.xml><?xml version="1.0" encoding="utf-8"?>
<calcChain xmlns="http://schemas.openxmlformats.org/spreadsheetml/2006/main">
  <c r="G55" i="28" l="1"/>
  <c r="H55" i="28"/>
  <c r="I55" i="28"/>
  <c r="J55" i="28"/>
  <c r="K55" i="28"/>
  <c r="L55" i="28"/>
  <c r="M55" i="28"/>
  <c r="N55" i="28"/>
  <c r="O55" i="28"/>
  <c r="P55" i="28"/>
  <c r="T83" i="28" l="1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2" i="11"/>
  <c r="N13" i="11"/>
  <c r="N14" i="11"/>
  <c r="N15" i="11"/>
  <c r="N16" i="11"/>
  <c r="N17" i="11"/>
  <c r="P17" i="11" s="1"/>
  <c r="N18" i="11"/>
  <c r="P18" i="11" s="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5" i="11"/>
  <c r="N56" i="11"/>
  <c r="N57" i="11"/>
  <c r="N58" i="11"/>
  <c r="N59" i="11"/>
  <c r="N62" i="11"/>
  <c r="Q62" i="11" s="1"/>
  <c r="N63" i="11"/>
  <c r="N64" i="11"/>
  <c r="N65" i="11"/>
  <c r="T65" i="11" s="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R116" i="28" l="1"/>
  <c r="Q116" i="28"/>
  <c r="P116" i="28"/>
  <c r="O116" i="28"/>
  <c r="N116" i="28"/>
  <c r="M116" i="28"/>
  <c r="L116" i="28"/>
  <c r="K116" i="28"/>
  <c r="J116" i="28"/>
  <c r="I116" i="28"/>
  <c r="H116" i="28"/>
  <c r="G116" i="28"/>
  <c r="R106" i="28"/>
  <c r="Q106" i="28"/>
  <c r="P106" i="28"/>
  <c r="P105" i="28" s="1"/>
  <c r="P129" i="28" s="1"/>
  <c r="P130" i="28" s="1"/>
  <c r="O106" i="28"/>
  <c r="N106" i="28"/>
  <c r="M106" i="28"/>
  <c r="M105" i="28" s="1"/>
  <c r="M129" i="28" s="1"/>
  <c r="M130" i="28" s="1"/>
  <c r="L106" i="28"/>
  <c r="K106" i="28"/>
  <c r="K105" i="28" s="1"/>
  <c r="K129" i="28" s="1"/>
  <c r="K130" i="28" s="1"/>
  <c r="J106" i="28"/>
  <c r="I106" i="28"/>
  <c r="H106" i="28"/>
  <c r="H105" i="28" s="1"/>
  <c r="H129" i="28" s="1"/>
  <c r="H130" i="28" s="1"/>
  <c r="G106" i="28"/>
  <c r="R105" i="28"/>
  <c r="R129" i="28" s="1"/>
  <c r="R130" i="28" s="1"/>
  <c r="Q105" i="28"/>
  <c r="Q129" i="28" s="1"/>
  <c r="Q130" i="28" s="1"/>
  <c r="O105" i="28"/>
  <c r="O129" i="28" s="1"/>
  <c r="O130" i="28" s="1"/>
  <c r="L105" i="28"/>
  <c r="L129" i="28" s="1"/>
  <c r="L130" i="28" s="1"/>
  <c r="J105" i="28"/>
  <c r="J129" i="28" s="1"/>
  <c r="J130" i="28" s="1"/>
  <c r="I105" i="28"/>
  <c r="I129" i="28" s="1"/>
  <c r="I130" i="28" s="1"/>
  <c r="G105" i="28"/>
  <c r="G129" i="28" l="1"/>
  <c r="N105" i="28"/>
  <c r="G136" i="28"/>
  <c r="K136" i="28"/>
  <c r="K142" i="28" s="1"/>
  <c r="K137" i="28" s="1"/>
  <c r="O136" i="28"/>
  <c r="O142" i="28" s="1"/>
  <c r="O137" i="28" s="1"/>
  <c r="H136" i="28"/>
  <c r="H142" i="28" s="1"/>
  <c r="H137" i="28" s="1"/>
  <c r="L136" i="28"/>
  <c r="L142" i="28" s="1"/>
  <c r="L137" i="28" s="1"/>
  <c r="P136" i="28"/>
  <c r="P142" i="28" s="1"/>
  <c r="P137" i="28" s="1"/>
  <c r="I136" i="28"/>
  <c r="I142" i="28" s="1"/>
  <c r="I137" i="28" s="1"/>
  <c r="M136" i="28"/>
  <c r="M142" i="28" s="1"/>
  <c r="M137" i="28" s="1"/>
  <c r="Q136" i="28"/>
  <c r="Q142" i="28" s="1"/>
  <c r="Q137" i="28" s="1"/>
  <c r="J136" i="28"/>
  <c r="J142" i="28" s="1"/>
  <c r="J137" i="28" s="1"/>
  <c r="R136" i="28"/>
  <c r="R142" i="28" s="1"/>
  <c r="R137" i="28" s="1"/>
  <c r="N129" i="28" l="1"/>
  <c r="G142" i="28"/>
  <c r="G130" i="28"/>
  <c r="S133" i="28"/>
  <c r="S132" i="28"/>
  <c r="G137" i="28" l="1"/>
  <c r="N130" i="28"/>
  <c r="N136" i="28"/>
  <c r="A142" i="28"/>
  <c r="S141" i="28"/>
  <c r="T141" i="28" s="1"/>
  <c r="S140" i="28"/>
  <c r="T140" i="28" s="1"/>
  <c r="A140" i="28"/>
  <c r="S139" i="28"/>
  <c r="A139" i="28"/>
  <c r="S138" i="28"/>
  <c r="A138" i="28"/>
  <c r="A137" i="28"/>
  <c r="A136" i="28"/>
  <c r="S135" i="28"/>
  <c r="T135" i="28" s="1"/>
  <c r="S134" i="28"/>
  <c r="T134" i="28" s="1"/>
  <c r="A134" i="28"/>
  <c r="T133" i="28"/>
  <c r="A133" i="28"/>
  <c r="T132" i="28"/>
  <c r="A132" i="28"/>
  <c r="S131" i="28"/>
  <c r="A131" i="28"/>
  <c r="A130" i="28"/>
  <c r="A129" i="28"/>
  <c r="S128" i="28"/>
  <c r="T128" i="28" s="1"/>
  <c r="A128" i="28"/>
  <c r="S127" i="28"/>
  <c r="T127" i="28" s="1"/>
  <c r="A127" i="28"/>
  <c r="S126" i="28"/>
  <c r="T126" i="28" s="1"/>
  <c r="A126" i="28"/>
  <c r="S125" i="28"/>
  <c r="T125" i="28" s="1"/>
  <c r="A125" i="28"/>
  <c r="S124" i="28"/>
  <c r="T124" i="28" s="1"/>
  <c r="A124" i="28"/>
  <c r="S123" i="28"/>
  <c r="T123" i="28" s="1"/>
  <c r="A123" i="28"/>
  <c r="S122" i="28"/>
  <c r="T122" i="28" s="1"/>
  <c r="A122" i="28"/>
  <c r="S121" i="28"/>
  <c r="T121" i="28" s="1"/>
  <c r="A121" i="28"/>
  <c r="S120" i="28"/>
  <c r="T120" i="28" s="1"/>
  <c r="A120" i="28"/>
  <c r="S119" i="28"/>
  <c r="T119" i="28" s="1"/>
  <c r="A119" i="28"/>
  <c r="S118" i="28"/>
  <c r="T118" i="28" s="1"/>
  <c r="A118" i="28"/>
  <c r="S117" i="28"/>
  <c r="T117" i="28" s="1"/>
  <c r="A117" i="28"/>
  <c r="S116" i="28"/>
  <c r="A116" i="28"/>
  <c r="S115" i="28"/>
  <c r="A115" i="28"/>
  <c r="S114" i="28"/>
  <c r="A114" i="28"/>
  <c r="S113" i="28"/>
  <c r="A113" i="28"/>
  <c r="S112" i="28"/>
  <c r="A112" i="28"/>
  <c r="S111" i="28"/>
  <c r="A111" i="28"/>
  <c r="S110" i="28"/>
  <c r="A110" i="28"/>
  <c r="S109" i="28"/>
  <c r="A109" i="28"/>
  <c r="S108" i="28"/>
  <c r="A108" i="28"/>
  <c r="S107" i="28"/>
  <c r="A107" i="28"/>
  <c r="S106" i="28"/>
  <c r="A106" i="28"/>
  <c r="S105" i="28"/>
  <c r="A105" i="28"/>
  <c r="S104" i="28"/>
  <c r="T104" i="28" s="1"/>
  <c r="A104" i="28"/>
  <c r="S103" i="28"/>
  <c r="T103" i="28" s="1"/>
  <c r="A103" i="28"/>
  <c r="S102" i="28"/>
  <c r="T102" i="28" s="1"/>
  <c r="A102" i="28"/>
  <c r="S101" i="28"/>
  <c r="T101" i="28" s="1"/>
  <c r="A101" i="28"/>
  <c r="S100" i="28"/>
  <c r="T100" i="28" s="1"/>
  <c r="A100" i="28"/>
  <c r="S99" i="28"/>
  <c r="T99" i="28" s="1"/>
  <c r="A99" i="28"/>
  <c r="S98" i="28"/>
  <c r="T98" i="28" s="1"/>
  <c r="A98" i="28"/>
  <c r="S97" i="28"/>
  <c r="T97" i="28" s="1"/>
  <c r="A97" i="28"/>
  <c r="S96" i="28"/>
  <c r="T96" i="28" s="1"/>
  <c r="A96" i="28"/>
  <c r="S95" i="28"/>
  <c r="T95" i="28" s="1"/>
  <c r="A95" i="28"/>
  <c r="S94" i="28"/>
  <c r="T94" i="28" s="1"/>
  <c r="A94" i="28"/>
  <c r="S93" i="28"/>
  <c r="T93" i="28" s="1"/>
  <c r="A93" i="28"/>
  <c r="S92" i="28"/>
  <c r="T92" i="28" s="1"/>
  <c r="A92" i="28"/>
  <c r="S91" i="28"/>
  <c r="T91" i="28" s="1"/>
  <c r="A91" i="28"/>
  <c r="S90" i="28"/>
  <c r="T90" i="28" s="1"/>
  <c r="A90" i="28"/>
  <c r="S89" i="28"/>
  <c r="T89" i="28" s="1"/>
  <c r="A89" i="28"/>
  <c r="S88" i="28"/>
  <c r="T88" i="28" s="1"/>
  <c r="A88" i="28"/>
  <c r="A87" i="28"/>
  <c r="A86" i="28"/>
  <c r="T84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S65" i="28"/>
  <c r="S64" i="28"/>
  <c r="S63" i="28"/>
  <c r="G63" i="11" s="1"/>
  <c r="S62" i="28"/>
  <c r="S59" i="28"/>
  <c r="S58" i="28"/>
  <c r="S57" i="28"/>
  <c r="S56" i="28"/>
  <c r="R55" i="28"/>
  <c r="Q55" i="28"/>
  <c r="S52" i="28"/>
  <c r="S51" i="28"/>
  <c r="S50" i="28"/>
  <c r="S49" i="28"/>
  <c r="G49" i="11" s="1"/>
  <c r="S48" i="28"/>
  <c r="S47" i="28"/>
  <c r="S46" i="28"/>
  <c r="S45" i="28"/>
  <c r="S44" i="28"/>
  <c r="S43" i="28"/>
  <c r="S42" i="28"/>
  <c r="S41" i="28"/>
  <c r="R40" i="28"/>
  <c r="Q40" i="28"/>
  <c r="P40" i="28"/>
  <c r="N40" i="11" s="1"/>
  <c r="O40" i="28"/>
  <c r="N40" i="28"/>
  <c r="M40" i="28"/>
  <c r="L40" i="28"/>
  <c r="K40" i="28"/>
  <c r="J40" i="28"/>
  <c r="I40" i="28"/>
  <c r="H40" i="28"/>
  <c r="G40" i="28"/>
  <c r="S39" i="28"/>
  <c r="S38" i="28"/>
  <c r="S37" i="28"/>
  <c r="S36" i="28"/>
  <c r="S35" i="28"/>
  <c r="S34" i="28"/>
  <c r="S33" i="28"/>
  <c r="S32" i="28"/>
  <c r="S31" i="28"/>
  <c r="T31" i="28" s="1"/>
  <c r="R30" i="28"/>
  <c r="Q30" i="28"/>
  <c r="P30" i="28"/>
  <c r="N30" i="11" s="1"/>
  <c r="O30" i="28"/>
  <c r="N30" i="28"/>
  <c r="M30" i="28"/>
  <c r="L30" i="28"/>
  <c r="K30" i="28"/>
  <c r="J30" i="28"/>
  <c r="I30" i="28"/>
  <c r="H30" i="28"/>
  <c r="G30" i="28"/>
  <c r="S28" i="28"/>
  <c r="S27" i="28"/>
  <c r="S26" i="28"/>
  <c r="S25" i="28"/>
  <c r="S24" i="28"/>
  <c r="S23" i="28"/>
  <c r="S22" i="28"/>
  <c r="S21" i="28"/>
  <c r="S20" i="28"/>
  <c r="R19" i="28"/>
  <c r="Q19" i="28"/>
  <c r="P19" i="28"/>
  <c r="N19" i="11" s="1"/>
  <c r="O19" i="28"/>
  <c r="N19" i="28"/>
  <c r="M19" i="28"/>
  <c r="L19" i="28"/>
  <c r="K19" i="28"/>
  <c r="J19" i="28"/>
  <c r="I19" i="28"/>
  <c r="H19" i="28"/>
  <c r="G19" i="28"/>
  <c r="S18" i="28"/>
  <c r="S17" i="28"/>
  <c r="S16" i="28"/>
  <c r="S15" i="28"/>
  <c r="S14" i="28"/>
  <c r="S13" i="28"/>
  <c r="S12" i="28"/>
  <c r="R11" i="28"/>
  <c r="R10" i="28" s="1"/>
  <c r="Q11" i="28"/>
  <c r="P11" i="28"/>
  <c r="N11" i="11" s="1"/>
  <c r="O11" i="28"/>
  <c r="N11" i="28"/>
  <c r="M11" i="28"/>
  <c r="L11" i="28"/>
  <c r="K11" i="28"/>
  <c r="J11" i="28"/>
  <c r="I11" i="28"/>
  <c r="H11" i="28"/>
  <c r="G11" i="28"/>
  <c r="G10" i="28" s="1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R5" i="28"/>
  <c r="Q5" i="28"/>
  <c r="P5" i="28"/>
  <c r="O5" i="28"/>
  <c r="N5" i="28"/>
  <c r="M5" i="28"/>
  <c r="L5" i="28"/>
  <c r="K5" i="28"/>
  <c r="J5" i="28"/>
  <c r="I5" i="28"/>
  <c r="H5" i="28"/>
  <c r="G5" i="28"/>
  <c r="O29" i="28" l="1"/>
  <c r="R29" i="28"/>
  <c r="R53" i="28" s="1"/>
  <c r="R54" i="28" s="1"/>
  <c r="N29" i="28"/>
  <c r="N142" i="28"/>
  <c r="M10" i="28"/>
  <c r="L29" i="28"/>
  <c r="J10" i="28"/>
  <c r="J29" i="28"/>
  <c r="K29" i="28"/>
  <c r="N10" i="28"/>
  <c r="T139" i="28"/>
  <c r="T138" i="28"/>
  <c r="T131" i="28"/>
  <c r="T116" i="28"/>
  <c r="T105" i="28"/>
  <c r="T106" i="28"/>
  <c r="T112" i="28"/>
  <c r="T114" i="28"/>
  <c r="T109" i="28"/>
  <c r="T111" i="28"/>
  <c r="T113" i="28"/>
  <c r="T115" i="28"/>
  <c r="T110" i="28"/>
  <c r="T108" i="28"/>
  <c r="T107" i="28"/>
  <c r="G29" i="28"/>
  <c r="T48" i="28"/>
  <c r="T20" i="28"/>
  <c r="H10" i="28"/>
  <c r="L10" i="28"/>
  <c r="P10" i="28"/>
  <c r="N10" i="11" s="1"/>
  <c r="S19" i="28"/>
  <c r="G19" i="11" s="1"/>
  <c r="K10" i="28"/>
  <c r="O10" i="28"/>
  <c r="T13" i="28"/>
  <c r="T15" i="28"/>
  <c r="T17" i="28"/>
  <c r="T23" i="28"/>
  <c r="G25" i="11"/>
  <c r="T35" i="28"/>
  <c r="T39" i="28"/>
  <c r="T14" i="28"/>
  <c r="T18" i="28"/>
  <c r="T22" i="28"/>
  <c r="T24" i="28"/>
  <c r="T32" i="28"/>
  <c r="T36" i="28"/>
  <c r="T50" i="28"/>
  <c r="T59" i="28"/>
  <c r="T64" i="28"/>
  <c r="I10" i="28"/>
  <c r="Q10" i="28"/>
  <c r="T26" i="28"/>
  <c r="T28" i="28"/>
  <c r="G31" i="11"/>
  <c r="T41" i="28"/>
  <c r="T43" i="28"/>
  <c r="T45" i="28"/>
  <c r="T47" i="28"/>
  <c r="T52" i="28"/>
  <c r="T65" i="28"/>
  <c r="G36" i="11"/>
  <c r="G23" i="11"/>
  <c r="T51" i="28"/>
  <c r="T56" i="28"/>
  <c r="T58" i="28"/>
  <c r="G48" i="11"/>
  <c r="G32" i="11"/>
  <c r="G20" i="11"/>
  <c r="T25" i="28"/>
  <c r="T27" i="28"/>
  <c r="T42" i="28"/>
  <c r="T44" i="28"/>
  <c r="T46" i="28"/>
  <c r="G44" i="11"/>
  <c r="G28" i="11"/>
  <c r="T21" i="28"/>
  <c r="T33" i="28"/>
  <c r="T37" i="28"/>
  <c r="T49" i="28"/>
  <c r="T63" i="28"/>
  <c r="T12" i="28"/>
  <c r="T16" i="28"/>
  <c r="T34" i="28"/>
  <c r="T38" i="28"/>
  <c r="T57" i="28"/>
  <c r="T62" i="28"/>
  <c r="G52" i="11"/>
  <c r="G37" i="11"/>
  <c r="G24" i="11"/>
  <c r="G14" i="11"/>
  <c r="G62" i="11"/>
  <c r="M62" i="11" s="1"/>
  <c r="G65" i="11"/>
  <c r="G64" i="11"/>
  <c r="G58" i="11"/>
  <c r="G56" i="11"/>
  <c r="G59" i="11"/>
  <c r="G57" i="11"/>
  <c r="M57" i="11" s="1"/>
  <c r="G45" i="11"/>
  <c r="G41" i="11"/>
  <c r="G51" i="11"/>
  <c r="G47" i="11"/>
  <c r="G43" i="11"/>
  <c r="G50" i="11"/>
  <c r="G46" i="11"/>
  <c r="G42" i="11"/>
  <c r="G33" i="11"/>
  <c r="G39" i="11"/>
  <c r="G35" i="11"/>
  <c r="G38" i="11"/>
  <c r="G34" i="11"/>
  <c r="G27" i="11"/>
  <c r="G26" i="11"/>
  <c r="G22" i="11"/>
  <c r="G21" i="11"/>
  <c r="G18" i="11"/>
  <c r="G17" i="11"/>
  <c r="G13" i="11"/>
  <c r="G16" i="11"/>
  <c r="G12" i="11"/>
  <c r="G15" i="11"/>
  <c r="S86" i="28"/>
  <c r="T86" i="28" s="1"/>
  <c r="S55" i="28"/>
  <c r="H29" i="28"/>
  <c r="P29" i="28"/>
  <c r="N29" i="11" s="1"/>
  <c r="I29" i="28"/>
  <c r="M29" i="28"/>
  <c r="Q29" i="28"/>
  <c r="S40" i="28"/>
  <c r="S11" i="28"/>
  <c r="S30" i="28"/>
  <c r="S87" i="28"/>
  <c r="T87" i="28" s="1"/>
  <c r="S10" i="28" l="1"/>
  <c r="N53" i="28"/>
  <c r="N54" i="28" s="1"/>
  <c r="O53" i="28"/>
  <c r="D12" i="1"/>
  <c r="O54" i="28"/>
  <c r="N137" i="28"/>
  <c r="J53" i="28"/>
  <c r="J54" i="28" s="1"/>
  <c r="M53" i="28"/>
  <c r="M60" i="28" s="1"/>
  <c r="L53" i="28"/>
  <c r="L54" i="28" s="1"/>
  <c r="K53" i="28"/>
  <c r="I53" i="28"/>
  <c r="I54" i="28" s="1"/>
  <c r="P53" i="28"/>
  <c r="H53" i="28"/>
  <c r="H54" i="28" s="1"/>
  <c r="D16" i="1"/>
  <c r="T19" i="28"/>
  <c r="G10" i="11"/>
  <c r="R60" i="28"/>
  <c r="R66" i="28" s="1"/>
  <c r="R61" i="28" s="1"/>
  <c r="Q53" i="28"/>
  <c r="Q60" i="28" s="1"/>
  <c r="Q66" i="28" s="1"/>
  <c r="Q61" i="28" s="1"/>
  <c r="G53" i="28"/>
  <c r="G54" i="28" s="1"/>
  <c r="T55" i="28"/>
  <c r="G55" i="11"/>
  <c r="T40" i="28"/>
  <c r="G40" i="11"/>
  <c r="T30" i="28"/>
  <c r="G30" i="11"/>
  <c r="T11" i="28"/>
  <c r="G11" i="11"/>
  <c r="S29" i="28"/>
  <c r="P54" i="28" l="1"/>
  <c r="N54" i="11" s="1"/>
  <c r="N53" i="11"/>
  <c r="D20" i="1" s="1"/>
  <c r="N60" i="28"/>
  <c r="O60" i="28"/>
  <c r="J60" i="28"/>
  <c r="J66" i="28" s="1"/>
  <c r="Q54" i="28"/>
  <c r="P60" i="28"/>
  <c r="N66" i="28"/>
  <c r="M54" i="28"/>
  <c r="M66" i="28"/>
  <c r="L60" i="28"/>
  <c r="K60" i="28"/>
  <c r="K54" i="28"/>
  <c r="I60" i="28"/>
  <c r="I66" i="28" s="1"/>
  <c r="H60" i="28"/>
  <c r="H66" i="28" s="1"/>
  <c r="T10" i="28"/>
  <c r="S53" i="28"/>
  <c r="S60" i="28" s="1"/>
  <c r="G60" i="28"/>
  <c r="G66" i="28" s="1"/>
  <c r="G61" i="28" s="1"/>
  <c r="T29" i="28"/>
  <c r="G29" i="11"/>
  <c r="S129" i="28"/>
  <c r="G19" i="26"/>
  <c r="H19" i="26"/>
  <c r="P66" i="28" l="1"/>
  <c r="N60" i="11"/>
  <c r="O66" i="28"/>
  <c r="S54" i="28"/>
  <c r="G54" i="11" s="1"/>
  <c r="N61" i="28"/>
  <c r="M61" i="28"/>
  <c r="L66" i="28"/>
  <c r="K66" i="28"/>
  <c r="J61" i="28"/>
  <c r="I61" i="28"/>
  <c r="T129" i="28"/>
  <c r="H61" i="28"/>
  <c r="T53" i="28"/>
  <c r="G53" i="11"/>
  <c r="G60" i="11"/>
  <c r="S130" i="28"/>
  <c r="S136" i="28"/>
  <c r="S66" i="28"/>
  <c r="T60" i="28"/>
  <c r="G55" i="26"/>
  <c r="P61" i="28" l="1"/>
  <c r="N61" i="11" s="1"/>
  <c r="N66" i="11"/>
  <c r="O61" i="28"/>
  <c r="T54" i="28"/>
  <c r="L61" i="28"/>
  <c r="K61" i="28"/>
  <c r="T136" i="28"/>
  <c r="T130" i="28"/>
  <c r="T66" i="28"/>
  <c r="G66" i="11"/>
  <c r="S142" i="28"/>
  <c r="I19" i="26"/>
  <c r="S61" i="28" l="1"/>
  <c r="T61" i="28" s="1"/>
  <c r="T142" i="28"/>
  <c r="S137" i="28"/>
  <c r="A142" i="27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P87" i="27"/>
  <c r="O87" i="27"/>
  <c r="N87" i="27"/>
  <c r="M87" i="27"/>
  <c r="M86" i="27" s="1"/>
  <c r="L87" i="27"/>
  <c r="L86" i="27" s="1"/>
  <c r="K87" i="27"/>
  <c r="J87" i="27"/>
  <c r="I87" i="27"/>
  <c r="H87" i="27"/>
  <c r="H86" i="27" s="1"/>
  <c r="G87" i="27"/>
  <c r="A87" i="27"/>
  <c r="P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G61" i="11" l="1"/>
  <c r="I29" i="27"/>
  <c r="I86" i="27"/>
  <c r="Q86" i="27"/>
  <c r="T137" i="28"/>
  <c r="M10" i="27"/>
  <c r="J105" i="27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I129" i="27" s="1"/>
  <c r="M105" i="27"/>
  <c r="M129" i="27" s="1"/>
  <c r="Q105" i="27"/>
  <c r="Q129" i="27" s="1"/>
  <c r="L10" i="27"/>
  <c r="L53" i="27" s="1"/>
  <c r="L54" i="27" s="1"/>
  <c r="R106" i="27"/>
  <c r="R105" i="27" s="1"/>
  <c r="R129" i="27" s="1"/>
  <c r="G105" i="27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S11" i="27"/>
  <c r="T11" i="27" s="1"/>
  <c r="S116" i="27"/>
  <c r="T116" i="27" s="1"/>
  <c r="S109" i="27"/>
  <c r="T109" i="27" s="1"/>
  <c r="L136" i="27" l="1"/>
  <c r="L142" i="27" s="1"/>
  <c r="L137" i="27" s="1"/>
  <c r="G129" i="27"/>
  <c r="J130" i="27"/>
  <c r="J136" i="27"/>
  <c r="J142" i="27" s="1"/>
  <c r="J137" i="27" s="1"/>
  <c r="G53" i="27"/>
  <c r="G60" i="27" s="1"/>
  <c r="N130" i="27"/>
  <c r="O53" i="27"/>
  <c r="O54" i="27" s="1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S53" i="27" l="1"/>
  <c r="O60" i="27"/>
  <c r="H66" i="27"/>
  <c r="H54" i="27"/>
  <c r="O130" i="27"/>
  <c r="S130" i="27" s="1"/>
  <c r="T130" i="27" s="1"/>
  <c r="O136" i="27"/>
  <c r="O142" i="27" s="1"/>
  <c r="O137" i="27" s="1"/>
  <c r="G66" i="27"/>
  <c r="G142" i="27"/>
  <c r="S60" i="27"/>
  <c r="T53" i="27"/>
  <c r="S59" i="11"/>
  <c r="P59" i="11"/>
  <c r="S136" i="27" l="1"/>
  <c r="T136" i="27" s="1"/>
  <c r="O66" i="27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J10" i="26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S65" i="11"/>
  <c r="G142" i="26" l="1"/>
  <c r="L66" i="26"/>
  <c r="K66" i="26"/>
  <c r="J66" i="26"/>
  <c r="H142" i="26"/>
  <c r="K137" i="26"/>
  <c r="S59" i="26"/>
  <c r="S65" i="26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P54" i="26"/>
  <c r="O54" i="26"/>
  <c r="T10" i="26"/>
  <c r="G12" i="1"/>
  <c r="H12" i="1" s="1"/>
  <c r="T105" i="26"/>
  <c r="Q130" i="26"/>
  <c r="M130" i="26"/>
  <c r="S129" i="26"/>
  <c r="T129" i="26" s="1"/>
  <c r="G11" i="2"/>
  <c r="R66" i="26" l="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M61" i="25" s="1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O55" i="20" l="1"/>
  <c r="L30" i="20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P29" i="20" l="1"/>
  <c r="I29" i="20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58" i="11"/>
  <c r="L58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E12" i="1" s="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I218" i="6"/>
  <c r="EJ218" i="6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Q218" i="6"/>
  <c r="ER218" i="6"/>
  <c r="ES218" i="6"/>
  <c r="ES217" i="6" s="1"/>
  <c r="ES216" i="6" s="1"/>
  <c r="ER217" i="6" l="1"/>
  <c r="ER216" i="6" s="1"/>
  <c r="EJ217" i="6"/>
  <c r="EJ216" i="6" s="1"/>
  <c r="EI217" i="6"/>
  <c r="EI216" i="6" s="1"/>
  <c r="EP217" i="6"/>
  <c r="EP216" i="6" s="1"/>
  <c r="EH217" i="6"/>
  <c r="EH216" i="6" s="1"/>
  <c r="EM217" i="6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8" s="1"/>
  <c r="G249" i="2"/>
  <c r="G243" i="2"/>
  <c r="R8" i="28" s="1"/>
  <c r="R84" i="28" s="1"/>
  <c r="G242" i="2"/>
  <c r="Q8" i="28" s="1"/>
  <c r="Q84" i="28" s="1"/>
  <c r="G241" i="2"/>
  <c r="G240" i="2"/>
  <c r="O8" i="28" s="1"/>
  <c r="O84" i="28" s="1"/>
  <c r="G239" i="2"/>
  <c r="N8" i="28" s="1"/>
  <c r="N84" i="28" s="1"/>
  <c r="G238" i="2"/>
  <c r="M8" i="28" s="1"/>
  <c r="M84" i="28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8" s="1"/>
  <c r="G7" i="2"/>
  <c r="E3" i="28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B11" i="28" l="1"/>
  <c r="B87" i="28"/>
  <c r="B15" i="28"/>
  <c r="B91" i="28"/>
  <c r="B19" i="28"/>
  <c r="B95" i="28"/>
  <c r="B23" i="28"/>
  <c r="B99" i="28"/>
  <c r="B25" i="28"/>
  <c r="B101" i="28"/>
  <c r="B64" i="28"/>
  <c r="B140" i="28"/>
  <c r="B63" i="28"/>
  <c r="B139" i="28"/>
  <c r="B31" i="28"/>
  <c r="B107" i="28"/>
  <c r="B40" i="28"/>
  <c r="B116" i="28"/>
  <c r="B55" i="28"/>
  <c r="B131" i="28"/>
  <c r="B50" i="28"/>
  <c r="B126" i="28"/>
  <c r="B49" i="28"/>
  <c r="B125" i="28"/>
  <c r="B53" i="28"/>
  <c r="B129" i="28"/>
  <c r="B61" i="28"/>
  <c r="B137" i="28"/>
  <c r="B83" i="27"/>
  <c r="B83" i="28"/>
  <c r="B12" i="28"/>
  <c r="B88" i="28"/>
  <c r="B16" i="28"/>
  <c r="B92" i="28"/>
  <c r="B20" i="28"/>
  <c r="B96" i="28"/>
  <c r="B24" i="28"/>
  <c r="B100" i="28"/>
  <c r="B29" i="28"/>
  <c r="B105" i="28"/>
  <c r="B34" i="28"/>
  <c r="B110" i="28"/>
  <c r="B41" i="28"/>
  <c r="B117" i="28"/>
  <c r="B42" i="28"/>
  <c r="B118" i="28"/>
  <c r="B45" i="28"/>
  <c r="B121" i="28"/>
  <c r="B46" i="28"/>
  <c r="B122" i="28"/>
  <c r="B54" i="28"/>
  <c r="B130" i="28"/>
  <c r="E2" i="27"/>
  <c r="E2" i="28"/>
  <c r="B10" i="28"/>
  <c r="B86" i="28"/>
  <c r="B13" i="28"/>
  <c r="B89" i="28"/>
  <c r="B17" i="28"/>
  <c r="B93" i="28"/>
  <c r="B21" i="28"/>
  <c r="B97" i="28"/>
  <c r="B26" i="28"/>
  <c r="B102" i="28"/>
  <c r="B28" i="28"/>
  <c r="B104" i="28"/>
  <c r="B32" i="28"/>
  <c r="B108" i="28"/>
  <c r="B33" i="28"/>
  <c r="B109" i="28"/>
  <c r="B37" i="28"/>
  <c r="B113" i="28"/>
  <c r="B38" i="28"/>
  <c r="B114" i="28"/>
  <c r="B39" i="28"/>
  <c r="B115" i="28"/>
  <c r="B48" i="28"/>
  <c r="B59" i="28"/>
  <c r="B124" i="28"/>
  <c r="B56" i="28"/>
  <c r="B132" i="28"/>
  <c r="B66" i="28"/>
  <c r="B142" i="28"/>
  <c r="S7" i="27"/>
  <c r="S83" i="27" s="1"/>
  <c r="S7" i="28"/>
  <c r="S83" i="28" s="1"/>
  <c r="B14" i="28"/>
  <c r="B90" i="28"/>
  <c r="B18" i="28"/>
  <c r="B94" i="28"/>
  <c r="B22" i="28"/>
  <c r="B98" i="28"/>
  <c r="B27" i="28"/>
  <c r="B103" i="28"/>
  <c r="B62" i="28"/>
  <c r="B138" i="28"/>
  <c r="B30" i="28"/>
  <c r="B106" i="28"/>
  <c r="B35" i="28"/>
  <c r="B111" i="28"/>
  <c r="B36" i="28"/>
  <c r="B112" i="28"/>
  <c r="B43" i="28"/>
  <c r="B119" i="28"/>
  <c r="B44" i="28"/>
  <c r="B120" i="28"/>
  <c r="B47" i="28"/>
  <c r="B123" i="28"/>
  <c r="B58" i="28"/>
  <c r="B134" i="28"/>
  <c r="B57" i="28"/>
  <c r="B133" i="28"/>
  <c r="B51" i="28"/>
  <c r="B127" i="28"/>
  <c r="B60" i="28"/>
  <c r="B136" i="28"/>
  <c r="B52" i="28"/>
  <c r="B128" i="28"/>
  <c r="P8" i="27"/>
  <c r="P84" i="27" s="1"/>
  <c r="P8" i="28"/>
  <c r="P84" i="28" s="1"/>
  <c r="CS350" i="6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8" l="1"/>
  <c r="S8" i="28"/>
  <c r="T9" i="27"/>
  <c r="T85" i="27" s="1"/>
  <c r="T9" i="28"/>
  <c r="T85" i="28" s="1"/>
  <c r="S84" i="27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54" i="26"/>
  <c r="G66" i="26" l="1"/>
  <c r="Q37" i="1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G61" i="26" l="1"/>
  <c r="T46" i="1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P30" i="11"/>
  <c r="T37" i="26" l="1"/>
  <c r="T50" i="26"/>
  <c r="P29" i="11"/>
  <c r="Q29" i="11"/>
  <c r="T44" i="26"/>
  <c r="T41" i="26"/>
  <c r="T34" i="26"/>
  <c r="H30" i="26"/>
  <c r="S32" i="26"/>
  <c r="T36" i="26"/>
  <c r="S46" i="26"/>
  <c r="I60" i="26"/>
  <c r="I54" i="26"/>
  <c r="H40" i="26"/>
  <c r="T38" i="26"/>
  <c r="T45" i="26"/>
  <c r="T39" i="26"/>
  <c r="T47" i="26"/>
  <c r="T33" i="26"/>
  <c r="T49" i="26"/>
  <c r="T35" i="26"/>
  <c r="T42" i="26"/>
  <c r="S40" i="26" l="1"/>
  <c r="I49" i="11"/>
  <c r="J49" i="11"/>
  <c r="M49" i="11"/>
  <c r="L49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T30" i="11" l="1"/>
  <c r="S30" i="11"/>
  <c r="T40" i="11"/>
  <c r="S40" i="11"/>
  <c r="I61" i="26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Q60" i="11"/>
  <c r="H53" i="26"/>
  <c r="S29" i="26"/>
  <c r="S29" i="11" l="1"/>
  <c r="E16" i="1" s="1"/>
  <c r="T29" i="11"/>
  <c r="J30" i="11"/>
  <c r="I30" i="11"/>
  <c r="L30" i="11"/>
  <c r="M30" i="11"/>
  <c r="T29" i="26"/>
  <c r="Q66" i="11"/>
  <c r="P66" i="11"/>
  <c r="H54" i="26"/>
  <c r="H60" i="26"/>
  <c r="S53" i="26"/>
  <c r="P61" i="11"/>
  <c r="Q61" i="11"/>
  <c r="S54" i="26" l="1"/>
  <c r="H66" i="26"/>
  <c r="S53" i="11"/>
  <c r="E20" i="1" s="1"/>
  <c r="T53" i="11"/>
  <c r="T54" i="26"/>
  <c r="S60" i="26"/>
  <c r="T53" i="26"/>
  <c r="G16" i="1"/>
  <c r="H16" i="1" s="1"/>
  <c r="M29" i="11"/>
  <c r="L29" i="11"/>
  <c r="J29" i="11"/>
  <c r="I29" i="11"/>
  <c r="S60" i="11" l="1"/>
  <c r="T60" i="11"/>
  <c r="T54" i="11"/>
  <c r="S54" i="11"/>
  <c r="H61" i="26"/>
  <c r="M54" i="11"/>
  <c r="L54" i="11"/>
  <c r="J54" i="11"/>
  <c r="I54" i="11"/>
  <c r="G20" i="1"/>
  <c r="H20" i="1" s="1"/>
  <c r="L53" i="11"/>
  <c r="M53" i="11"/>
  <c r="I53" i="11"/>
  <c r="J53" i="11"/>
  <c r="J61" i="11"/>
  <c r="I61" i="11"/>
  <c r="S66" i="26"/>
  <c r="T60" i="26"/>
  <c r="S61" i="26" l="1"/>
  <c r="T61" i="26" s="1"/>
  <c r="T66" i="11"/>
  <c r="S66" i="11"/>
  <c r="L60" i="11"/>
  <c r="M60" i="11"/>
  <c r="J60" i="11"/>
  <c r="I60" i="11"/>
  <c r="T66" i="26"/>
  <c r="L61" i="11" l="1"/>
  <c r="M61" i="11"/>
  <c r="T61" i="11"/>
  <c r="S61" i="11"/>
  <c r="L66" i="1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<sst xmlns="http://schemas.openxmlformats.org/spreadsheetml/2006/main" count="1910" uniqueCount="881">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</sst>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  <numFmt numFmtId="184" formatCode="#,##0.00000000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8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0" fontId="0" fillId="3" borderId="0" xfId="0" applyNumberFormat="1" applyFill="1" applyAlignment="1">
      <alignment vertical="center"/>
    </xf>
    <xf numFmtId="9" fontId="27" fillId="3" borderId="80" xfId="1" applyNumberFormat="1" applyFont="1" applyFill="1" applyBorder="1" applyAlignment="1" applyProtection="1">
      <alignment horizontal="center" vertical="center"/>
      <protection hidden="1"/>
    </xf>
    <xf numFmtId="184" fontId="0" fillId="3" borderId="0" xfId="0" applyNumberFormat="1" applyFill="1" applyAlignment="1">
      <alignment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3000000}"/>
    <cellStyle name="2 indents 2" xfId="112" xr:uid="{00000000-0005-0000-0000-000004000000}"/>
    <cellStyle name="2 indents 3" xfId="188" xr:uid="{00000000-0005-0000-0000-000005000000}"/>
    <cellStyle name="20% - Accent1" xfId="19" builtinId="30" customBuiltin="1"/>
    <cellStyle name="20% - Accent1 2" xfId="99" xr:uid="{00000000-0005-0000-0000-000007000000}"/>
    <cellStyle name="20% - Accent1 2 2" xfId="170" xr:uid="{00000000-0005-0000-0000-000008000000}"/>
    <cellStyle name="20% - Accent1 2 3" xfId="189" xr:uid="{00000000-0005-0000-0000-000009000000}"/>
    <cellStyle name="20% - Accent1 3" xfId="136" xr:uid="{00000000-0005-0000-0000-00000A000000}"/>
    <cellStyle name="20% - Accent2" xfId="23" builtinId="34" customBuiltin="1"/>
    <cellStyle name="20% - Accent2 2" xfId="101" xr:uid="{00000000-0005-0000-0000-00000C000000}"/>
    <cellStyle name="20% - Accent2 2 2" xfId="172" xr:uid="{00000000-0005-0000-0000-00000D000000}"/>
    <cellStyle name="20% - Accent2 2 3" xfId="190" xr:uid="{00000000-0005-0000-0000-00000E000000}"/>
    <cellStyle name="20% - Accent2 3" xfId="138" xr:uid="{00000000-0005-0000-0000-00000F000000}"/>
    <cellStyle name="20% - Accent3" xfId="27" builtinId="38" customBuiltin="1"/>
    <cellStyle name="20% - Accent3 2" xfId="103" xr:uid="{00000000-0005-0000-0000-000011000000}"/>
    <cellStyle name="20% - Accent3 2 2" xfId="174" xr:uid="{00000000-0005-0000-0000-000012000000}"/>
    <cellStyle name="20% - Accent3 2 3" xfId="191" xr:uid="{00000000-0005-0000-0000-000013000000}"/>
    <cellStyle name="20% - Accent3 3" xfId="140" xr:uid="{00000000-0005-0000-0000-000014000000}"/>
    <cellStyle name="20% - Accent4" xfId="31" builtinId="42" customBuiltin="1"/>
    <cellStyle name="20% - Accent4 2" xfId="105" xr:uid="{00000000-0005-0000-0000-000016000000}"/>
    <cellStyle name="20% - Accent4 2 2" xfId="176" xr:uid="{00000000-0005-0000-0000-000017000000}"/>
    <cellStyle name="20% - Accent4 2 3" xfId="192" xr:uid="{00000000-0005-0000-0000-000018000000}"/>
    <cellStyle name="20% - Accent4 3" xfId="142" xr:uid="{00000000-0005-0000-0000-000019000000}"/>
    <cellStyle name="20% - Accent5" xfId="35" builtinId="46" customBuiltin="1"/>
    <cellStyle name="20% - Accent5 2" xfId="107" xr:uid="{00000000-0005-0000-0000-00001B000000}"/>
    <cellStyle name="20% - Accent5 2 2" xfId="178" xr:uid="{00000000-0005-0000-0000-00001C000000}"/>
    <cellStyle name="20% - Accent5 2 3" xfId="193" xr:uid="{00000000-0005-0000-0000-00001D000000}"/>
    <cellStyle name="20% - Accent5 3" xfId="144" xr:uid="{00000000-0005-0000-0000-00001E000000}"/>
    <cellStyle name="20% - Accent6" xfId="39" builtinId="50" customBuiltin="1"/>
    <cellStyle name="20% - Accent6 2" xfId="109" xr:uid="{00000000-0005-0000-0000-000020000000}"/>
    <cellStyle name="20% - Accent6 2 2" xfId="180" xr:uid="{00000000-0005-0000-0000-000021000000}"/>
    <cellStyle name="20% - Accent6 2 3" xfId="194" xr:uid="{00000000-0005-0000-0000-000022000000}"/>
    <cellStyle name="20% - Accent6 3" xfId="146" xr:uid="{00000000-0005-0000-0000-000023000000}"/>
    <cellStyle name="3 indents" xfId="44" xr:uid="{00000000-0005-0000-0000-000024000000}"/>
    <cellStyle name="3 indents 2" xfId="113" xr:uid="{00000000-0005-0000-0000-000025000000}"/>
    <cellStyle name="3 indents 3" xfId="195" xr:uid="{00000000-0005-0000-0000-000026000000}"/>
    <cellStyle name="4 indents" xfId="45" xr:uid="{00000000-0005-0000-0000-000027000000}"/>
    <cellStyle name="4 indents 2" xfId="122" xr:uid="{00000000-0005-0000-0000-000028000000}"/>
    <cellStyle name="4 indents 3" xfId="196" xr:uid="{00000000-0005-0000-0000-000029000000}"/>
    <cellStyle name="40% - Accent1" xfId="20" builtinId="31" customBuiltin="1"/>
    <cellStyle name="40% - Accent1 2" xfId="100" xr:uid="{00000000-0005-0000-0000-00002B000000}"/>
    <cellStyle name="40% - Accent1 2 2" xfId="171" xr:uid="{00000000-0005-0000-0000-00002C000000}"/>
    <cellStyle name="40% - Accent1 2 3" xfId="197" xr:uid="{00000000-0005-0000-0000-00002D000000}"/>
    <cellStyle name="40% - Accent1 3" xfId="137" xr:uid="{00000000-0005-0000-0000-00002E000000}"/>
    <cellStyle name="40% - Accent2" xfId="24" builtinId="35" customBuiltin="1"/>
    <cellStyle name="40% - Accent2 2" xfId="102" xr:uid="{00000000-0005-0000-0000-000030000000}"/>
    <cellStyle name="40% - Accent2 2 2" xfId="173" xr:uid="{00000000-0005-0000-0000-000031000000}"/>
    <cellStyle name="40% - Accent2 2 3" xfId="198" xr:uid="{00000000-0005-0000-0000-000032000000}"/>
    <cellStyle name="40% - Accent2 3" xfId="139" xr:uid="{00000000-0005-0000-0000-000033000000}"/>
    <cellStyle name="40% - Accent3" xfId="28" builtinId="39" customBuiltin="1"/>
    <cellStyle name="40% - Accent3 2" xfId="104" xr:uid="{00000000-0005-0000-0000-000035000000}"/>
    <cellStyle name="40% - Accent3 2 2" xfId="175" xr:uid="{00000000-0005-0000-0000-000036000000}"/>
    <cellStyle name="40% - Accent3 2 3" xfId="199" xr:uid="{00000000-0005-0000-0000-000037000000}"/>
    <cellStyle name="40% - Accent3 3" xfId="141" xr:uid="{00000000-0005-0000-0000-000038000000}"/>
    <cellStyle name="40% - Accent4" xfId="32" builtinId="43" customBuiltin="1"/>
    <cellStyle name="40% - Accent4 2" xfId="106" xr:uid="{00000000-0005-0000-0000-00003A000000}"/>
    <cellStyle name="40% - Accent4 2 2" xfId="177" xr:uid="{00000000-0005-0000-0000-00003B000000}"/>
    <cellStyle name="40% - Accent4 2 3" xfId="200" xr:uid="{00000000-0005-0000-0000-00003C000000}"/>
    <cellStyle name="40% - Accent4 3" xfId="143" xr:uid="{00000000-0005-0000-0000-00003D000000}"/>
    <cellStyle name="40% - Accent5" xfId="36" builtinId="47" customBuiltin="1"/>
    <cellStyle name="40% - Accent5 2" xfId="108" xr:uid="{00000000-0005-0000-0000-00003F000000}"/>
    <cellStyle name="40% - Accent5 2 2" xfId="179" xr:uid="{00000000-0005-0000-0000-000040000000}"/>
    <cellStyle name="40% - Accent5 2 3" xfId="201" xr:uid="{00000000-0005-0000-0000-000041000000}"/>
    <cellStyle name="40% - Accent5 3" xfId="145" xr:uid="{00000000-0005-0000-0000-000042000000}"/>
    <cellStyle name="40% - Accent6" xfId="40" builtinId="51" customBuiltin="1"/>
    <cellStyle name="40% - Accent6 2" xfId="110" xr:uid="{00000000-0005-0000-0000-000044000000}"/>
    <cellStyle name="40% - Accent6 2 2" xfId="181" xr:uid="{00000000-0005-0000-0000-000045000000}"/>
    <cellStyle name="40% - Accent6 2 3" xfId="202" xr:uid="{00000000-0005-0000-0000-000046000000}"/>
    <cellStyle name="40% - Accent6 3" xfId="147" xr:uid="{00000000-0005-0000-0000-000047000000}"/>
    <cellStyle name="60% - Accent1" xfId="21" builtinId="32" customBuiltin="1"/>
    <cellStyle name="60% - Accent1 2" xfId="203" xr:uid="{00000000-0005-0000-0000-000049000000}"/>
    <cellStyle name="60% - Accent2" xfId="25" builtinId="36" customBuiltin="1"/>
    <cellStyle name="60% - Accent2 2" xfId="204" xr:uid="{00000000-0005-0000-0000-00004B000000}"/>
    <cellStyle name="60% - Accent3" xfId="29" builtinId="40" customBuiltin="1"/>
    <cellStyle name="60% - Accent3 2" xfId="205" xr:uid="{00000000-0005-0000-0000-00004D000000}"/>
    <cellStyle name="60% - Accent4" xfId="33" builtinId="44" customBuiltin="1"/>
    <cellStyle name="60% - Accent4 2" xfId="206" xr:uid="{00000000-0005-0000-0000-00004F000000}"/>
    <cellStyle name="60% - Accent5" xfId="37" builtinId="48" customBuiltin="1"/>
    <cellStyle name="60% - Accent5 2" xfId="207" xr:uid="{00000000-0005-0000-0000-000051000000}"/>
    <cellStyle name="60% - Accent6" xfId="41" builtinId="52" customBuiltin="1"/>
    <cellStyle name="60% - Accent6 2" xfId="208" xr:uid="{00000000-0005-0000-0000-000053000000}"/>
    <cellStyle name="Accent1" xfId="18" builtinId="29" customBuiltin="1"/>
    <cellStyle name="Accent1 2" xfId="209" xr:uid="{00000000-0005-0000-0000-000055000000}"/>
    <cellStyle name="Accent2" xfId="22" builtinId="33" customBuiltin="1"/>
    <cellStyle name="Accent2 2" xfId="210" xr:uid="{00000000-0005-0000-0000-000057000000}"/>
    <cellStyle name="Accent3" xfId="26" builtinId="37" customBuiltin="1"/>
    <cellStyle name="Accent3 2" xfId="211" xr:uid="{00000000-0005-0000-0000-000059000000}"/>
    <cellStyle name="Accent4" xfId="30" builtinId="41" customBuiltin="1"/>
    <cellStyle name="Accent4 2" xfId="212" xr:uid="{00000000-0005-0000-0000-00005B000000}"/>
    <cellStyle name="Accent5" xfId="34" builtinId="45" customBuiltin="1"/>
    <cellStyle name="Accent5 2" xfId="213" xr:uid="{00000000-0005-0000-0000-00005D000000}"/>
    <cellStyle name="Accent6" xfId="38" builtinId="49" customBuiltin="1"/>
    <cellStyle name="Accent6 2" xfId="214" xr:uid="{00000000-0005-0000-0000-00005F000000}"/>
    <cellStyle name="Bad" xfId="8" builtinId="27" customBuiltin="1"/>
    <cellStyle name="Bad 2" xfId="78" xr:uid="{00000000-0005-0000-0000-000061000000}"/>
    <cellStyle name="Bad 2 2" xfId="215" xr:uid="{00000000-0005-0000-0000-000062000000}"/>
    <cellStyle name="Calculation" xfId="12" builtinId="22" customBuiltin="1"/>
    <cellStyle name="Calculation 2" xfId="216" xr:uid="{00000000-0005-0000-0000-000064000000}"/>
    <cellStyle name="Check Cell" xfId="14" builtinId="23" customBuiltin="1"/>
    <cellStyle name="Check Cell 2" xfId="217" xr:uid="{00000000-0005-0000-0000-000066000000}"/>
    <cellStyle name="Comma" xfId="130" builtinId="3"/>
    <cellStyle name="Comma 2" xfId="185" xr:uid="{00000000-0005-0000-0000-000068000000}"/>
    <cellStyle name="Comma 2 2" xfId="298" xr:uid="{00000000-0005-0000-0000-000069000000}"/>
    <cellStyle name="Comma 2 3" xfId="219" xr:uid="{00000000-0005-0000-0000-00006A000000}"/>
    <cellStyle name="Comma 3" xfId="297" xr:uid="{00000000-0005-0000-0000-00006B000000}"/>
    <cellStyle name="Comma 4" xfId="218" xr:uid="{00000000-0005-0000-0000-00006C000000}"/>
    <cellStyle name="Currency" xfId="131" builtinId="4"/>
    <cellStyle name="Date" xfId="46" xr:uid="{00000000-0005-0000-0000-00006E000000}"/>
    <cellStyle name="Excel Built-in Normal" xfId="220" xr:uid="{00000000-0005-0000-0000-00006F000000}"/>
    <cellStyle name="Excel Built-in Normal 2" xfId="221" xr:uid="{00000000-0005-0000-0000-000070000000}"/>
    <cellStyle name="Excel Built-in Normal 2 2" xfId="222" xr:uid="{00000000-0005-0000-0000-000071000000}"/>
    <cellStyle name="Excel Built-in Normal 2 3" xfId="223" xr:uid="{00000000-0005-0000-0000-000072000000}"/>
    <cellStyle name="Explanatory Text" xfId="16" builtinId="53" customBuiltin="1"/>
    <cellStyle name="Explanatory Text 2" xfId="224" xr:uid="{00000000-0005-0000-0000-000074000000}"/>
    <cellStyle name="F2" xfId="47" xr:uid="{00000000-0005-0000-0000-000075000000}"/>
    <cellStyle name="F3" xfId="48" xr:uid="{00000000-0005-0000-0000-000076000000}"/>
    <cellStyle name="F4" xfId="49" xr:uid="{00000000-0005-0000-0000-000077000000}"/>
    <cellStyle name="F5" xfId="50" xr:uid="{00000000-0005-0000-0000-000078000000}"/>
    <cellStyle name="F6" xfId="51" xr:uid="{00000000-0005-0000-0000-000079000000}"/>
    <cellStyle name="F7" xfId="52" xr:uid="{00000000-0005-0000-0000-00007A000000}"/>
    <cellStyle name="F8" xfId="53" xr:uid="{00000000-0005-0000-0000-00007B000000}"/>
    <cellStyle name="Fixed" xfId="54" xr:uid="{00000000-0005-0000-0000-00007C000000}"/>
    <cellStyle name="Good" xfId="7" builtinId="26" customBuiltin="1"/>
    <cellStyle name="Good 2" xfId="225" xr:uid="{00000000-0005-0000-0000-00007E000000}"/>
    <cellStyle name="Heading 1" xfId="3" builtinId="16" customBuiltin="1"/>
    <cellStyle name="Heading 1 2" xfId="226" xr:uid="{00000000-0005-0000-0000-000080000000}"/>
    <cellStyle name="Heading 2" xfId="4" builtinId="17" customBuiltin="1"/>
    <cellStyle name="Heading 2 2" xfId="227" xr:uid="{00000000-0005-0000-0000-000082000000}"/>
    <cellStyle name="Heading 3" xfId="5" builtinId="18" customBuiltin="1"/>
    <cellStyle name="Heading 3 2" xfId="228" xr:uid="{00000000-0005-0000-0000-000084000000}"/>
    <cellStyle name="Heading 4" xfId="6" builtinId="19" customBuiltin="1"/>
    <cellStyle name="Heading 4 2" xfId="229" xr:uid="{00000000-0005-0000-0000-000086000000}"/>
    <cellStyle name="HEADING1" xfId="55" xr:uid="{00000000-0005-0000-0000-000087000000}"/>
    <cellStyle name="HEADING2" xfId="56" xr:uid="{00000000-0005-0000-0000-000088000000}"/>
    <cellStyle name="imf-one decimal" xfId="57" xr:uid="{00000000-0005-0000-0000-000089000000}"/>
    <cellStyle name="imf-one decimal 2" xfId="114" xr:uid="{00000000-0005-0000-0000-00008A000000}"/>
    <cellStyle name="imf-one decimal 3" xfId="230" xr:uid="{00000000-0005-0000-0000-00008B000000}"/>
    <cellStyle name="imf-zero decimal" xfId="58" xr:uid="{00000000-0005-0000-0000-00008C000000}"/>
    <cellStyle name="imf-zero decimal 2" xfId="115" xr:uid="{00000000-0005-0000-0000-00008D000000}"/>
    <cellStyle name="imf-zero decimal 3" xfId="231" xr:uid="{00000000-0005-0000-0000-00008E000000}"/>
    <cellStyle name="Input" xfId="10" builtinId="20" customBuiltin="1"/>
    <cellStyle name="Input 2" xfId="232" xr:uid="{00000000-0005-0000-0000-000090000000}"/>
    <cellStyle name="Label" xfId="59" xr:uid="{00000000-0005-0000-0000-000091000000}"/>
    <cellStyle name="Label 2" xfId="233" xr:uid="{00000000-0005-0000-0000-000092000000}"/>
    <cellStyle name="Linked Cell" xfId="13" builtinId="24" customBuiltin="1"/>
    <cellStyle name="Linked Cell 2" xfId="234" xr:uid="{00000000-0005-0000-0000-000094000000}"/>
    <cellStyle name="Neutral" xfId="9" builtinId="28" customBuiltin="1"/>
    <cellStyle name="Neutral 2" xfId="235" xr:uid="{00000000-0005-0000-0000-000096000000}"/>
    <cellStyle name="Normal" xfId="0" builtinId="0"/>
    <cellStyle name="Normal - Style1" xfId="60" xr:uid="{00000000-0005-0000-0000-000098000000}"/>
    <cellStyle name="Normal - Style2" xfId="61" xr:uid="{00000000-0005-0000-0000-000099000000}"/>
    <cellStyle name="Normal - Style3" xfId="62" xr:uid="{00000000-0005-0000-0000-00009A000000}"/>
    <cellStyle name="Normal 10" xfId="74" xr:uid="{00000000-0005-0000-0000-00009B000000}"/>
    <cellStyle name="Normal 10 2" xfId="154" xr:uid="{00000000-0005-0000-0000-00009C000000}"/>
    <cellStyle name="Normal 10 2 2" xfId="322" xr:uid="{00000000-0005-0000-0000-00009D000000}"/>
    <cellStyle name="Normal 10 2 2 2" xfId="346" xr:uid="{00000000-0005-0000-0000-00009E000000}"/>
    <cellStyle name="Normal 10 2 2 3" xfId="370" xr:uid="{00000000-0005-0000-0000-00009F000000}"/>
    <cellStyle name="Normal 10 2 3" xfId="334" xr:uid="{00000000-0005-0000-0000-0000A0000000}"/>
    <cellStyle name="Normal 10 2 4" xfId="358" xr:uid="{00000000-0005-0000-0000-0000A1000000}"/>
    <cellStyle name="Normal 10 2 5" xfId="310" xr:uid="{00000000-0005-0000-0000-0000A2000000}"/>
    <cellStyle name="Normal 10 3" xfId="316" xr:uid="{00000000-0005-0000-0000-0000A3000000}"/>
    <cellStyle name="Normal 10 3 2" xfId="340" xr:uid="{00000000-0005-0000-0000-0000A4000000}"/>
    <cellStyle name="Normal 10 3 3" xfId="364" xr:uid="{00000000-0005-0000-0000-0000A5000000}"/>
    <cellStyle name="Normal 10 4" xfId="328" xr:uid="{00000000-0005-0000-0000-0000A6000000}"/>
    <cellStyle name="Normal 10 5" xfId="352" xr:uid="{00000000-0005-0000-0000-0000A7000000}"/>
    <cellStyle name="Normal 10 6" xfId="293" xr:uid="{00000000-0005-0000-0000-0000A8000000}"/>
    <cellStyle name="Normal 11" xfId="75" xr:uid="{00000000-0005-0000-0000-0000A9000000}"/>
    <cellStyle name="Normal 11 2" xfId="155" xr:uid="{00000000-0005-0000-0000-0000AA000000}"/>
    <cellStyle name="Normal 11 2 2" xfId="323" xr:uid="{00000000-0005-0000-0000-0000AB000000}"/>
    <cellStyle name="Normal 11 2 2 2" xfId="347" xr:uid="{00000000-0005-0000-0000-0000AC000000}"/>
    <cellStyle name="Normal 11 2 2 3" xfId="371" xr:uid="{00000000-0005-0000-0000-0000AD000000}"/>
    <cellStyle name="Normal 11 2 3" xfId="335" xr:uid="{00000000-0005-0000-0000-0000AE000000}"/>
    <cellStyle name="Normal 11 2 4" xfId="359" xr:uid="{00000000-0005-0000-0000-0000AF000000}"/>
    <cellStyle name="Normal 11 2 5" xfId="311" xr:uid="{00000000-0005-0000-0000-0000B0000000}"/>
    <cellStyle name="Normal 11 3" xfId="317" xr:uid="{00000000-0005-0000-0000-0000B1000000}"/>
    <cellStyle name="Normal 11 3 2" xfId="341" xr:uid="{00000000-0005-0000-0000-0000B2000000}"/>
    <cellStyle name="Normal 11 3 3" xfId="365" xr:uid="{00000000-0005-0000-0000-0000B3000000}"/>
    <cellStyle name="Normal 11 4" xfId="329" xr:uid="{00000000-0005-0000-0000-0000B4000000}"/>
    <cellStyle name="Normal 11 5" xfId="353" xr:uid="{00000000-0005-0000-0000-0000B5000000}"/>
    <cellStyle name="Normal 11 6" xfId="294" xr:uid="{00000000-0005-0000-0000-0000B6000000}"/>
    <cellStyle name="Normal 12" xfId="76" xr:uid="{00000000-0005-0000-0000-0000B7000000}"/>
    <cellStyle name="Normal 12 2" xfId="156" xr:uid="{00000000-0005-0000-0000-0000B8000000}"/>
    <cellStyle name="Normal 12 2 2" xfId="324" xr:uid="{00000000-0005-0000-0000-0000B9000000}"/>
    <cellStyle name="Normal 12 2 2 2" xfId="348" xr:uid="{00000000-0005-0000-0000-0000BA000000}"/>
    <cellStyle name="Normal 12 2 2 3" xfId="372" xr:uid="{00000000-0005-0000-0000-0000BB000000}"/>
    <cellStyle name="Normal 12 2 3" xfId="336" xr:uid="{00000000-0005-0000-0000-0000BC000000}"/>
    <cellStyle name="Normal 12 2 4" xfId="360" xr:uid="{00000000-0005-0000-0000-0000BD000000}"/>
    <cellStyle name="Normal 12 2 5" xfId="312" xr:uid="{00000000-0005-0000-0000-0000BE000000}"/>
    <cellStyle name="Normal 12 3" xfId="318" xr:uid="{00000000-0005-0000-0000-0000BF000000}"/>
    <cellStyle name="Normal 12 3 2" xfId="342" xr:uid="{00000000-0005-0000-0000-0000C0000000}"/>
    <cellStyle name="Normal 12 3 3" xfId="366" xr:uid="{00000000-0005-0000-0000-0000C1000000}"/>
    <cellStyle name="Normal 12 4" xfId="330" xr:uid="{00000000-0005-0000-0000-0000C2000000}"/>
    <cellStyle name="Normal 12 5" xfId="354" xr:uid="{00000000-0005-0000-0000-0000C3000000}"/>
    <cellStyle name="Normal 12 6" xfId="295" xr:uid="{00000000-0005-0000-0000-0000C4000000}"/>
    <cellStyle name="Normal 13" xfId="77" xr:uid="{00000000-0005-0000-0000-0000C5000000}"/>
    <cellStyle name="Normal 14" xfId="86" xr:uid="{00000000-0005-0000-0000-0000C6000000}"/>
    <cellStyle name="Normal 14 2" xfId="157" xr:uid="{00000000-0005-0000-0000-0000C7000000}"/>
    <cellStyle name="Normal 14 2 2" xfId="325" xr:uid="{00000000-0005-0000-0000-0000C8000000}"/>
    <cellStyle name="Normal 14 2 2 2" xfId="349" xr:uid="{00000000-0005-0000-0000-0000C9000000}"/>
    <cellStyle name="Normal 14 2 2 3" xfId="373" xr:uid="{00000000-0005-0000-0000-0000CA000000}"/>
    <cellStyle name="Normal 14 2 3" xfId="337" xr:uid="{00000000-0005-0000-0000-0000CB000000}"/>
    <cellStyle name="Normal 14 2 4" xfId="361" xr:uid="{00000000-0005-0000-0000-0000CC000000}"/>
    <cellStyle name="Normal 14 2 5" xfId="313" xr:uid="{00000000-0005-0000-0000-0000CD000000}"/>
    <cellStyle name="Normal 14 3" xfId="319" xr:uid="{00000000-0005-0000-0000-0000CE000000}"/>
    <cellStyle name="Normal 14 3 2" xfId="343" xr:uid="{00000000-0005-0000-0000-0000CF000000}"/>
    <cellStyle name="Normal 14 3 3" xfId="367" xr:uid="{00000000-0005-0000-0000-0000D0000000}"/>
    <cellStyle name="Normal 14 4" xfId="331" xr:uid="{00000000-0005-0000-0000-0000D1000000}"/>
    <cellStyle name="Normal 14 5" xfId="355" xr:uid="{00000000-0005-0000-0000-0000D2000000}"/>
    <cellStyle name="Normal 14 6" xfId="296" xr:uid="{00000000-0005-0000-0000-0000D3000000}"/>
    <cellStyle name="Normal 15" xfId="88" xr:uid="{00000000-0005-0000-0000-0000D4000000}"/>
    <cellStyle name="Normal 15 2" xfId="159" xr:uid="{00000000-0005-0000-0000-0000D5000000}"/>
    <cellStyle name="Normal 16" xfId="92" xr:uid="{00000000-0005-0000-0000-0000D6000000}"/>
    <cellStyle name="Normal 16 2" xfId="116" xr:uid="{00000000-0005-0000-0000-0000D7000000}"/>
    <cellStyle name="Normal 16 2 2" xfId="182" xr:uid="{00000000-0005-0000-0000-0000D8000000}"/>
    <cellStyle name="Normal 16 3" xfId="163" xr:uid="{00000000-0005-0000-0000-0000D9000000}"/>
    <cellStyle name="Normal 16 3 2" xfId="300" xr:uid="{00000000-0005-0000-0000-0000DA000000}"/>
    <cellStyle name="Normal 16 4" xfId="299" xr:uid="{00000000-0005-0000-0000-0000DB000000}"/>
    <cellStyle name="Normal 17" xfId="94" xr:uid="{00000000-0005-0000-0000-0000DC000000}"/>
    <cellStyle name="Normal 17 2" xfId="117" xr:uid="{00000000-0005-0000-0000-0000DD000000}"/>
    <cellStyle name="Normal 17 2 2" xfId="183" xr:uid="{00000000-0005-0000-0000-0000DE000000}"/>
    <cellStyle name="Normal 17 3" xfId="165" xr:uid="{00000000-0005-0000-0000-0000DF000000}"/>
    <cellStyle name="Normal 17 3 2" xfId="302" xr:uid="{00000000-0005-0000-0000-0000E0000000}"/>
    <cellStyle name="Normal 17 4" xfId="301" xr:uid="{00000000-0005-0000-0000-0000E1000000}"/>
    <cellStyle name="Normal 18" xfId="95" xr:uid="{00000000-0005-0000-0000-0000E2000000}"/>
    <cellStyle name="Normal 18 2" xfId="166" xr:uid="{00000000-0005-0000-0000-0000E3000000}"/>
    <cellStyle name="Normal 19" xfId="90" xr:uid="{00000000-0005-0000-0000-0000E4000000}"/>
    <cellStyle name="Normal 19 2" xfId="118" xr:uid="{00000000-0005-0000-0000-0000E5000000}"/>
    <cellStyle name="Normal 19 2 2" xfId="184" xr:uid="{00000000-0005-0000-0000-0000E6000000}"/>
    <cellStyle name="Normal 19 3" xfId="161" xr:uid="{00000000-0005-0000-0000-0000E7000000}"/>
    <cellStyle name="Normal 19 3 2" xfId="304" xr:uid="{00000000-0005-0000-0000-0000E8000000}"/>
    <cellStyle name="Normal 19 4" xfId="303" xr:uid="{00000000-0005-0000-0000-0000E9000000}"/>
    <cellStyle name="Normal 2" xfId="63" xr:uid="{00000000-0005-0000-0000-0000EA000000}"/>
    <cellStyle name="Normal 2 10" xfId="237" xr:uid="{00000000-0005-0000-0000-0000EB000000}"/>
    <cellStyle name="Normal 2 10 2" xfId="306" xr:uid="{00000000-0005-0000-0000-0000EC000000}"/>
    <cellStyle name="Normal 2 11" xfId="305" xr:uid="{00000000-0005-0000-0000-0000ED000000}"/>
    <cellStyle name="Normal 2 12" xfId="236" xr:uid="{00000000-0005-0000-0000-0000EE000000}"/>
    <cellStyle name="Normal 2 2" xfId="2" xr:uid="{00000000-0005-0000-0000-0000EF000000}"/>
    <cellStyle name="Normal 2 2 2" xfId="239" xr:uid="{00000000-0005-0000-0000-0000F0000000}"/>
    <cellStyle name="Normal 2 2 3" xfId="240" xr:uid="{00000000-0005-0000-0000-0000F1000000}"/>
    <cellStyle name="Normal 2 2 4" xfId="238" xr:uid="{00000000-0005-0000-0000-0000F2000000}"/>
    <cellStyle name="Normal 2 3" xfId="133" xr:uid="{00000000-0005-0000-0000-0000F3000000}"/>
    <cellStyle name="Normal 2 3 2" xfId="242" xr:uid="{00000000-0005-0000-0000-0000F4000000}"/>
    <cellStyle name="Normal 2 3 3" xfId="243" xr:uid="{00000000-0005-0000-0000-0000F5000000}"/>
    <cellStyle name="Normal 2 3 4" xfId="241" xr:uid="{00000000-0005-0000-0000-0000F6000000}"/>
    <cellStyle name="Normal 2 4" xfId="244" xr:uid="{00000000-0005-0000-0000-0000F7000000}"/>
    <cellStyle name="Normal 2 4 2" xfId="245" xr:uid="{00000000-0005-0000-0000-0000F8000000}"/>
    <cellStyle name="Normal 2 4 3" xfId="246" xr:uid="{00000000-0005-0000-0000-0000F9000000}"/>
    <cellStyle name="Normal 2 5" xfId="247" xr:uid="{00000000-0005-0000-0000-0000FA000000}"/>
    <cellStyle name="Normal 2 5 2" xfId="248" xr:uid="{00000000-0005-0000-0000-0000FB000000}"/>
    <cellStyle name="Normal 2 5 3" xfId="249" xr:uid="{00000000-0005-0000-0000-0000FC000000}"/>
    <cellStyle name="Normal 2 6" xfId="250" xr:uid="{00000000-0005-0000-0000-0000FD000000}"/>
    <cellStyle name="Normal 2 6 2" xfId="251" xr:uid="{00000000-0005-0000-0000-0000FE000000}"/>
    <cellStyle name="Normal 2 6 3" xfId="252" xr:uid="{00000000-0005-0000-0000-0000FF000000}"/>
    <cellStyle name="Normal 2 7" xfId="253" xr:uid="{00000000-0005-0000-0000-000000010000}"/>
    <cellStyle name="Normal 2 7 2" xfId="254" xr:uid="{00000000-0005-0000-0000-000001010000}"/>
    <cellStyle name="Normal 2 7 3" xfId="255" xr:uid="{00000000-0005-0000-0000-000002010000}"/>
    <cellStyle name="Normal 2 8" xfId="256" xr:uid="{00000000-0005-0000-0000-000003010000}"/>
    <cellStyle name="Normal 2 8 2" xfId="257" xr:uid="{00000000-0005-0000-0000-000004010000}"/>
    <cellStyle name="Normal 2 8 3" xfId="258" xr:uid="{00000000-0005-0000-0000-000005010000}"/>
    <cellStyle name="Normal 2 9" xfId="259" xr:uid="{00000000-0005-0000-0000-000006010000}"/>
    <cellStyle name="Normal 2 9 2" xfId="307" xr:uid="{00000000-0005-0000-0000-000007010000}"/>
    <cellStyle name="Normal 20" xfId="89" xr:uid="{00000000-0005-0000-0000-000008010000}"/>
    <cellStyle name="Normal 20 2" xfId="160" xr:uid="{00000000-0005-0000-0000-000009010000}"/>
    <cellStyle name="Normal 21" xfId="91" xr:uid="{00000000-0005-0000-0000-00000A010000}"/>
    <cellStyle name="Normal 21 2" xfId="162" xr:uid="{00000000-0005-0000-0000-00000B010000}"/>
    <cellStyle name="Normal 22" xfId="93" xr:uid="{00000000-0005-0000-0000-00000C010000}"/>
    <cellStyle name="Normal 22 2" xfId="164" xr:uid="{00000000-0005-0000-0000-00000D010000}"/>
    <cellStyle name="Normal 23" xfId="96" xr:uid="{00000000-0005-0000-0000-00000E010000}"/>
    <cellStyle name="Normal 23 2" xfId="167" xr:uid="{00000000-0005-0000-0000-00000F010000}"/>
    <cellStyle name="Normal 24" xfId="97" xr:uid="{00000000-0005-0000-0000-000010010000}"/>
    <cellStyle name="Normal 24 2" xfId="168" xr:uid="{00000000-0005-0000-0000-000011010000}"/>
    <cellStyle name="Normal 25" xfId="82" xr:uid="{00000000-0005-0000-0000-000012010000}"/>
    <cellStyle name="Normal 26" xfId="124" xr:uid="{00000000-0005-0000-0000-000013010000}"/>
    <cellStyle name="Normal 27" xfId="81" xr:uid="{00000000-0005-0000-0000-000014010000}"/>
    <cellStyle name="Normal 28" xfId="85" xr:uid="{00000000-0005-0000-0000-000015010000}"/>
    <cellStyle name="Normal 29" xfId="129" xr:uid="{00000000-0005-0000-0000-000016010000}"/>
    <cellStyle name="Normal 3" xfId="67" xr:uid="{00000000-0005-0000-0000-000017010000}"/>
    <cellStyle name="Normal 3 2" xfId="260" xr:uid="{00000000-0005-0000-0000-000018010000}"/>
    <cellStyle name="Normal 3 2 2" xfId="261" xr:uid="{00000000-0005-0000-0000-000019010000}"/>
    <cellStyle name="Normal 3 2 3" xfId="262" xr:uid="{00000000-0005-0000-0000-00001A010000}"/>
    <cellStyle name="Normal 3 3" xfId="263" xr:uid="{00000000-0005-0000-0000-00001B010000}"/>
    <cellStyle name="Normal 3 3 2" xfId="264" xr:uid="{00000000-0005-0000-0000-00001C010000}"/>
    <cellStyle name="Normal 3 3 3" xfId="265" xr:uid="{00000000-0005-0000-0000-00001D010000}"/>
    <cellStyle name="Normal 3 4" xfId="266" xr:uid="{00000000-0005-0000-0000-00001E010000}"/>
    <cellStyle name="Normal 3 4 2" xfId="267" xr:uid="{00000000-0005-0000-0000-00001F010000}"/>
    <cellStyle name="Normal 3 4 3" xfId="268" xr:uid="{00000000-0005-0000-0000-000020010000}"/>
    <cellStyle name="Normal 3 5" xfId="269" xr:uid="{00000000-0005-0000-0000-000021010000}"/>
    <cellStyle name="Normal 3 5 2" xfId="270" xr:uid="{00000000-0005-0000-0000-000022010000}"/>
    <cellStyle name="Normal 3 5 3" xfId="271" xr:uid="{00000000-0005-0000-0000-000023010000}"/>
    <cellStyle name="Normal 3 6" xfId="272" xr:uid="{00000000-0005-0000-0000-000024010000}"/>
    <cellStyle name="Normal 3 6 2" xfId="273" xr:uid="{00000000-0005-0000-0000-000025010000}"/>
    <cellStyle name="Normal 3 6 3" xfId="274" xr:uid="{00000000-0005-0000-0000-000026010000}"/>
    <cellStyle name="Normal 3 7" xfId="275" xr:uid="{00000000-0005-0000-0000-000027010000}"/>
    <cellStyle name="Normal 3 7 2" xfId="276" xr:uid="{00000000-0005-0000-0000-000028010000}"/>
    <cellStyle name="Normal 3 7 3" xfId="277" xr:uid="{00000000-0005-0000-0000-000029010000}"/>
    <cellStyle name="Normal 3 8" xfId="278" xr:uid="{00000000-0005-0000-0000-00002A010000}"/>
    <cellStyle name="Normal 3 8 2" xfId="279" xr:uid="{00000000-0005-0000-0000-00002B010000}"/>
    <cellStyle name="Normal 3 8 3" xfId="280" xr:uid="{00000000-0005-0000-0000-00002C010000}"/>
    <cellStyle name="Normal 30" xfId="125" xr:uid="{00000000-0005-0000-0000-00002D010000}"/>
    <cellStyle name="Normal 31" xfId="80" xr:uid="{00000000-0005-0000-0000-00002E010000}"/>
    <cellStyle name="Normal 32" xfId="128" xr:uid="{00000000-0005-0000-0000-00002F010000}"/>
    <cellStyle name="Normal 33" xfId="127" xr:uid="{00000000-0005-0000-0000-000030010000}"/>
    <cellStyle name="Normal 34" xfId="126" xr:uid="{00000000-0005-0000-0000-000031010000}"/>
    <cellStyle name="Normal 35" xfId="83" xr:uid="{00000000-0005-0000-0000-000032010000}"/>
    <cellStyle name="Normal 36" xfId="84" xr:uid="{00000000-0005-0000-0000-000033010000}"/>
    <cellStyle name="Normal 37" xfId="132" xr:uid="{00000000-0005-0000-0000-000034010000}"/>
    <cellStyle name="Normal 38" xfId="134" xr:uid="{00000000-0005-0000-0000-000035010000}"/>
    <cellStyle name="Normal 39" xfId="135" xr:uid="{00000000-0005-0000-0000-000036010000}"/>
    <cellStyle name="Normal 4" xfId="68" xr:uid="{00000000-0005-0000-0000-000037010000}"/>
    <cellStyle name="Normal 4 2" xfId="119" xr:uid="{00000000-0005-0000-0000-000038010000}"/>
    <cellStyle name="Normal 4 2 2" xfId="282" xr:uid="{00000000-0005-0000-0000-000039010000}"/>
    <cellStyle name="Normal 4 3" xfId="148" xr:uid="{00000000-0005-0000-0000-00003A010000}"/>
    <cellStyle name="Normal 4 3 2" xfId="283" xr:uid="{00000000-0005-0000-0000-00003B010000}"/>
    <cellStyle name="Normal 4 4" xfId="281" xr:uid="{00000000-0005-0000-0000-00003C010000}"/>
    <cellStyle name="Normal 40" xfId="186" xr:uid="{00000000-0005-0000-0000-00003D010000}"/>
    <cellStyle name="Normal 5" xfId="69" xr:uid="{00000000-0005-0000-0000-00003E010000}"/>
    <cellStyle name="Normal 5 2" xfId="123" xr:uid="{00000000-0005-0000-0000-00003F010000}"/>
    <cellStyle name="Normal 5 3" xfId="149" xr:uid="{00000000-0005-0000-0000-000040010000}"/>
    <cellStyle name="Normal 5 4" xfId="284" xr:uid="{00000000-0005-0000-0000-000041010000}"/>
    <cellStyle name="Normal 6" xfId="70" xr:uid="{00000000-0005-0000-0000-000042010000}"/>
    <cellStyle name="Normal 6 2" xfId="150" xr:uid="{00000000-0005-0000-0000-000043010000}"/>
    <cellStyle name="Normal 7" xfId="71" xr:uid="{00000000-0005-0000-0000-000044010000}"/>
    <cellStyle name="Normal 7 2" xfId="151" xr:uid="{00000000-0005-0000-0000-000045010000}"/>
    <cellStyle name="Normal 7 2 2" xfId="320" xr:uid="{00000000-0005-0000-0000-000046010000}"/>
    <cellStyle name="Normal 7 2 2 2" xfId="344" xr:uid="{00000000-0005-0000-0000-000047010000}"/>
    <cellStyle name="Normal 7 2 2 3" xfId="368" xr:uid="{00000000-0005-0000-0000-000048010000}"/>
    <cellStyle name="Normal 7 2 3" xfId="332" xr:uid="{00000000-0005-0000-0000-000049010000}"/>
    <cellStyle name="Normal 7 2 4" xfId="356" xr:uid="{00000000-0005-0000-0000-00004A010000}"/>
    <cellStyle name="Normal 7 2 5" xfId="308" xr:uid="{00000000-0005-0000-0000-00004B010000}"/>
    <cellStyle name="Normal 7 3" xfId="314" xr:uid="{00000000-0005-0000-0000-00004C010000}"/>
    <cellStyle name="Normal 7 3 2" xfId="338" xr:uid="{00000000-0005-0000-0000-00004D010000}"/>
    <cellStyle name="Normal 7 3 3" xfId="362" xr:uid="{00000000-0005-0000-0000-00004E010000}"/>
    <cellStyle name="Normal 7 4" xfId="326" xr:uid="{00000000-0005-0000-0000-00004F010000}"/>
    <cellStyle name="Normal 7 5" xfId="350" xr:uid="{00000000-0005-0000-0000-000050010000}"/>
    <cellStyle name="Normal 7 6" xfId="291" xr:uid="{00000000-0005-0000-0000-000051010000}"/>
    <cellStyle name="Normal 8" xfId="72" xr:uid="{00000000-0005-0000-0000-000052010000}"/>
    <cellStyle name="Normal 8 2" xfId="152" xr:uid="{00000000-0005-0000-0000-000053010000}"/>
    <cellStyle name="Normal 9" xfId="73" xr:uid="{00000000-0005-0000-0000-000054010000}"/>
    <cellStyle name="Normal 9 2" xfId="153" xr:uid="{00000000-0005-0000-0000-000055010000}"/>
    <cellStyle name="Normal 9 2 2" xfId="321" xr:uid="{00000000-0005-0000-0000-000056010000}"/>
    <cellStyle name="Normal 9 2 2 2" xfId="345" xr:uid="{00000000-0005-0000-0000-000057010000}"/>
    <cellStyle name="Normal 9 2 2 3" xfId="369" xr:uid="{00000000-0005-0000-0000-000058010000}"/>
    <cellStyle name="Normal 9 2 3" xfId="333" xr:uid="{00000000-0005-0000-0000-000059010000}"/>
    <cellStyle name="Normal 9 2 4" xfId="357" xr:uid="{00000000-0005-0000-0000-00005A010000}"/>
    <cellStyle name="Normal 9 2 5" xfId="309" xr:uid="{00000000-0005-0000-0000-00005B010000}"/>
    <cellStyle name="Normal 9 3" xfId="315" xr:uid="{00000000-0005-0000-0000-00005C010000}"/>
    <cellStyle name="Normal 9 3 2" xfId="339" xr:uid="{00000000-0005-0000-0000-00005D010000}"/>
    <cellStyle name="Normal 9 3 3" xfId="363" xr:uid="{00000000-0005-0000-0000-00005E010000}"/>
    <cellStyle name="Normal 9 4" xfId="327" xr:uid="{00000000-0005-0000-0000-00005F010000}"/>
    <cellStyle name="Normal 9 5" xfId="351" xr:uid="{00000000-0005-0000-0000-000060010000}"/>
    <cellStyle name="Normal 9 6" xfId="292" xr:uid="{00000000-0005-0000-0000-000061010000}"/>
    <cellStyle name="Note 2" xfId="87" xr:uid="{00000000-0005-0000-0000-000062010000}"/>
    <cellStyle name="Note 2 2" xfId="158" xr:uid="{00000000-0005-0000-0000-000063010000}"/>
    <cellStyle name="Note 2 3" xfId="285" xr:uid="{00000000-0005-0000-0000-000064010000}"/>
    <cellStyle name="Note 3" xfId="98" xr:uid="{00000000-0005-0000-0000-000065010000}"/>
    <cellStyle name="Note 3 2" xfId="169" xr:uid="{00000000-0005-0000-0000-000066010000}"/>
    <cellStyle name="Obično_KnjigaZIKS i Min pomorstva i saobracaja" xfId="64" xr:uid="{00000000-0005-0000-0000-000067010000}"/>
    <cellStyle name="Output" xfId="11" builtinId="21" customBuiltin="1"/>
    <cellStyle name="Output 2" xfId="286" xr:uid="{00000000-0005-0000-0000-000069010000}"/>
    <cellStyle name="Percent" xfId="1" builtinId="5"/>
    <cellStyle name="percentage difference" xfId="65" xr:uid="{00000000-0005-0000-0000-00006B010000}"/>
    <cellStyle name="percentage difference 2" xfId="120" xr:uid="{00000000-0005-0000-0000-00006C010000}"/>
    <cellStyle name="percentage difference 3" xfId="287" xr:uid="{00000000-0005-0000-0000-00006D010000}"/>
    <cellStyle name="Publication" xfId="66" xr:uid="{00000000-0005-0000-0000-00006E010000}"/>
    <cellStyle name="Standard_Tabellenteil in EURO" xfId="121" xr:uid="{00000000-0005-0000-0000-00006F010000}"/>
    <cellStyle name="Title 2" xfId="79" xr:uid="{00000000-0005-0000-0000-000070010000}"/>
    <cellStyle name="Title 2 2" xfId="288" xr:uid="{00000000-0005-0000-0000-000071010000}"/>
    <cellStyle name="Total" xfId="17" builtinId="25" customBuiltin="1"/>
    <cellStyle name="Total 2" xfId="289" xr:uid="{00000000-0005-0000-0000-000073010000}"/>
    <cellStyle name="Warning Text" xfId="15" builtinId="11" customBuiltin="1"/>
    <cellStyle name="Warning Text 2" xfId="290" xr:uid="{00000000-0005-0000-0000-000075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9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9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A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A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-oktobar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2,347.2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8.9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mil. € ili 1.5%.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veći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28.5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1.2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2,466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30.4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126.4 mil. € ili 4.9% dok su u odnosu na isti period 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godine veći za 224.8 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januaru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-oktobar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118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.8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582083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700683" y="1323976"/>
          <a:ext cx="5168900" cy="2951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izvršenju budžeta za 2024. godinu su preliminarni, dok će konačni podaci za 2024. godinu biti sastavni dio Zakona o završnom računu budžeta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4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4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5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5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6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6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7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7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8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8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2025-10</v>
      </c>
      <c r="O6" s="128" t="str">
        <f>+CONCATENATE(N6,"p")</f>
        <v>2025-10p</v>
      </c>
      <c r="P6" s="116"/>
      <c r="Q6" s="116"/>
      <c r="R6" s="128" t="str">
        <f>+IF(Master!B3-10&gt;=0,CONCATENATE(Master!B4-1,"-",Master!B3),CONCATENATE(Master!B4-1,"-0",Master!B3))</f>
        <v>2024-10</v>
      </c>
      <c r="S6" s="116"/>
      <c r="T6" s="116"/>
    </row>
    <row r="7" spans="1:20">
      <c r="A7" s="129"/>
      <c r="B7" s="567" t="s">
        <v>691</v>
      </c>
      <c r="C7" s="568"/>
      <c r="D7" s="568"/>
      <c r="E7" s="568"/>
      <c r="F7" s="568"/>
      <c r="G7" s="576" t="s">
        <v>690</v>
      </c>
      <c r="H7" s="577"/>
      <c r="I7" s="577"/>
      <c r="J7" s="577"/>
      <c r="K7" s="577"/>
      <c r="L7" s="577"/>
      <c r="M7" s="578"/>
      <c r="N7" s="579" t="str">
        <f>+Master!G243</f>
        <v>Decembar</v>
      </c>
      <c r="O7" s="577"/>
      <c r="P7" s="577"/>
      <c r="Q7" s="577"/>
      <c r="R7" s="577"/>
      <c r="S7" s="577"/>
      <c r="T7" s="580"/>
    </row>
    <row r="8" spans="1:20">
      <c r="A8" s="129"/>
      <c r="B8" s="569"/>
      <c r="C8" s="570"/>
      <c r="D8" s="570"/>
      <c r="E8" s="570"/>
      <c r="F8" s="571"/>
      <c r="G8" s="130" t="str">
        <f>+Master!G26</f>
        <v>Ostvarenje</v>
      </c>
      <c r="H8" s="130" t="str">
        <f>+Master!G25</f>
        <v>Plan</v>
      </c>
      <c r="I8" s="563" t="str">
        <f>+Master!G261</f>
        <v>Odstupanje</v>
      </c>
      <c r="J8" s="563"/>
      <c r="K8" s="130" t="str">
        <f>+CONCATENATE(Master!G246," ",Master!B4-1)</f>
        <v>Jan - Okt 2024</v>
      </c>
      <c r="L8" s="563" t="str">
        <f>+I8</f>
        <v>Odstupanje</v>
      </c>
      <c r="M8" s="575"/>
      <c r="N8" s="131" t="str">
        <f>+G8</f>
        <v>Ostvarenje</v>
      </c>
      <c r="O8" s="130" t="str">
        <f>+H8</f>
        <v>Plan</v>
      </c>
      <c r="P8" s="563" t="str">
        <f>+I8</f>
        <v>Odstupanje</v>
      </c>
      <c r="Q8" s="563"/>
      <c r="R8" s="130" t="str">
        <f>+CONCATENATE(Master!G245," ",Master!B4-1)</f>
        <v>Oktobar 2024</v>
      </c>
      <c r="S8" s="563" t="str">
        <f>+P8</f>
        <v>Odstupanje</v>
      </c>
      <c r="T8" s="564"/>
    </row>
    <row r="9" spans="1:20" ht="15.7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09" t="str">
        <f>+VLOOKUP($A10,Master!$D$30:$G$226,4,FALSE)</f>
        <v>Prihodi budžeta</v>
      </c>
      <c r="C10" s="610"/>
      <c r="D10" s="610"/>
      <c r="E10" s="610"/>
      <c r="F10" s="610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97" t="e">
        <f>+VLOOKUP($A18,Master!$D$30:$G$226,4,FALSE)</f>
        <v>#N/A</v>
      </c>
      <c r="C18" s="598"/>
      <c r="D18" s="598"/>
      <c r="E18" s="598"/>
      <c r="F18" s="598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97" t="str">
        <f>+VLOOKUP($A19,Master!$D$30:$G$226,4,FALSE)</f>
        <v>Ostali državni porezi</v>
      </c>
      <c r="C19" s="598"/>
      <c r="D19" s="598"/>
      <c r="E19" s="598"/>
      <c r="F19" s="598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607" t="str">
        <f>+VLOOKUP($A20,Master!$D$30:$G$226,4,FALSE)</f>
        <v>Doprinosi</v>
      </c>
      <c r="C20" s="608"/>
      <c r="D20" s="608"/>
      <c r="E20" s="608"/>
      <c r="F20" s="608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97" t="str">
        <f>+VLOOKUP($A21,Master!$D$30:$G$226,4,FALSE)</f>
        <v>Doprinosi za penzijsko i invalidsko osiguranje</v>
      </c>
      <c r="C21" s="598"/>
      <c r="D21" s="598"/>
      <c r="E21" s="598"/>
      <c r="F21" s="598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97" t="str">
        <f>+VLOOKUP($A22,Master!$D$30:$G$226,4,FALSE)</f>
        <v>Doprinosi za zdravstveno osiguranje</v>
      </c>
      <c r="C22" s="598"/>
      <c r="D22" s="598"/>
      <c r="E22" s="598"/>
      <c r="F22" s="598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97" t="str">
        <f>+VLOOKUP($A23,Master!$D$30:$G$226,4,FALSE)</f>
        <v>Doprinosi za osiguranje od nezaposlenosti</v>
      </c>
      <c r="C23" s="598"/>
      <c r="D23" s="598"/>
      <c r="E23" s="598"/>
      <c r="F23" s="598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97" t="str">
        <f>+VLOOKUP($A24,Master!$D$30:$G$226,4,FALSE)</f>
        <v>Ostali doprinosi</v>
      </c>
      <c r="C24" s="598"/>
      <c r="D24" s="598"/>
      <c r="E24" s="598"/>
      <c r="F24" s="598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99" t="str">
        <f>+VLOOKUP($A25,Master!$D$30:$G$226,4,FALSE)</f>
        <v>Takse</v>
      </c>
      <c r="C25" s="600"/>
      <c r="D25" s="600"/>
      <c r="E25" s="600"/>
      <c r="F25" s="600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99" t="str">
        <f>+VLOOKUP($A26,Master!$D$30:$G$226,4,FALSE)</f>
        <v>Naknade</v>
      </c>
      <c r="C26" s="600"/>
      <c r="D26" s="600"/>
      <c r="E26" s="600"/>
      <c r="F26" s="600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99" t="str">
        <f>+VLOOKUP($A27,Master!$D$30:$G$226,4,FALSE)</f>
        <v>Ostali prihodi</v>
      </c>
      <c r="C27" s="600"/>
      <c r="D27" s="600"/>
      <c r="E27" s="600"/>
      <c r="F27" s="600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99" t="str">
        <f>+VLOOKUP($A28,Master!$D$30:$G$226,4,FALSE)</f>
        <v>Primici od otplate kredita i sredstva prenesena iz prethodne godine</v>
      </c>
      <c r="C28" s="600"/>
      <c r="D28" s="600"/>
      <c r="E28" s="600"/>
      <c r="F28" s="600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601" t="str">
        <f>+VLOOKUP($A29,Master!$D$30:$G$226,4,FALSE)</f>
        <v>Donacije i transferi</v>
      </c>
      <c r="C29" s="602"/>
      <c r="D29" s="602"/>
      <c r="E29" s="602"/>
      <c r="F29" s="602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87" t="str">
        <f>+VLOOKUP($A30,Master!$D$30:$G$226,4,FALSE)</f>
        <v>Izdaci budžeta</v>
      </c>
      <c r="C30" s="588"/>
      <c r="D30" s="588"/>
      <c r="E30" s="588"/>
      <c r="F30" s="588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603" t="str">
        <f>+VLOOKUP($A31,Master!$D$30:$G$226,4,FALSE)</f>
        <v>Tekući izdaci</v>
      </c>
      <c r="C31" s="604"/>
      <c r="D31" s="604"/>
      <c r="E31" s="604"/>
      <c r="F31" s="604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605" t="str">
        <f>+VLOOKUP($A32,Master!$D$30:$G$226,4,FALSE)</f>
        <v>Tekuća budžetska potrošnja</v>
      </c>
      <c r="C32" s="606"/>
      <c r="D32" s="606"/>
      <c r="E32" s="606"/>
      <c r="F32" s="606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97" t="str">
        <f>+VLOOKUP($A33,Master!$D$30:$G$226,4,FALSE)</f>
        <v>Bruto zarade i doprinosi na teret poslodavca</v>
      </c>
      <c r="C33" s="598"/>
      <c r="D33" s="598"/>
      <c r="E33" s="598"/>
      <c r="F33" s="598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97" t="str">
        <f>+VLOOKUP($A34,Master!$D$30:$G$226,4,FALSE)</f>
        <v>Ostala lična primanja</v>
      </c>
      <c r="C34" s="598"/>
      <c r="D34" s="598"/>
      <c r="E34" s="598"/>
      <c r="F34" s="598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97" t="str">
        <f>+VLOOKUP($A35,Master!$D$30:$G$226,4,FALSE)</f>
        <v>Rashodi za materijal</v>
      </c>
      <c r="C35" s="598"/>
      <c r="D35" s="598"/>
      <c r="E35" s="598"/>
      <c r="F35" s="598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97" t="str">
        <f>+VLOOKUP($A36,Master!$D$30:$G$226,4,FALSE)</f>
        <v>Rashodi za usluge</v>
      </c>
      <c r="C36" s="598"/>
      <c r="D36" s="598"/>
      <c r="E36" s="598"/>
      <c r="F36" s="598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97" t="str">
        <f>+VLOOKUP($A37,Master!$D$30:$G$226,4,FALSE)</f>
        <v>Rashodi za tekuće održavanje</v>
      </c>
      <c r="C37" s="598"/>
      <c r="D37" s="598"/>
      <c r="E37" s="598"/>
      <c r="F37" s="598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97" t="str">
        <f>+VLOOKUP($A38,Master!$D$30:$G$226,4,FALSE)</f>
        <v>Kamate</v>
      </c>
      <c r="C38" s="598"/>
      <c r="D38" s="598"/>
      <c r="E38" s="598"/>
      <c r="F38" s="598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97" t="str">
        <f>+VLOOKUP($A39,Master!$D$30:$G$226,4,FALSE)</f>
        <v>Renta</v>
      </c>
      <c r="C39" s="598"/>
      <c r="D39" s="598"/>
      <c r="E39" s="598"/>
      <c r="F39" s="598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97" t="str">
        <f>+VLOOKUP($A40,Master!$D$30:$G$226,4,FALSE)</f>
        <v>Subvencije</v>
      </c>
      <c r="C40" s="598"/>
      <c r="D40" s="598"/>
      <c r="E40" s="598"/>
      <c r="F40" s="598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97" t="str">
        <f>+VLOOKUP($A41,Master!$D$30:$G$226,4,FALSE)</f>
        <v>Ostali izdaci</v>
      </c>
      <c r="C41" s="598"/>
      <c r="D41" s="598"/>
      <c r="E41" s="598"/>
      <c r="F41" s="598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97" t="e">
        <f>+VLOOKUP($A42,Master!$D$30:$G$226,4,FALSE)</f>
        <v>#N/A</v>
      </c>
      <c r="C42" s="598"/>
      <c r="D42" s="598"/>
      <c r="E42" s="598"/>
      <c r="F42" s="598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93" t="str">
        <f>+VLOOKUP($A43,Master!$D$30:$G$226,4,FALSE)</f>
        <v>Transferi za socijalnu zaštitu</v>
      </c>
      <c r="C43" s="594"/>
      <c r="D43" s="594"/>
      <c r="E43" s="594"/>
      <c r="F43" s="594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97" t="str">
        <f>+VLOOKUP($A44,Master!$D$30:$G$226,4,FALSE)</f>
        <v>Prava iz oblasti socijalne zaštite</v>
      </c>
      <c r="C44" s="598"/>
      <c r="D44" s="598"/>
      <c r="E44" s="598"/>
      <c r="F44" s="598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97" t="str">
        <f>+VLOOKUP($A45,Master!$D$30:$G$226,4,FALSE)</f>
        <v>Sredstva za tehnološke viškove</v>
      </c>
      <c r="C45" s="598"/>
      <c r="D45" s="598"/>
      <c r="E45" s="598"/>
      <c r="F45" s="598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97" t="str">
        <f>+VLOOKUP($A46,Master!$D$30:$G$226,4,FALSE)</f>
        <v>Prava iz oblasti penzijskog i invalidskog osiguranja</v>
      </c>
      <c r="C46" s="598"/>
      <c r="D46" s="598"/>
      <c r="E46" s="598"/>
      <c r="F46" s="598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97" t="str">
        <f>+VLOOKUP($A47,Master!$D$30:$G$226,4,FALSE)</f>
        <v>Ostala prava iz oblasti zdravstvene zaštite</v>
      </c>
      <c r="C47" s="598"/>
      <c r="D47" s="598"/>
      <c r="E47" s="598"/>
      <c r="F47" s="598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97" t="str">
        <f>+VLOOKUP($A48,Master!$D$30:$G$226,4,FALSE)</f>
        <v>Ostala prava iz zdravstvenog osiguranja</v>
      </c>
      <c r="C48" s="598"/>
      <c r="D48" s="598"/>
      <c r="E48" s="598"/>
      <c r="F48" s="598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95" t="str">
        <f>+VLOOKUP($A49,Master!$D$30:$G$226,4,FALSE)</f>
        <v xml:space="preserve">Transferi institucijama, pojedincima, nevladinom i javnom sektoru </v>
      </c>
      <c r="C49" s="596"/>
      <c r="D49" s="596"/>
      <c r="E49" s="596"/>
      <c r="F49" s="596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95" t="str">
        <f>+VLOOKUP($A50,Master!$D$30:$G$226,4,FALSE)</f>
        <v>Kapitalni izdaci</v>
      </c>
      <c r="C50" s="596"/>
      <c r="D50" s="596"/>
      <c r="E50" s="596"/>
      <c r="F50" s="596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65" t="str">
        <f>+VLOOKUP($A51,Master!$D$30:$G$226,4,FALSE)</f>
        <v>Pozajmice i krediti</v>
      </c>
      <c r="C51" s="566"/>
      <c r="D51" s="566"/>
      <c r="E51" s="566"/>
      <c r="F51" s="566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65" t="str">
        <f>+VLOOKUP($A52,Master!$D$30:$G$226,4,FALSE)</f>
        <v>Rezerve</v>
      </c>
      <c r="C52" s="566"/>
      <c r="D52" s="566"/>
      <c r="E52" s="566"/>
      <c r="F52" s="566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3" t="str">
        <f>+VLOOKUP($A53,Master!$D$30:$G$226,4,FALSE)</f>
        <v>Otplata garancija</v>
      </c>
      <c r="C53" s="584"/>
      <c r="D53" s="584"/>
      <c r="E53" s="584"/>
      <c r="F53" s="584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3" t="str">
        <f>+VLOOKUP($A54,Master!$D$30:$G$226,4,FALSE)</f>
        <v>Otplata obaveza iz prethodnog perioda</v>
      </c>
      <c r="C54" s="584"/>
      <c r="D54" s="584"/>
      <c r="E54" s="584"/>
      <c r="F54" s="584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3" t="str">
        <f>+VLOOKUP($A55,Master!$D$30:$G$228,4,FALSE)</f>
        <v>Neto povećanje obaveza</v>
      </c>
      <c r="C55" s="584"/>
      <c r="D55" s="584"/>
      <c r="E55" s="584"/>
      <c r="F55" s="584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9" t="str">
        <f>+VLOOKUP($A56,Master!$D$30:$G$226,4,FALSE)</f>
        <v>Suficit / deficit</v>
      </c>
      <c r="C56" s="590"/>
      <c r="D56" s="590"/>
      <c r="E56" s="590"/>
      <c r="F56" s="590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91" t="str">
        <f>+VLOOKUP($A57,Master!$D$30:$G$226,4,FALSE)</f>
        <v>Primarni suficit/deficit</v>
      </c>
      <c r="C57" s="592"/>
      <c r="D57" s="592"/>
      <c r="E57" s="592"/>
      <c r="F57" s="592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93" t="str">
        <f>+VLOOKUP($A58,Master!$D$30:$G$226,4,FALSE)</f>
        <v>Otplata dugova</v>
      </c>
      <c r="C58" s="594"/>
      <c r="D58" s="594"/>
      <c r="E58" s="594"/>
      <c r="F58" s="594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81" t="str">
        <f>+VLOOKUP($A59,Master!$D$30:$G$226,4,FALSE)</f>
        <v>Otplata hartija od vrijednosti i kredita rezidentima</v>
      </c>
      <c r="C59" s="582"/>
      <c r="D59" s="582"/>
      <c r="E59" s="582"/>
      <c r="F59" s="582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65" t="str">
        <f>+VLOOKUP($A60,Master!$D$30:$G$226,4,FALSE)</f>
        <v>Otplata hartija od vrijednosti i kredita nerezidentima</v>
      </c>
      <c r="C60" s="566"/>
      <c r="D60" s="566"/>
      <c r="E60" s="566"/>
      <c r="F60" s="566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85" t="str">
        <f>+VLOOKUP($A62,Master!$D$30:$G$226,4,FALSE)</f>
        <v>Nedostajuća sredstva</v>
      </c>
      <c r="C62" s="586"/>
      <c r="D62" s="586"/>
      <c r="E62" s="586"/>
      <c r="F62" s="586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87" t="str">
        <f>+VLOOKUP($A63,Master!$D$30:$G$226,4,FALSE)</f>
        <v>Finansiranje</v>
      </c>
      <c r="C63" s="588"/>
      <c r="D63" s="588"/>
      <c r="E63" s="588"/>
      <c r="F63" s="588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81" t="str">
        <f>+VLOOKUP($A64,Master!$D$30:$G$226,4,FALSE)</f>
        <v>Pozajmice i krediti od domaćih izvora</v>
      </c>
      <c r="C64" s="582"/>
      <c r="D64" s="582"/>
      <c r="E64" s="582"/>
      <c r="F64" s="582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65" t="str">
        <f>+VLOOKUP($A65,Master!$D$30:$G$226,4,FALSE)</f>
        <v>Pozajmice i krediti od inostranih izvora</v>
      </c>
      <c r="C65" s="566"/>
      <c r="D65" s="566"/>
      <c r="E65" s="566"/>
      <c r="F65" s="566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65" t="str">
        <f>+VLOOKUP($A66,Master!$D$30:$G$226,4,FALSE)</f>
        <v>Primici od prodaje imovine</v>
      </c>
      <c r="C66" s="566"/>
      <c r="D66" s="566"/>
      <c r="E66" s="566"/>
      <c r="F66" s="566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67" t="s">
        <v>553</v>
      </c>
      <c r="C7" s="568"/>
      <c r="D7" s="568"/>
      <c r="E7" s="568"/>
      <c r="F7" s="568"/>
      <c r="G7" s="576">
        <v>2019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">
        <v>419</v>
      </c>
      <c r="T7" s="221">
        <v>4951000000</v>
      </c>
    </row>
    <row r="8" spans="1:20" ht="16.5" customHeight="1">
      <c r="A8" s="129"/>
      <c r="B8" s="569"/>
      <c r="C8" s="570"/>
      <c r="D8" s="570"/>
      <c r="E8" s="570"/>
      <c r="F8" s="571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6" t="s">
        <v>806</v>
      </c>
      <c r="T8" s="580"/>
    </row>
    <row r="9" spans="1:20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87" t="s">
        <v>680</v>
      </c>
      <c r="C10" s="588"/>
      <c r="D10" s="588"/>
      <c r="E10" s="588"/>
      <c r="F10" s="588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11" t="s">
        <v>21</v>
      </c>
      <c r="C11" s="612"/>
      <c r="D11" s="612"/>
      <c r="E11" s="612"/>
      <c r="F11" s="612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97" t="s">
        <v>23</v>
      </c>
      <c r="C12" s="598"/>
      <c r="D12" s="598"/>
      <c r="E12" s="598"/>
      <c r="F12" s="598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97" t="s">
        <v>25</v>
      </c>
      <c r="C13" s="598"/>
      <c r="D13" s="598"/>
      <c r="E13" s="598"/>
      <c r="F13" s="598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97" t="s">
        <v>27</v>
      </c>
      <c r="C14" s="598"/>
      <c r="D14" s="598"/>
      <c r="E14" s="598"/>
      <c r="F14" s="598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97" t="s">
        <v>29</v>
      </c>
      <c r="C15" s="598"/>
      <c r="D15" s="598"/>
      <c r="E15" s="598"/>
      <c r="F15" s="598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97" t="s">
        <v>31</v>
      </c>
      <c r="C16" s="598"/>
      <c r="D16" s="598"/>
      <c r="E16" s="598"/>
      <c r="F16" s="598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97" t="s">
        <v>33</v>
      </c>
      <c r="C17" s="598"/>
      <c r="D17" s="598"/>
      <c r="E17" s="598"/>
      <c r="F17" s="598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97" t="s">
        <v>721</v>
      </c>
      <c r="C18" s="598"/>
      <c r="D18" s="598"/>
      <c r="E18" s="598"/>
      <c r="F18" s="598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607" t="s">
        <v>37</v>
      </c>
      <c r="C19" s="608"/>
      <c r="D19" s="608"/>
      <c r="E19" s="608"/>
      <c r="F19" s="608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97" t="s">
        <v>39</v>
      </c>
      <c r="C20" s="598"/>
      <c r="D20" s="598"/>
      <c r="E20" s="598"/>
      <c r="F20" s="598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97" t="s">
        <v>41</v>
      </c>
      <c r="C21" s="598"/>
      <c r="D21" s="598"/>
      <c r="E21" s="598"/>
      <c r="F21" s="598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97" t="s">
        <v>43</v>
      </c>
      <c r="C22" s="598"/>
      <c r="D22" s="598"/>
      <c r="E22" s="598"/>
      <c r="F22" s="598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97" t="s">
        <v>45</v>
      </c>
      <c r="C23" s="598"/>
      <c r="D23" s="598"/>
      <c r="E23" s="598"/>
      <c r="F23" s="598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99" t="s">
        <v>47</v>
      </c>
      <c r="C24" s="600"/>
      <c r="D24" s="600"/>
      <c r="E24" s="600"/>
      <c r="F24" s="600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99" t="s">
        <v>61</v>
      </c>
      <c r="C25" s="600"/>
      <c r="D25" s="600"/>
      <c r="E25" s="600"/>
      <c r="F25" s="600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99" t="s">
        <v>81</v>
      </c>
      <c r="C26" s="600"/>
      <c r="D26" s="600"/>
      <c r="E26" s="600"/>
      <c r="F26" s="600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99" t="s">
        <v>99</v>
      </c>
      <c r="C27" s="600"/>
      <c r="D27" s="600"/>
      <c r="E27" s="600"/>
      <c r="F27" s="600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601" t="s">
        <v>105</v>
      </c>
      <c r="C28" s="602"/>
      <c r="D28" s="602"/>
      <c r="E28" s="602"/>
      <c r="F28" s="602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87" t="s">
        <v>801</v>
      </c>
      <c r="C29" s="588"/>
      <c r="D29" s="588"/>
      <c r="E29" s="588"/>
      <c r="F29" s="588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603" t="s">
        <v>120</v>
      </c>
      <c r="C30" s="604"/>
      <c r="D30" s="604"/>
      <c r="E30" s="604"/>
      <c r="F30" s="604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97" t="s">
        <v>122</v>
      </c>
      <c r="C31" s="598"/>
      <c r="D31" s="598"/>
      <c r="E31" s="598"/>
      <c r="F31" s="598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97" t="s">
        <v>133</v>
      </c>
      <c r="C32" s="598"/>
      <c r="D32" s="598"/>
      <c r="E32" s="598"/>
      <c r="F32" s="598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97" t="s">
        <v>148</v>
      </c>
      <c r="C33" s="598"/>
      <c r="D33" s="598"/>
      <c r="E33" s="598"/>
      <c r="F33" s="598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97" t="s">
        <v>162</v>
      </c>
      <c r="C34" s="598"/>
      <c r="D34" s="598"/>
      <c r="E34" s="598"/>
      <c r="F34" s="598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15" t="s">
        <v>182</v>
      </c>
      <c r="C35" s="616"/>
      <c r="D35" s="616"/>
      <c r="E35" s="616"/>
      <c r="F35" s="616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97" t="s">
        <v>190</v>
      </c>
      <c r="C36" s="598"/>
      <c r="D36" s="598"/>
      <c r="E36" s="598"/>
      <c r="F36" s="598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97" t="s">
        <v>196</v>
      </c>
      <c r="C37" s="598"/>
      <c r="D37" s="598"/>
      <c r="E37" s="598"/>
      <c r="F37" s="598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97" t="s">
        <v>204</v>
      </c>
      <c r="C38" s="598"/>
      <c r="D38" s="598"/>
      <c r="E38" s="598"/>
      <c r="F38" s="598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97" t="s">
        <v>212</v>
      </c>
      <c r="C39" s="598"/>
      <c r="D39" s="598"/>
      <c r="E39" s="598"/>
      <c r="F39" s="598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93" t="s">
        <v>230</v>
      </c>
      <c r="C40" s="594"/>
      <c r="D40" s="594"/>
      <c r="E40" s="594"/>
      <c r="F40" s="594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97" t="s">
        <v>232</v>
      </c>
      <c r="C41" s="598"/>
      <c r="D41" s="598"/>
      <c r="E41" s="598"/>
      <c r="F41" s="598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97" t="s">
        <v>248</v>
      </c>
      <c r="C42" s="598"/>
      <c r="D42" s="598"/>
      <c r="E42" s="598"/>
      <c r="F42" s="598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97" t="s">
        <v>259</v>
      </c>
      <c r="C43" s="598"/>
      <c r="D43" s="598"/>
      <c r="E43" s="598"/>
      <c r="F43" s="598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97" t="s">
        <v>274</v>
      </c>
      <c r="C44" s="598"/>
      <c r="D44" s="598"/>
      <c r="E44" s="598"/>
      <c r="F44" s="598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97" t="s">
        <v>278</v>
      </c>
      <c r="C45" s="598"/>
      <c r="D45" s="598"/>
      <c r="E45" s="598"/>
      <c r="F45" s="598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95" t="s">
        <v>286</v>
      </c>
      <c r="C46" s="596"/>
      <c r="D46" s="596"/>
      <c r="E46" s="596"/>
      <c r="F46" s="596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95" t="s">
        <v>320</v>
      </c>
      <c r="C47" s="596"/>
      <c r="D47" s="596"/>
      <c r="E47" s="596"/>
      <c r="F47" s="596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19" t="s">
        <v>113</v>
      </c>
      <c r="C48" s="620"/>
      <c r="D48" s="620"/>
      <c r="E48" s="620"/>
      <c r="F48" s="620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24" t="s">
        <v>366</v>
      </c>
      <c r="C49" s="625"/>
      <c r="D49" s="625"/>
      <c r="E49" s="625"/>
      <c r="F49" s="625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3" t="s">
        <v>359</v>
      </c>
      <c r="C50" s="584"/>
      <c r="D50" s="584"/>
      <c r="E50" s="584"/>
      <c r="F50" s="584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26" t="s">
        <v>794</v>
      </c>
      <c r="C51" s="627"/>
      <c r="D51" s="627"/>
      <c r="E51" s="627"/>
      <c r="F51" s="627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28" t="s">
        <v>684</v>
      </c>
      <c r="C52" s="629"/>
      <c r="D52" s="629"/>
      <c r="E52" s="629"/>
      <c r="F52" s="629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9" t="s">
        <v>545</v>
      </c>
      <c r="C53" s="590"/>
      <c r="D53" s="590"/>
      <c r="E53" s="590"/>
      <c r="F53" s="590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91" t="s">
        <v>792</v>
      </c>
      <c r="C54" s="592"/>
      <c r="D54" s="592"/>
      <c r="E54" s="592"/>
      <c r="F54" s="592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13" t="s">
        <v>352</v>
      </c>
      <c r="C55" s="614"/>
      <c r="D55" s="614"/>
      <c r="E55" s="614"/>
      <c r="F55" s="614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81" t="s">
        <v>355</v>
      </c>
      <c r="C56" s="582"/>
      <c r="D56" s="582"/>
      <c r="E56" s="582"/>
      <c r="F56" s="582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65" t="s">
        <v>357</v>
      </c>
      <c r="C57" s="566"/>
      <c r="D57" s="566"/>
      <c r="E57" s="566"/>
      <c r="F57" s="566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8" t="s">
        <v>336</v>
      </c>
      <c r="C58" s="669"/>
      <c r="D58" s="669"/>
      <c r="E58" s="669"/>
      <c r="F58" s="669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85" t="s">
        <v>543</v>
      </c>
      <c r="C59" s="586"/>
      <c r="D59" s="586"/>
      <c r="E59" s="586"/>
      <c r="F59" s="586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87" t="s">
        <v>544</v>
      </c>
      <c r="C60" s="588"/>
      <c r="D60" s="588"/>
      <c r="E60" s="588"/>
      <c r="F60" s="588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81" t="s">
        <v>114</v>
      </c>
      <c r="C61" s="582"/>
      <c r="D61" s="582"/>
      <c r="E61" s="582"/>
      <c r="F61" s="582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65" t="s">
        <v>116</v>
      </c>
      <c r="C62" s="566"/>
      <c r="D62" s="566"/>
      <c r="E62" s="566"/>
      <c r="F62" s="566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65" t="s">
        <v>93</v>
      </c>
      <c r="C63" s="566"/>
      <c r="D63" s="566"/>
      <c r="E63" s="566"/>
      <c r="F63" s="566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6" t="s">
        <v>551</v>
      </c>
      <c r="C100" s="637"/>
      <c r="D100" s="637"/>
      <c r="E100" s="637"/>
      <c r="F100" s="637"/>
      <c r="G100" s="621">
        <v>2019</v>
      </c>
      <c r="H100" s="622"/>
      <c r="I100" s="622"/>
      <c r="J100" s="622"/>
      <c r="K100" s="622"/>
      <c r="L100" s="622"/>
      <c r="M100" s="622"/>
      <c r="N100" s="622"/>
      <c r="O100" s="622"/>
      <c r="P100" s="622"/>
      <c r="Q100" s="622"/>
      <c r="R100" s="623"/>
      <c r="S100" s="96" t="str">
        <f>+S7</f>
        <v>BDP</v>
      </c>
      <c r="T100" s="97">
        <f>+T7</f>
        <v>4951000000</v>
      </c>
    </row>
    <row r="101" spans="1:21" ht="15.75" customHeight="1">
      <c r="B101" s="638"/>
      <c r="C101" s="639"/>
      <c r="D101" s="639"/>
      <c r="E101" s="639"/>
      <c r="F101" s="640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21" t="s">
        <v>806</v>
      </c>
      <c r="T101" s="623">
        <f>+T8</f>
        <v>0</v>
      </c>
    </row>
    <row r="102" spans="1:21" ht="13.5" thickBot="1">
      <c r="B102" s="641"/>
      <c r="C102" s="642"/>
      <c r="D102" s="642"/>
      <c r="E102" s="642"/>
      <c r="F102" s="643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6" t="s">
        <v>680</v>
      </c>
      <c r="C103" s="667"/>
      <c r="D103" s="667"/>
      <c r="E103" s="667"/>
      <c r="F103" s="667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2" t="s">
        <v>21</v>
      </c>
      <c r="C104" s="633"/>
      <c r="D104" s="633"/>
      <c r="E104" s="633"/>
      <c r="F104" s="633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34" t="s">
        <v>23</v>
      </c>
      <c r="C105" s="635"/>
      <c r="D105" s="635"/>
      <c r="E105" s="635"/>
      <c r="F105" s="635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34" t="s">
        <v>25</v>
      </c>
      <c r="C106" s="635"/>
      <c r="D106" s="635"/>
      <c r="E106" s="635"/>
      <c r="F106" s="635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34" t="s">
        <v>27</v>
      </c>
      <c r="C107" s="635"/>
      <c r="D107" s="635"/>
      <c r="E107" s="635"/>
      <c r="F107" s="635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34" t="s">
        <v>29</v>
      </c>
      <c r="C108" s="635"/>
      <c r="D108" s="635"/>
      <c r="E108" s="635"/>
      <c r="F108" s="635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34" t="s">
        <v>31</v>
      </c>
      <c r="C109" s="635"/>
      <c r="D109" s="635"/>
      <c r="E109" s="635"/>
      <c r="F109" s="635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34" t="s">
        <v>33</v>
      </c>
      <c r="C110" s="635"/>
      <c r="D110" s="635"/>
      <c r="E110" s="635"/>
      <c r="F110" s="635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34" t="s">
        <v>721</v>
      </c>
      <c r="C111" s="635"/>
      <c r="D111" s="635"/>
      <c r="E111" s="635"/>
      <c r="F111" s="635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4" t="s">
        <v>37</v>
      </c>
      <c r="C112" s="665"/>
      <c r="D112" s="665"/>
      <c r="E112" s="665"/>
      <c r="F112" s="665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34" t="s">
        <v>39</v>
      </c>
      <c r="C113" s="635"/>
      <c r="D113" s="635"/>
      <c r="E113" s="635"/>
      <c r="F113" s="635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34" t="s">
        <v>41</v>
      </c>
      <c r="C114" s="635"/>
      <c r="D114" s="635"/>
      <c r="E114" s="635"/>
      <c r="F114" s="635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34" t="s">
        <v>43</v>
      </c>
      <c r="C115" s="635"/>
      <c r="D115" s="635"/>
      <c r="E115" s="635"/>
      <c r="F115" s="635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34" t="s">
        <v>45</v>
      </c>
      <c r="C116" s="635"/>
      <c r="D116" s="635"/>
      <c r="E116" s="635"/>
      <c r="F116" s="635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44" t="s">
        <v>47</v>
      </c>
      <c r="C117" s="645"/>
      <c r="D117" s="645"/>
      <c r="E117" s="645"/>
      <c r="F117" s="645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44" t="s">
        <v>61</v>
      </c>
      <c r="C118" s="645"/>
      <c r="D118" s="645"/>
      <c r="E118" s="645"/>
      <c r="F118" s="645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44" t="s">
        <v>81</v>
      </c>
      <c r="C119" s="645"/>
      <c r="D119" s="645"/>
      <c r="E119" s="645"/>
      <c r="F119" s="645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44" t="s">
        <v>99</v>
      </c>
      <c r="C120" s="645"/>
      <c r="D120" s="645"/>
      <c r="E120" s="645"/>
      <c r="F120" s="645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46" t="s">
        <v>105</v>
      </c>
      <c r="C121" s="647"/>
      <c r="D121" s="647"/>
      <c r="E121" s="647"/>
      <c r="F121" s="647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30" t="s">
        <v>808</v>
      </c>
      <c r="C122" s="631"/>
      <c r="D122" s="631"/>
      <c r="E122" s="631"/>
      <c r="F122" s="631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72" t="s">
        <v>773</v>
      </c>
      <c r="C123" s="673"/>
      <c r="D123" s="673"/>
      <c r="E123" s="673"/>
      <c r="F123" s="673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48" t="e">
        <v>#REF!</v>
      </c>
      <c r="C124" s="649"/>
      <c r="D124" s="649"/>
      <c r="E124" s="649"/>
      <c r="F124" s="649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34" t="s">
        <v>122</v>
      </c>
      <c r="C125" s="635"/>
      <c r="D125" s="635"/>
      <c r="E125" s="635"/>
      <c r="F125" s="635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34" t="s">
        <v>133</v>
      </c>
      <c r="C126" s="635"/>
      <c r="D126" s="635"/>
      <c r="E126" s="635"/>
      <c r="F126" s="635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34" t="s">
        <v>148</v>
      </c>
      <c r="C127" s="635"/>
      <c r="D127" s="635"/>
      <c r="E127" s="635"/>
      <c r="F127" s="635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34" t="s">
        <v>162</v>
      </c>
      <c r="C128" s="635"/>
      <c r="D128" s="635"/>
      <c r="E128" s="635"/>
      <c r="F128" s="635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34" t="s">
        <v>182</v>
      </c>
      <c r="C129" s="635"/>
      <c r="D129" s="635"/>
      <c r="E129" s="635"/>
      <c r="F129" s="635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34" t="s">
        <v>190</v>
      </c>
      <c r="C130" s="635"/>
      <c r="D130" s="635"/>
      <c r="E130" s="635"/>
      <c r="F130" s="635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34" t="s">
        <v>196</v>
      </c>
      <c r="C131" s="635"/>
      <c r="D131" s="635"/>
      <c r="E131" s="635"/>
      <c r="F131" s="635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34" t="s">
        <v>204</v>
      </c>
      <c r="C132" s="635"/>
      <c r="D132" s="635"/>
      <c r="E132" s="635"/>
      <c r="F132" s="635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34" t="s">
        <v>212</v>
      </c>
      <c r="C133" s="635"/>
      <c r="D133" s="635"/>
      <c r="E133" s="635"/>
      <c r="F133" s="635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34" t="e">
        <v>#REF!</v>
      </c>
      <c r="C134" s="635"/>
      <c r="D134" s="635"/>
      <c r="E134" s="635"/>
      <c r="F134" s="635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54" t="s">
        <v>230</v>
      </c>
      <c r="C135" s="655"/>
      <c r="D135" s="655"/>
      <c r="E135" s="655"/>
      <c r="F135" s="655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34" t="s">
        <v>232</v>
      </c>
      <c r="C136" s="635"/>
      <c r="D136" s="635"/>
      <c r="E136" s="635"/>
      <c r="F136" s="635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34" t="s">
        <v>248</v>
      </c>
      <c r="C137" s="635"/>
      <c r="D137" s="635"/>
      <c r="E137" s="635"/>
      <c r="F137" s="635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34" t="s">
        <v>259</v>
      </c>
      <c r="C138" s="635"/>
      <c r="D138" s="635"/>
      <c r="E138" s="635"/>
      <c r="F138" s="635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34" t="s">
        <v>274</v>
      </c>
      <c r="C139" s="635"/>
      <c r="D139" s="635"/>
      <c r="E139" s="635"/>
      <c r="F139" s="635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34" t="s">
        <v>278</v>
      </c>
      <c r="C140" s="635"/>
      <c r="D140" s="635"/>
      <c r="E140" s="635"/>
      <c r="F140" s="635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50" t="s">
        <v>286</v>
      </c>
      <c r="C141" s="651"/>
      <c r="D141" s="651"/>
      <c r="E141" s="651"/>
      <c r="F141" s="651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50" t="s">
        <v>809</v>
      </c>
      <c r="C142" s="651"/>
      <c r="D142" s="651"/>
      <c r="E142" s="651"/>
      <c r="F142" s="651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52" t="s">
        <v>113</v>
      </c>
      <c r="C143" s="653"/>
      <c r="D143" s="653"/>
      <c r="E143" s="653"/>
      <c r="F143" s="653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52" t="s">
        <v>366</v>
      </c>
      <c r="C144" s="653"/>
      <c r="D144" s="653"/>
      <c r="E144" s="653"/>
      <c r="F144" s="653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52" t="s">
        <v>359</v>
      </c>
      <c r="C145" s="653"/>
      <c r="D145" s="653"/>
      <c r="E145" s="653"/>
      <c r="F145" s="653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52" t="s">
        <v>365</v>
      </c>
      <c r="C146" s="653"/>
      <c r="D146" s="653"/>
      <c r="E146" s="653"/>
      <c r="F146" s="653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70" t="s">
        <v>685</v>
      </c>
      <c r="C147" s="671"/>
      <c r="D147" s="671"/>
      <c r="E147" s="671"/>
      <c r="F147" s="671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60" t="s">
        <v>545</v>
      </c>
      <c r="C148" s="661"/>
      <c r="D148" s="661"/>
      <c r="E148" s="661"/>
      <c r="F148" s="661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62" t="s">
        <v>810</v>
      </c>
      <c r="C149" s="663"/>
      <c r="D149" s="663"/>
      <c r="E149" s="663"/>
      <c r="F149" s="663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54" t="s">
        <v>352</v>
      </c>
      <c r="C150" s="655"/>
      <c r="D150" s="655"/>
      <c r="E150" s="655"/>
      <c r="F150" s="655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58" t="s">
        <v>355</v>
      </c>
      <c r="C151" s="659"/>
      <c r="D151" s="659"/>
      <c r="E151" s="659"/>
      <c r="F151" s="659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52" t="s">
        <v>357</v>
      </c>
      <c r="C152" s="653"/>
      <c r="D152" s="653"/>
      <c r="E152" s="653"/>
      <c r="F152" s="653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8" t="s">
        <v>336</v>
      </c>
      <c r="C153" s="669"/>
      <c r="D153" s="669"/>
      <c r="E153" s="669"/>
      <c r="F153" s="669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56" t="s">
        <v>543</v>
      </c>
      <c r="C154" s="657"/>
      <c r="D154" s="657"/>
      <c r="E154" s="657"/>
      <c r="F154" s="657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30" t="s">
        <v>544</v>
      </c>
      <c r="C155" s="631"/>
      <c r="D155" s="631"/>
      <c r="E155" s="631"/>
      <c r="F155" s="631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58" t="s">
        <v>114</v>
      </c>
      <c r="C156" s="659"/>
      <c r="D156" s="659"/>
      <c r="E156" s="659"/>
      <c r="F156" s="659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52" t="s">
        <v>116</v>
      </c>
      <c r="C157" s="653"/>
      <c r="D157" s="653"/>
      <c r="E157" s="653"/>
      <c r="F157" s="653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52" t="s">
        <v>93</v>
      </c>
      <c r="C158" s="653"/>
      <c r="D158" s="653"/>
      <c r="E158" s="653"/>
      <c r="F158" s="653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67" t="s">
        <v>553</v>
      </c>
      <c r="C7" s="568"/>
      <c r="D7" s="568"/>
      <c r="E7" s="568"/>
      <c r="F7" s="568"/>
      <c r="G7" s="576">
        <v>2018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">
        <v>419</v>
      </c>
      <c r="T7" s="221">
        <v>4663130000</v>
      </c>
    </row>
    <row r="8" spans="1:20" ht="16.5" customHeight="1">
      <c r="A8" s="129"/>
      <c r="B8" s="569"/>
      <c r="C8" s="570"/>
      <c r="D8" s="570"/>
      <c r="E8" s="570"/>
      <c r="F8" s="571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6" t="s">
        <v>806</v>
      </c>
      <c r="T8" s="580"/>
    </row>
    <row r="9" spans="1:20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09" t="s">
        <v>680</v>
      </c>
      <c r="C10" s="610"/>
      <c r="D10" s="610"/>
      <c r="E10" s="610"/>
      <c r="F10" s="610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11" t="s">
        <v>21</v>
      </c>
      <c r="C11" s="612"/>
      <c r="D11" s="612"/>
      <c r="E11" s="612"/>
      <c r="F11" s="612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97" t="s">
        <v>23</v>
      </c>
      <c r="C12" s="598"/>
      <c r="D12" s="598"/>
      <c r="E12" s="598"/>
      <c r="F12" s="598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97" t="s">
        <v>25</v>
      </c>
      <c r="C13" s="598"/>
      <c r="D13" s="598"/>
      <c r="E13" s="598"/>
      <c r="F13" s="598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97" t="s">
        <v>27</v>
      </c>
      <c r="C14" s="598"/>
      <c r="D14" s="598"/>
      <c r="E14" s="598"/>
      <c r="F14" s="598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97" t="s">
        <v>29</v>
      </c>
      <c r="C15" s="598"/>
      <c r="D15" s="598"/>
      <c r="E15" s="598"/>
      <c r="F15" s="598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97" t="s">
        <v>31</v>
      </c>
      <c r="C16" s="598"/>
      <c r="D16" s="598"/>
      <c r="E16" s="598"/>
      <c r="F16" s="598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97" t="s">
        <v>33</v>
      </c>
      <c r="C17" s="598"/>
      <c r="D17" s="598"/>
      <c r="E17" s="598"/>
      <c r="F17" s="598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97" t="s">
        <v>721</v>
      </c>
      <c r="C18" s="598"/>
      <c r="D18" s="598"/>
      <c r="E18" s="598"/>
      <c r="F18" s="598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607" t="s">
        <v>37</v>
      </c>
      <c r="C19" s="608"/>
      <c r="D19" s="608"/>
      <c r="E19" s="608"/>
      <c r="F19" s="608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97" t="s">
        <v>39</v>
      </c>
      <c r="C20" s="598"/>
      <c r="D20" s="598"/>
      <c r="E20" s="598"/>
      <c r="F20" s="598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97" t="s">
        <v>41</v>
      </c>
      <c r="C21" s="598"/>
      <c r="D21" s="598"/>
      <c r="E21" s="598"/>
      <c r="F21" s="598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97" t="s">
        <v>43</v>
      </c>
      <c r="C22" s="598"/>
      <c r="D22" s="598"/>
      <c r="E22" s="598"/>
      <c r="F22" s="598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97" t="s">
        <v>45</v>
      </c>
      <c r="C23" s="598"/>
      <c r="D23" s="598"/>
      <c r="E23" s="598"/>
      <c r="F23" s="598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99" t="s">
        <v>47</v>
      </c>
      <c r="C24" s="600"/>
      <c r="D24" s="600"/>
      <c r="E24" s="600"/>
      <c r="F24" s="600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99" t="s">
        <v>61</v>
      </c>
      <c r="C25" s="600"/>
      <c r="D25" s="600"/>
      <c r="E25" s="600"/>
      <c r="F25" s="600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99" t="s">
        <v>81</v>
      </c>
      <c r="C26" s="600"/>
      <c r="D26" s="600"/>
      <c r="E26" s="600"/>
      <c r="F26" s="600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99" t="s">
        <v>99</v>
      </c>
      <c r="C27" s="600"/>
      <c r="D27" s="600"/>
      <c r="E27" s="600"/>
      <c r="F27" s="600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601" t="s">
        <v>105</v>
      </c>
      <c r="C28" s="602"/>
      <c r="D28" s="602"/>
      <c r="E28" s="602"/>
      <c r="F28" s="602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87" t="s">
        <v>801</v>
      </c>
      <c r="C29" s="588"/>
      <c r="D29" s="588"/>
      <c r="E29" s="588"/>
      <c r="F29" s="588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603" t="s">
        <v>773</v>
      </c>
      <c r="C30" s="604"/>
      <c r="D30" s="604"/>
      <c r="E30" s="604"/>
      <c r="F30" s="604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605" t="s">
        <v>120</v>
      </c>
      <c r="C31" s="606"/>
      <c r="D31" s="606"/>
      <c r="E31" s="606"/>
      <c r="F31" s="606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97" t="s">
        <v>122</v>
      </c>
      <c r="C32" s="598"/>
      <c r="D32" s="598"/>
      <c r="E32" s="598"/>
      <c r="F32" s="598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97" t="s">
        <v>133</v>
      </c>
      <c r="C33" s="598"/>
      <c r="D33" s="598"/>
      <c r="E33" s="598"/>
      <c r="F33" s="598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97" t="s">
        <v>148</v>
      </c>
      <c r="C34" s="598"/>
      <c r="D34" s="598"/>
      <c r="E34" s="598"/>
      <c r="F34" s="598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97" t="s">
        <v>162</v>
      </c>
      <c r="C35" s="598"/>
      <c r="D35" s="598"/>
      <c r="E35" s="598"/>
      <c r="F35" s="598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97" t="s">
        <v>182</v>
      </c>
      <c r="C36" s="598"/>
      <c r="D36" s="598"/>
      <c r="E36" s="598"/>
      <c r="F36" s="598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97" t="s">
        <v>190</v>
      </c>
      <c r="C37" s="598"/>
      <c r="D37" s="598"/>
      <c r="E37" s="598"/>
      <c r="F37" s="598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97" t="s">
        <v>196</v>
      </c>
      <c r="C38" s="598"/>
      <c r="D38" s="598"/>
      <c r="E38" s="598"/>
      <c r="F38" s="598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97" t="s">
        <v>204</v>
      </c>
      <c r="C39" s="598"/>
      <c r="D39" s="598"/>
      <c r="E39" s="598"/>
      <c r="F39" s="598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97" t="s">
        <v>212</v>
      </c>
      <c r="C40" s="598"/>
      <c r="D40" s="598"/>
      <c r="E40" s="598"/>
      <c r="F40" s="598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97" t="s">
        <v>802</v>
      </c>
      <c r="C41" s="598"/>
      <c r="D41" s="598"/>
      <c r="E41" s="598"/>
      <c r="F41" s="598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93" t="s">
        <v>230</v>
      </c>
      <c r="C42" s="594"/>
      <c r="D42" s="594"/>
      <c r="E42" s="594"/>
      <c r="F42" s="594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97" t="s">
        <v>232</v>
      </c>
      <c r="C43" s="598"/>
      <c r="D43" s="598"/>
      <c r="E43" s="598"/>
      <c r="F43" s="598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97" t="s">
        <v>248</v>
      </c>
      <c r="C44" s="598"/>
      <c r="D44" s="598"/>
      <c r="E44" s="598"/>
      <c r="F44" s="598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97" t="s">
        <v>259</v>
      </c>
      <c r="C45" s="598"/>
      <c r="D45" s="598"/>
      <c r="E45" s="598"/>
      <c r="F45" s="598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97" t="s">
        <v>274</v>
      </c>
      <c r="C46" s="598"/>
      <c r="D46" s="598"/>
      <c r="E46" s="598"/>
      <c r="F46" s="598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6" t="s">
        <v>278</v>
      </c>
      <c r="C47" s="677"/>
      <c r="D47" s="677"/>
      <c r="E47" s="677"/>
      <c r="F47" s="677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95" t="s">
        <v>286</v>
      </c>
      <c r="C48" s="596"/>
      <c r="D48" s="596"/>
      <c r="E48" s="596"/>
      <c r="F48" s="596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95" t="s">
        <v>320</v>
      </c>
      <c r="C49" s="596"/>
      <c r="D49" s="596"/>
      <c r="E49" s="596"/>
      <c r="F49" s="596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19" t="s">
        <v>113</v>
      </c>
      <c r="C50" s="620"/>
      <c r="D50" s="620"/>
      <c r="E50" s="620"/>
      <c r="F50" s="620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65" t="s">
        <v>366</v>
      </c>
      <c r="C51" s="566"/>
      <c r="D51" s="566"/>
      <c r="E51" s="566"/>
      <c r="F51" s="566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3" t="s">
        <v>359</v>
      </c>
      <c r="C52" s="584"/>
      <c r="D52" s="584"/>
      <c r="E52" s="584"/>
      <c r="F52" s="584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26" t="s">
        <v>794</v>
      </c>
      <c r="C53" s="627"/>
      <c r="D53" s="627"/>
      <c r="E53" s="627"/>
      <c r="F53" s="627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28" t="s">
        <v>684</v>
      </c>
      <c r="C54" s="629"/>
      <c r="D54" s="629"/>
      <c r="E54" s="629"/>
      <c r="F54" s="629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9" t="s">
        <v>545</v>
      </c>
      <c r="C55" s="590"/>
      <c r="D55" s="590"/>
      <c r="E55" s="590"/>
      <c r="F55" s="590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91" t="s">
        <v>793</v>
      </c>
      <c r="C57" s="592"/>
      <c r="D57" s="592"/>
      <c r="E57" s="592"/>
      <c r="F57" s="592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13" t="s">
        <v>352</v>
      </c>
      <c r="C58" s="614"/>
      <c r="D58" s="614"/>
      <c r="E58" s="614"/>
      <c r="F58" s="614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81" t="s">
        <v>355</v>
      </c>
      <c r="C59" s="582"/>
      <c r="D59" s="582"/>
      <c r="E59" s="582"/>
      <c r="F59" s="582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65" t="s">
        <v>357</v>
      </c>
      <c r="C60" s="566"/>
      <c r="D60" s="566"/>
      <c r="E60" s="566"/>
      <c r="F60" s="566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4" t="s">
        <v>336</v>
      </c>
      <c r="C61" s="675"/>
      <c r="D61" s="675"/>
      <c r="E61" s="675"/>
      <c r="F61" s="675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85" t="s">
        <v>543</v>
      </c>
      <c r="C62" s="586"/>
      <c r="D62" s="586"/>
      <c r="E62" s="586"/>
      <c r="F62" s="586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87" t="s">
        <v>544</v>
      </c>
      <c r="C63" s="588"/>
      <c r="D63" s="588"/>
      <c r="E63" s="588"/>
      <c r="F63" s="588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81" t="s">
        <v>114</v>
      </c>
      <c r="C64" s="582"/>
      <c r="D64" s="582"/>
      <c r="E64" s="582"/>
      <c r="F64" s="582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65" t="s">
        <v>116</v>
      </c>
      <c r="C65" s="566"/>
      <c r="D65" s="566"/>
      <c r="E65" s="566"/>
      <c r="F65" s="566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65" t="s">
        <v>93</v>
      </c>
      <c r="C66" s="566"/>
      <c r="D66" s="566"/>
      <c r="E66" s="566"/>
      <c r="F66" s="566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6" t="s">
        <v>551</v>
      </c>
      <c r="C103" s="637"/>
      <c r="D103" s="637"/>
      <c r="E103" s="637"/>
      <c r="F103" s="637"/>
      <c r="G103" s="621">
        <v>2018</v>
      </c>
      <c r="H103" s="622"/>
      <c r="I103" s="622"/>
      <c r="J103" s="622"/>
      <c r="K103" s="622"/>
      <c r="L103" s="622"/>
      <c r="M103" s="622"/>
      <c r="N103" s="622"/>
      <c r="O103" s="622"/>
      <c r="P103" s="622"/>
      <c r="Q103" s="622"/>
      <c r="R103" s="623"/>
      <c r="S103" s="96" t="str">
        <f>+S7</f>
        <v>BDP</v>
      </c>
      <c r="T103" s="97">
        <f>+T7</f>
        <v>4663130000</v>
      </c>
    </row>
    <row r="104" spans="1:21" ht="15.75" customHeight="1">
      <c r="B104" s="638"/>
      <c r="C104" s="639"/>
      <c r="D104" s="639"/>
      <c r="E104" s="639"/>
      <c r="F104" s="640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21" t="s">
        <v>806</v>
      </c>
      <c r="T104" s="623">
        <f>+T8</f>
        <v>0</v>
      </c>
    </row>
    <row r="105" spans="1:21" ht="13.5" thickBot="1">
      <c r="B105" s="641"/>
      <c r="C105" s="642"/>
      <c r="D105" s="642"/>
      <c r="E105" s="642"/>
      <c r="F105" s="643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6" t="s">
        <v>680</v>
      </c>
      <c r="C106" s="667"/>
      <c r="D106" s="667"/>
      <c r="E106" s="667"/>
      <c r="F106" s="667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2" t="s">
        <v>21</v>
      </c>
      <c r="C107" s="633"/>
      <c r="D107" s="633"/>
      <c r="E107" s="633"/>
      <c r="F107" s="633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34" t="s">
        <v>23</v>
      </c>
      <c r="C108" s="635"/>
      <c r="D108" s="635"/>
      <c r="E108" s="635"/>
      <c r="F108" s="635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34" t="s">
        <v>25</v>
      </c>
      <c r="C109" s="635"/>
      <c r="D109" s="635"/>
      <c r="E109" s="635"/>
      <c r="F109" s="635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34" t="s">
        <v>27</v>
      </c>
      <c r="C110" s="635"/>
      <c r="D110" s="635"/>
      <c r="E110" s="635"/>
      <c r="F110" s="635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34" t="s">
        <v>29</v>
      </c>
      <c r="C111" s="635"/>
      <c r="D111" s="635"/>
      <c r="E111" s="635"/>
      <c r="F111" s="635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34" t="s">
        <v>31</v>
      </c>
      <c r="C112" s="635"/>
      <c r="D112" s="635"/>
      <c r="E112" s="635"/>
      <c r="F112" s="635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34" t="s">
        <v>33</v>
      </c>
      <c r="C113" s="635"/>
      <c r="D113" s="635"/>
      <c r="E113" s="635"/>
      <c r="F113" s="635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34" t="s">
        <v>721</v>
      </c>
      <c r="C114" s="635"/>
      <c r="D114" s="635"/>
      <c r="E114" s="635"/>
      <c r="F114" s="635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4" t="s">
        <v>37</v>
      </c>
      <c r="C115" s="665"/>
      <c r="D115" s="665"/>
      <c r="E115" s="665"/>
      <c r="F115" s="665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34" t="s">
        <v>39</v>
      </c>
      <c r="C116" s="635"/>
      <c r="D116" s="635"/>
      <c r="E116" s="635"/>
      <c r="F116" s="635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34" t="s">
        <v>41</v>
      </c>
      <c r="C117" s="635"/>
      <c r="D117" s="635"/>
      <c r="E117" s="635"/>
      <c r="F117" s="635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34" t="s">
        <v>43</v>
      </c>
      <c r="C118" s="635"/>
      <c r="D118" s="635"/>
      <c r="E118" s="635"/>
      <c r="F118" s="635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34" t="s">
        <v>45</v>
      </c>
      <c r="C119" s="635"/>
      <c r="D119" s="635"/>
      <c r="E119" s="635"/>
      <c r="F119" s="635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44" t="s">
        <v>47</v>
      </c>
      <c r="C120" s="645"/>
      <c r="D120" s="645"/>
      <c r="E120" s="645"/>
      <c r="F120" s="645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44" t="s">
        <v>61</v>
      </c>
      <c r="C121" s="645"/>
      <c r="D121" s="645"/>
      <c r="E121" s="645"/>
      <c r="F121" s="645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44" t="s">
        <v>81</v>
      </c>
      <c r="C122" s="645"/>
      <c r="D122" s="645"/>
      <c r="E122" s="645"/>
      <c r="F122" s="645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44" t="s">
        <v>99</v>
      </c>
      <c r="C123" s="645"/>
      <c r="D123" s="645"/>
      <c r="E123" s="645"/>
      <c r="F123" s="645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46" t="s">
        <v>105</v>
      </c>
      <c r="C124" s="647"/>
      <c r="D124" s="647"/>
      <c r="E124" s="647"/>
      <c r="F124" s="647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30" t="s">
        <v>808</v>
      </c>
      <c r="C125" s="631"/>
      <c r="D125" s="631"/>
      <c r="E125" s="631"/>
      <c r="F125" s="631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72" t="s">
        <v>773</v>
      </c>
      <c r="C126" s="673"/>
      <c r="D126" s="673"/>
      <c r="E126" s="673"/>
      <c r="F126" s="673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48" t="s">
        <v>120</v>
      </c>
      <c r="C127" s="649"/>
      <c r="D127" s="649"/>
      <c r="E127" s="649"/>
      <c r="F127" s="649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34" t="s">
        <v>122</v>
      </c>
      <c r="C128" s="635"/>
      <c r="D128" s="635"/>
      <c r="E128" s="635"/>
      <c r="F128" s="635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34" t="s">
        <v>133</v>
      </c>
      <c r="C129" s="635"/>
      <c r="D129" s="635"/>
      <c r="E129" s="635"/>
      <c r="F129" s="635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34" t="s">
        <v>148</v>
      </c>
      <c r="C130" s="635"/>
      <c r="D130" s="635"/>
      <c r="E130" s="635"/>
      <c r="F130" s="635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34" t="s">
        <v>162</v>
      </c>
      <c r="C131" s="635"/>
      <c r="D131" s="635"/>
      <c r="E131" s="635"/>
      <c r="F131" s="635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34" t="s">
        <v>182</v>
      </c>
      <c r="C132" s="635"/>
      <c r="D132" s="635"/>
      <c r="E132" s="635"/>
      <c r="F132" s="635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34" t="s">
        <v>190</v>
      </c>
      <c r="C133" s="635"/>
      <c r="D133" s="635"/>
      <c r="E133" s="635"/>
      <c r="F133" s="635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34" t="s">
        <v>196</v>
      </c>
      <c r="C134" s="635"/>
      <c r="D134" s="635"/>
      <c r="E134" s="635"/>
      <c r="F134" s="635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34" t="s">
        <v>204</v>
      </c>
      <c r="C135" s="635"/>
      <c r="D135" s="635"/>
      <c r="E135" s="635"/>
      <c r="F135" s="635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34" t="s">
        <v>212</v>
      </c>
      <c r="C136" s="635"/>
      <c r="D136" s="635"/>
      <c r="E136" s="635"/>
      <c r="F136" s="635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34" t="s">
        <v>802</v>
      </c>
      <c r="C137" s="635"/>
      <c r="D137" s="635"/>
      <c r="E137" s="635"/>
      <c r="F137" s="635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54" t="s">
        <v>230</v>
      </c>
      <c r="C138" s="655"/>
      <c r="D138" s="655"/>
      <c r="E138" s="655"/>
      <c r="F138" s="655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34" t="s">
        <v>232</v>
      </c>
      <c r="C139" s="635"/>
      <c r="D139" s="635"/>
      <c r="E139" s="635"/>
      <c r="F139" s="635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34" t="s">
        <v>248</v>
      </c>
      <c r="C140" s="635"/>
      <c r="D140" s="635"/>
      <c r="E140" s="635"/>
      <c r="F140" s="635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34" t="s">
        <v>259</v>
      </c>
      <c r="C141" s="635"/>
      <c r="D141" s="635"/>
      <c r="E141" s="635"/>
      <c r="F141" s="635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34" t="s">
        <v>274</v>
      </c>
      <c r="C142" s="635"/>
      <c r="D142" s="635"/>
      <c r="E142" s="635"/>
      <c r="F142" s="635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34" t="s">
        <v>278</v>
      </c>
      <c r="C143" s="635"/>
      <c r="D143" s="635"/>
      <c r="E143" s="635"/>
      <c r="F143" s="635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50" t="s">
        <v>286</v>
      </c>
      <c r="C144" s="651"/>
      <c r="D144" s="651"/>
      <c r="E144" s="651"/>
      <c r="F144" s="651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50" t="s">
        <v>809</v>
      </c>
      <c r="C145" s="651"/>
      <c r="D145" s="651"/>
      <c r="E145" s="651"/>
      <c r="F145" s="651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52" t="s">
        <v>113</v>
      </c>
      <c r="C146" s="653"/>
      <c r="D146" s="653"/>
      <c r="E146" s="653"/>
      <c r="F146" s="653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52" t="s">
        <v>366</v>
      </c>
      <c r="C147" s="653"/>
      <c r="D147" s="653"/>
      <c r="E147" s="653"/>
      <c r="F147" s="653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52" t="s">
        <v>359</v>
      </c>
      <c r="C148" s="653"/>
      <c r="D148" s="653"/>
      <c r="E148" s="653"/>
      <c r="F148" s="653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60" t="s">
        <v>545</v>
      </c>
      <c r="C150" s="661"/>
      <c r="D150" s="661"/>
      <c r="E150" s="661"/>
      <c r="F150" s="661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62" t="s">
        <v>810</v>
      </c>
      <c r="C151" s="663"/>
      <c r="D151" s="663"/>
      <c r="E151" s="663"/>
      <c r="F151" s="663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54" t="s">
        <v>352</v>
      </c>
      <c r="C152" s="655"/>
      <c r="D152" s="655"/>
      <c r="E152" s="655"/>
      <c r="F152" s="655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58" t="s">
        <v>355</v>
      </c>
      <c r="C153" s="659"/>
      <c r="D153" s="659"/>
      <c r="E153" s="659"/>
      <c r="F153" s="659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52" t="s">
        <v>357</v>
      </c>
      <c r="C154" s="653"/>
      <c r="D154" s="653"/>
      <c r="E154" s="653"/>
      <c r="F154" s="653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52" t="s">
        <v>365</v>
      </c>
      <c r="C155" s="653"/>
      <c r="D155" s="653"/>
      <c r="E155" s="653"/>
      <c r="F155" s="653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56" t="s">
        <v>543</v>
      </c>
      <c r="C157" s="657"/>
      <c r="D157" s="657"/>
      <c r="E157" s="657"/>
      <c r="F157" s="657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30" t="s">
        <v>544</v>
      </c>
      <c r="C158" s="631"/>
      <c r="D158" s="631"/>
      <c r="E158" s="631"/>
      <c r="F158" s="631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58" t="s">
        <v>114</v>
      </c>
      <c r="C159" s="659"/>
      <c r="D159" s="659"/>
      <c r="E159" s="659"/>
      <c r="F159" s="659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52" t="s">
        <v>116</v>
      </c>
      <c r="C160" s="653"/>
      <c r="D160" s="653"/>
      <c r="E160" s="653"/>
      <c r="F160" s="653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52" t="s">
        <v>93</v>
      </c>
      <c r="C161" s="653"/>
      <c r="D161" s="653"/>
      <c r="E161" s="653"/>
      <c r="F161" s="653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81" t="s">
        <v>554</v>
      </c>
      <c r="F6" s="678">
        <v>2006</v>
      </c>
      <c r="G6" s="679"/>
      <c r="H6" s="679"/>
      <c r="I6" s="679"/>
      <c r="J6" s="679"/>
      <c r="K6" s="679"/>
      <c r="L6" s="679"/>
      <c r="M6" s="679"/>
      <c r="N6" s="679"/>
      <c r="O6" s="679"/>
      <c r="P6" s="679"/>
      <c r="Q6" s="680"/>
      <c r="R6" s="678">
        <v>2007</v>
      </c>
      <c r="S6" s="679"/>
      <c r="T6" s="679"/>
      <c r="U6" s="679"/>
      <c r="V6" s="679"/>
      <c r="W6" s="679"/>
      <c r="X6" s="679"/>
      <c r="Y6" s="679"/>
      <c r="Z6" s="679"/>
      <c r="AA6" s="679"/>
      <c r="AB6" s="679"/>
      <c r="AC6" s="680"/>
      <c r="AD6" s="678">
        <v>2008</v>
      </c>
      <c r="AE6" s="679"/>
      <c r="AF6" s="679"/>
      <c r="AG6" s="679"/>
      <c r="AH6" s="679"/>
      <c r="AI6" s="679"/>
      <c r="AJ6" s="679"/>
      <c r="AK6" s="679"/>
      <c r="AL6" s="679"/>
      <c r="AM6" s="679"/>
      <c r="AN6" s="679"/>
      <c r="AO6" s="680"/>
      <c r="AP6" s="678">
        <v>2009</v>
      </c>
      <c r="AQ6" s="679"/>
      <c r="AR6" s="679"/>
      <c r="AS6" s="679"/>
      <c r="AT6" s="679"/>
      <c r="AU6" s="679"/>
      <c r="AV6" s="679"/>
      <c r="AW6" s="679"/>
      <c r="AX6" s="679"/>
      <c r="AY6" s="679"/>
      <c r="AZ6" s="679"/>
      <c r="BA6" s="680"/>
      <c r="BB6" s="678">
        <v>2010</v>
      </c>
      <c r="BC6" s="679"/>
      <c r="BD6" s="679"/>
      <c r="BE6" s="679"/>
      <c r="BF6" s="679"/>
      <c r="BG6" s="679"/>
      <c r="BH6" s="679"/>
      <c r="BI6" s="679"/>
      <c r="BJ6" s="679"/>
      <c r="BK6" s="679"/>
      <c r="BL6" s="679"/>
      <c r="BM6" s="680"/>
      <c r="BN6" s="678">
        <v>2011</v>
      </c>
      <c r="BO6" s="679"/>
      <c r="BP6" s="679"/>
      <c r="BQ6" s="679"/>
      <c r="BR6" s="679"/>
      <c r="BS6" s="679"/>
      <c r="BT6" s="679"/>
      <c r="BU6" s="679"/>
      <c r="BV6" s="679"/>
      <c r="BW6" s="679"/>
      <c r="BX6" s="679"/>
      <c r="BY6" s="680"/>
      <c r="BZ6" s="679">
        <v>2012</v>
      </c>
      <c r="CA6" s="679"/>
      <c r="CB6" s="679"/>
      <c r="CC6" s="679"/>
      <c r="CD6" s="679"/>
      <c r="CE6" s="679"/>
      <c r="CF6" s="679"/>
      <c r="CG6" s="679"/>
      <c r="CH6" s="679"/>
      <c r="CI6" s="679"/>
      <c r="CJ6" s="679"/>
      <c r="CK6" s="679"/>
      <c r="CL6" s="678">
        <v>2013</v>
      </c>
      <c r="CM6" s="679"/>
      <c r="CN6" s="679"/>
      <c r="CO6" s="679"/>
      <c r="CP6" s="679"/>
      <c r="CQ6" s="679"/>
      <c r="CR6" s="679"/>
      <c r="CS6" s="679"/>
      <c r="CT6" s="679"/>
      <c r="CU6" s="679"/>
      <c r="CV6" s="679"/>
      <c r="CW6" s="680"/>
      <c r="CX6" s="678">
        <v>2014</v>
      </c>
      <c r="CY6" s="679"/>
      <c r="CZ6" s="679"/>
      <c r="DA6" s="679"/>
      <c r="DB6" s="679"/>
      <c r="DC6" s="679"/>
      <c r="DD6" s="679"/>
      <c r="DE6" s="679"/>
      <c r="DF6" s="679"/>
      <c r="DG6" s="679"/>
      <c r="DH6" s="679"/>
      <c r="DI6" s="680"/>
      <c r="DJ6" s="678">
        <v>2015</v>
      </c>
      <c r="DK6" s="679"/>
      <c r="DL6" s="679"/>
      <c r="DM6" s="679"/>
      <c r="DN6" s="679"/>
      <c r="DO6" s="679"/>
      <c r="DP6" s="679"/>
      <c r="DQ6" s="679"/>
      <c r="DR6" s="679"/>
      <c r="DS6" s="679"/>
      <c r="DT6" s="679"/>
      <c r="DU6" s="680"/>
    </row>
    <row r="7" spans="1:321">
      <c r="E7" s="681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81" t="s">
        <v>675</v>
      </c>
      <c r="F214" s="678">
        <v>2006</v>
      </c>
      <c r="G214" s="679"/>
      <c r="H214" s="679"/>
      <c r="I214" s="679"/>
      <c r="J214" s="679"/>
      <c r="K214" s="679"/>
      <c r="L214" s="679"/>
      <c r="M214" s="679"/>
      <c r="N214" s="679"/>
      <c r="O214" s="679"/>
      <c r="P214" s="679"/>
      <c r="Q214" s="680"/>
      <c r="R214" s="678">
        <v>2007</v>
      </c>
      <c r="S214" s="679"/>
      <c r="T214" s="679"/>
      <c r="U214" s="679"/>
      <c r="V214" s="679"/>
      <c r="W214" s="679"/>
      <c r="X214" s="679"/>
      <c r="Y214" s="679"/>
      <c r="Z214" s="679"/>
      <c r="AA214" s="679"/>
      <c r="AB214" s="679"/>
      <c r="AC214" s="680"/>
      <c r="AD214" s="678">
        <v>2008</v>
      </c>
      <c r="AE214" s="679"/>
      <c r="AF214" s="679"/>
      <c r="AG214" s="679"/>
      <c r="AH214" s="679"/>
      <c r="AI214" s="679"/>
      <c r="AJ214" s="679"/>
      <c r="AK214" s="679"/>
      <c r="AL214" s="679"/>
      <c r="AM214" s="679"/>
      <c r="AN214" s="679"/>
      <c r="AO214" s="680"/>
      <c r="AP214" s="678">
        <v>2009</v>
      </c>
      <c r="AQ214" s="679"/>
      <c r="AR214" s="679"/>
      <c r="AS214" s="679"/>
      <c r="AT214" s="679"/>
      <c r="AU214" s="679"/>
      <c r="AV214" s="679"/>
      <c r="AW214" s="679"/>
      <c r="AX214" s="679"/>
      <c r="AY214" s="679"/>
      <c r="AZ214" s="679"/>
      <c r="BA214" s="680"/>
      <c r="BB214" s="678">
        <v>2010</v>
      </c>
      <c r="BC214" s="679"/>
      <c r="BD214" s="679"/>
      <c r="BE214" s="679"/>
      <c r="BF214" s="679"/>
      <c r="BG214" s="679"/>
      <c r="BH214" s="679"/>
      <c r="BI214" s="679"/>
      <c r="BJ214" s="679"/>
      <c r="BK214" s="679"/>
      <c r="BL214" s="679"/>
      <c r="BM214" s="680"/>
      <c r="BN214" s="678">
        <v>2011</v>
      </c>
      <c r="BO214" s="679"/>
      <c r="BP214" s="679"/>
      <c r="BQ214" s="679"/>
      <c r="BR214" s="679"/>
      <c r="BS214" s="679"/>
      <c r="BT214" s="679"/>
      <c r="BU214" s="679"/>
      <c r="BV214" s="679"/>
      <c r="BW214" s="679"/>
      <c r="BX214" s="679"/>
      <c r="BY214" s="680"/>
      <c r="BZ214" s="679">
        <v>2012</v>
      </c>
      <c r="CA214" s="679"/>
      <c r="CB214" s="679"/>
      <c r="CC214" s="679"/>
      <c r="CD214" s="679"/>
      <c r="CE214" s="679"/>
      <c r="CF214" s="679"/>
      <c r="CG214" s="679"/>
      <c r="CH214" s="679"/>
      <c r="CI214" s="679"/>
      <c r="CJ214" s="679"/>
      <c r="CK214" s="679"/>
      <c r="CL214" s="678">
        <v>2013</v>
      </c>
      <c r="CM214" s="679"/>
      <c r="CN214" s="679"/>
      <c r="CO214" s="679"/>
      <c r="CP214" s="679"/>
      <c r="CQ214" s="679"/>
      <c r="CR214" s="679"/>
      <c r="CS214" s="679"/>
      <c r="CT214" s="679"/>
      <c r="CU214" s="679"/>
      <c r="CV214" s="679"/>
      <c r="CW214" s="680"/>
      <c r="CX214" s="678">
        <v>2014</v>
      </c>
      <c r="CY214" s="679"/>
      <c r="CZ214" s="679"/>
      <c r="DA214" s="679"/>
      <c r="DB214" s="679"/>
      <c r="DC214" s="679"/>
      <c r="DD214" s="679"/>
      <c r="DE214" s="679"/>
      <c r="DF214" s="679"/>
      <c r="DG214" s="679"/>
      <c r="DH214" s="679"/>
      <c r="DI214" s="680"/>
      <c r="DJ214" s="678">
        <v>2015</v>
      </c>
      <c r="DK214" s="679"/>
      <c r="DL214" s="679"/>
      <c r="DM214" s="679"/>
      <c r="DN214" s="679"/>
      <c r="DO214" s="679"/>
      <c r="DP214" s="679"/>
      <c r="DQ214" s="679"/>
      <c r="DR214" s="679"/>
      <c r="DS214" s="679"/>
      <c r="DT214" s="679"/>
      <c r="DU214" s="680"/>
    </row>
    <row r="215" spans="1:187">
      <c r="E215" s="681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B1:G286"/>
  <sheetViews>
    <sheetView zoomScaleNormal="100" workbookViewId="0">
      <pane ySplit="4" topLeftCell="A14" activePane="bottomLeft" state="frozen"/>
      <selection pane="bottomLeft" activeCell="B3" sqref="B3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10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2025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Oktobar</v>
      </c>
    </row>
    <row r="246" spans="4:7">
      <c r="D246" s="41"/>
      <c r="G246" s="44" t="str">
        <f>+CONCATENATE("Jan - ",LEFT(G245,3))</f>
        <v>Jan - Okt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Okt</v>
      </c>
      <c r="F254" s="6" t="str">
        <f>+CONCATENATE("Analytics for period ",G246)</f>
        <v>Analytics for period Jan - Okt</v>
      </c>
      <c r="G254" s="44" t="str">
        <f>+IF(ISBLANK(IF($B$2=1,E254,F254)),"",IF($B$2=1,E254,F254))</f>
        <v>Analitika za period Jan - Okt</v>
      </c>
    </row>
    <row r="255" spans="4:7">
      <c r="E255" s="5" t="str">
        <f>+CONCATENATE("Analitika za period ",G245)</f>
        <v>Analitika za period Oktobar</v>
      </c>
      <c r="F255" s="6" t="str">
        <f>+CONCATENATE("Analytics for period ",G245)</f>
        <v>Analytics for period Oktobar</v>
      </c>
      <c r="G255" s="44" t="str">
        <f>+IF(ISBLANK(IF($B$2=1,E255,F255)),"",IF($B$2=1,E255,F255))</f>
        <v>Analitika za period Oktobar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Oktobar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Oktobar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Oktobar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Oktobar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Oktobar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Oktobar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B5" sqref="B5"/>
    </sheetView>
  </sheetViews>
  <sheetFormatPr defaultColWidth="9.140625" defaultRowHeight="15"/>
  <cols>
    <col min="1" max="3" width="9.140625" style="116"/>
    <col min="4" max="4" width="10" style="116" bestFit="1" customWidth="1"/>
    <col min="5" max="5" width="9.140625" style="116"/>
    <col min="6" max="7" width="9.140625" style="116" customWidth="1"/>
    <col min="8" max="8" width="11" style="116" customWidth="1"/>
    <col min="9" max="9" width="9.140625" style="116" customWidth="1"/>
    <col min="10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Oktobar</v>
      </c>
      <c r="G11" s="122" t="str">
        <f>+Master!G274</f>
        <v>Prihodi za period Januar - Oktobar</v>
      </c>
      <c r="J11" s="121"/>
    </row>
    <row r="12" spans="3:10">
      <c r="C12" s="120"/>
      <c r="D12" s="123">
        <f>+'Analitika 2025'!N10</f>
        <v>245582563.78999999</v>
      </c>
      <c r="E12" s="427">
        <f>+D12/'2025'!T7</f>
        <v>3.0226662373995346E-2</v>
      </c>
      <c r="G12" s="123">
        <f>+'Analitika 2025'!G10</f>
        <v>2347226860.21</v>
      </c>
      <c r="H12" s="427">
        <f>+G12/'2025'!T7</f>
        <v>0.28890012679975874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Oktobar</v>
      </c>
      <c r="G15" s="122" t="str">
        <f>+Master!G275</f>
        <v>Rashodi za period Januar - Oktobar</v>
      </c>
      <c r="J15" s="121"/>
    </row>
    <row r="16" spans="3:10">
      <c r="C16" s="120"/>
      <c r="D16" s="123">
        <f>+'Analitika 2025'!N29</f>
        <v>277867972.86999995</v>
      </c>
      <c r="E16" s="427">
        <f>+D16/'2025'!T7</f>
        <v>3.4200397906384232E-2</v>
      </c>
      <c r="G16" s="123">
        <f>+'Analitika 2025'!G29</f>
        <v>2466021151.0500002</v>
      </c>
      <c r="H16" s="427">
        <f>+G16/'2025'!T7</f>
        <v>0.3035215024616294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Oktobar</v>
      </c>
      <c r="G19" s="122" t="str">
        <f>+Master!G276</f>
        <v>Suficit/Deficit za period Januar - Oktobar</v>
      </c>
      <c r="J19" s="121"/>
    </row>
    <row r="20" spans="3:11">
      <c r="C20" s="120"/>
      <c r="D20" s="123">
        <f>+'Analitika 2025'!N53</f>
        <v>-32285409.079999954</v>
      </c>
      <c r="E20" s="427">
        <f>+D20/'2025'!T7</f>
        <v>-3.9737355323888821E-3</v>
      </c>
      <c r="G20" s="123">
        <f>+'Analitika 2025'!G53</f>
        <v>-118794290.84000015</v>
      </c>
      <c r="H20" s="427">
        <f>+G20/'2025'!T7</f>
        <v>-1.4621375661870611E-2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4k+tIEuyznLCJhTqxuXOS6F5KGNz6p1Pt6acwBgPqA4Ngx94N6QkIwEx/xmq5oguQlUTSF3vxif25LPO5TedeQ==" saltValue="XKO7c4bv3pq97S4YkItN2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topLeftCell="A19" zoomScale="90" zoomScaleNormal="90" workbookViewId="0">
      <selection activeCell="G53" sqref="G5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5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1" width="9.140625" style="4"/>
    <col min="22" max="23" width="15.4257812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2025-10</v>
      </c>
      <c r="O6" s="128" t="str">
        <f>+CONCATENATE(N6,"p")</f>
        <v>2025-10p</v>
      </c>
      <c r="P6" s="116"/>
      <c r="Q6" s="116"/>
      <c r="R6" s="128" t="str">
        <f>+IF(Master!B3-10&gt;=0,CONCATENATE(Master!B4-1,"-",Master!B3),CONCATENATE(Master!B4-1,"-0",Master!B3))</f>
        <v>2024-10</v>
      </c>
      <c r="S6" s="116"/>
      <c r="T6" s="116"/>
    </row>
    <row r="7" spans="1:25" ht="14.25" customHeight="1">
      <c r="A7" s="129"/>
      <c r="B7" s="567" t="str">
        <f>+Master!G254</f>
        <v>Analitika za period Jan - Okt</v>
      </c>
      <c r="C7" s="568"/>
      <c r="D7" s="568"/>
      <c r="E7" s="568"/>
      <c r="F7" s="568"/>
      <c r="G7" s="576" t="str">
        <f>+Master!G246</f>
        <v>Jan - Okt</v>
      </c>
      <c r="H7" s="577"/>
      <c r="I7" s="577"/>
      <c r="J7" s="577"/>
      <c r="K7" s="577"/>
      <c r="L7" s="577"/>
      <c r="M7" s="580"/>
      <c r="N7" s="577" t="str">
        <f>+Master!G245</f>
        <v>Oktobar</v>
      </c>
      <c r="O7" s="577"/>
      <c r="P7" s="577"/>
      <c r="Q7" s="577"/>
      <c r="R7" s="577"/>
      <c r="S7" s="577"/>
      <c r="T7" s="580"/>
    </row>
    <row r="8" spans="1:25" ht="29.25" customHeight="1">
      <c r="A8" s="129"/>
      <c r="B8" s="569"/>
      <c r="C8" s="570"/>
      <c r="D8" s="570"/>
      <c r="E8" s="570"/>
      <c r="F8" s="571"/>
      <c r="G8" s="487" t="str">
        <f>+Master!G26</f>
        <v>Ostvarenje</v>
      </c>
      <c r="H8" s="330" t="str">
        <f>+Master!G25</f>
        <v>Plan</v>
      </c>
      <c r="I8" s="563" t="str">
        <f>+Master!G261</f>
        <v>Odstupanje</v>
      </c>
      <c r="J8" s="563"/>
      <c r="K8" s="130" t="str">
        <f>+CONCATENATE(Master!G246," ",Master!B4-1)</f>
        <v>Jan - Okt 2024</v>
      </c>
      <c r="L8" s="563" t="str">
        <f>+I8</f>
        <v>Odstupanje</v>
      </c>
      <c r="M8" s="564"/>
      <c r="N8" s="487" t="str">
        <f>+G8</f>
        <v>Ostvarenje</v>
      </c>
      <c r="O8" s="130" t="str">
        <f>+H8</f>
        <v>Plan</v>
      </c>
      <c r="P8" s="563" t="str">
        <f>+I8</f>
        <v>Odstupanje</v>
      </c>
      <c r="Q8" s="563"/>
      <c r="R8" s="130" t="str">
        <f>+CONCATENATE(Master!G245," ",Master!B4-1)</f>
        <v>Oktobar 2024</v>
      </c>
      <c r="S8" s="563" t="str">
        <f>+P8</f>
        <v>Odstupanje</v>
      </c>
      <c r="T8" s="564"/>
    </row>
    <row r="9" spans="1:25" ht="15.75" thickBot="1">
      <c r="A9" s="129"/>
      <c r="B9" s="572"/>
      <c r="C9" s="573"/>
      <c r="D9" s="573"/>
      <c r="E9" s="573"/>
      <c r="F9" s="574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87" t="str">
        <f>+VLOOKUP($A10,Master!$D$30:$G$226,4,FALSE)</f>
        <v>Prihodi budžeta</v>
      </c>
      <c r="C10" s="588"/>
      <c r="D10" s="588"/>
      <c r="E10" s="588"/>
      <c r="F10" s="588"/>
      <c r="G10" s="136">
        <f>'2025'!S10</f>
        <v>2347226860.21</v>
      </c>
      <c r="H10" s="136">
        <f>SUM('2025'!G86:P86)</f>
        <v>2382296117.3335457</v>
      </c>
      <c r="I10" s="137">
        <f>+G10-H10</f>
        <v>-35069257.123545647</v>
      </c>
      <c r="J10" s="139">
        <f>IF(+IF(ISERROR(G10/H10),"…",G10/H10-1)&gt;200%,"...",IF(ISERROR(G10/H10),"…",G10/H10-1))</f>
        <v>-1.4720780035857972E-2</v>
      </c>
      <c r="K10" s="136">
        <f>SUM('2024'!G10:P10)</f>
        <v>2318682655.5799999</v>
      </c>
      <c r="L10" s="137">
        <f>+G10-K10</f>
        <v>28544204.630000114</v>
      </c>
      <c r="M10" s="141">
        <f>IF(+IF(ISERROR(G10/K10),"…",G10/K10-1)&gt;200%,"...",IF(ISERROR(G10/K10),"…",G10/K10-1))</f>
        <v>1.2310526652410836E-2</v>
      </c>
      <c r="N10" s="136">
        <f>'2025'!P10</f>
        <v>245582563.78999999</v>
      </c>
      <c r="O10" s="136">
        <f>'2025'!P86</f>
        <v>262167779.34604847</v>
      </c>
      <c r="P10" s="137">
        <f>+N10-O10</f>
        <v>-16585215.556048483</v>
      </c>
      <c r="Q10" s="139">
        <f>IF(+IF(ISERROR(N10/O10),"…",N10/O10-1)&gt;200%,"...",IF(ISERROR(N10/O10),"…",N10/O10-1))</f>
        <v>-6.3261837886481209E-2</v>
      </c>
      <c r="R10" s="136">
        <f>'2024'!P10</f>
        <v>242863704.44000006</v>
      </c>
      <c r="S10" s="137">
        <f>+N10-R10</f>
        <v>2718859.3499999344</v>
      </c>
      <c r="T10" s="141">
        <f>IF(+IF(ISERROR(N10/R10),"…",N10/R10-1)&gt;200%,"...",IF(ISERROR(N10/R10),"…",N10/R10-1))</f>
        <v>1.1195000736191174E-2</v>
      </c>
      <c r="U10" s="560"/>
      <c r="W10" s="470"/>
      <c r="Y10" s="470"/>
    </row>
    <row r="11" spans="1:25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262">
        <f>'2025'!S11</f>
        <v>1887233019.7600002</v>
      </c>
      <c r="H11" s="262">
        <f>SUM('2025'!G87:P87)</f>
        <v>1840223645.9688909</v>
      </c>
      <c r="I11" s="143">
        <f t="shared" ref="I11:I57" si="0">+G11-H11</f>
        <v>47009373.791109324</v>
      </c>
      <c r="J11" s="145">
        <f t="shared" ref="J11:J66" si="1">IF(+IF(ISERROR(G11/H11-1),"…",G11/H11-1)&gt;200%,"...",IF(ISERROR(G11/H11-1),"…",G11/H11-1))</f>
        <v>2.5545467744687356E-2</v>
      </c>
      <c r="K11" s="262">
        <f>SUM('2024'!G11:P11)</f>
        <v>1668980871.1699998</v>
      </c>
      <c r="L11" s="143">
        <f>+G11-K11</f>
        <v>218252148.59000039</v>
      </c>
      <c r="M11" s="147">
        <f t="shared" ref="M11:M66" si="2">IF(+IF(ISERROR(G11/K11),"…",G11/K11-1)&gt;200%,"...",IF(ISERROR(G11/K11),"…",G11/K11-1))</f>
        <v>0.13076971243954394</v>
      </c>
      <c r="N11" s="262">
        <f>'2025'!P11</f>
        <v>193702062.08000001</v>
      </c>
      <c r="O11" s="262">
        <f>'2025'!P87</f>
        <v>184622585.63486344</v>
      </c>
      <c r="P11" s="143">
        <f>+N11-O11</f>
        <v>9079476.4451365769</v>
      </c>
      <c r="Q11" s="145">
        <f t="shared" ref="Q11:Q66" si="3">IF(+IF(ISERROR(N11/O11),"…",N11/O11-1)&gt;200%,"...",IF(ISERROR(N11/O11),"…",N11/O11-1))</f>
        <v>4.9178579174995907E-2</v>
      </c>
      <c r="R11" s="262">
        <f>'2024'!P11</f>
        <v>170940704.73000002</v>
      </c>
      <c r="S11" s="143">
        <f t="shared" ref="S11:S57" si="4">+N11-R11</f>
        <v>22761357.349999994</v>
      </c>
      <c r="T11" s="147">
        <f t="shared" ref="T11:T66" si="5">IF(+IF(ISERROR(N11/R11),"…",N11/R11-1)&gt;200%,"...",IF(ISERROR(N11/R11),"…",N11/R11-1))</f>
        <v>0.1331535247029163</v>
      </c>
      <c r="W11" s="470"/>
      <c r="Y11" s="470"/>
    </row>
    <row r="12" spans="1:25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148">
        <f>'2025'!S12</f>
        <v>85472505.599999994</v>
      </c>
      <c r="H12" s="148">
        <f>SUM('2025'!G88:P88)</f>
        <v>84112491.240803689</v>
      </c>
      <c r="I12" s="149">
        <f t="shared" si="0"/>
        <v>1360014.3591963053</v>
      </c>
      <c r="J12" s="151">
        <f t="shared" si="1"/>
        <v>1.6168993916762631E-2</v>
      </c>
      <c r="K12" s="148">
        <f>SUM('2024'!G12:P12)</f>
        <v>70000406.50999999</v>
      </c>
      <c r="L12" s="149">
        <f>+G12-K12</f>
        <v>15472099.090000004</v>
      </c>
      <c r="M12" s="153">
        <f t="shared" si="2"/>
        <v>0.22102870342316816</v>
      </c>
      <c r="N12" s="148">
        <f>'2025'!P12</f>
        <v>7543936.3200000003</v>
      </c>
      <c r="O12" s="148">
        <f>'2025'!P88</f>
        <v>9766273.4549816232</v>
      </c>
      <c r="P12" s="149">
        <f t="shared" ref="P12:P57" si="6">+N12-O12</f>
        <v>-2222337.1349816229</v>
      </c>
      <c r="Q12" s="151">
        <f t="shared" si="3"/>
        <v>-0.22755221274784632</v>
      </c>
      <c r="R12" s="148">
        <f>'2024'!P12</f>
        <v>10490866.799999999</v>
      </c>
      <c r="S12" s="149">
        <f t="shared" si="4"/>
        <v>-2946930.4799999986</v>
      </c>
      <c r="T12" s="153">
        <f t="shared" si="5"/>
        <v>-0.28090438437365339</v>
      </c>
      <c r="W12" s="470"/>
      <c r="Y12" s="470"/>
    </row>
    <row r="13" spans="1:25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148">
        <f>'2025'!S13</f>
        <v>226703659.44</v>
      </c>
      <c r="H13" s="148">
        <f>SUM('2025'!G89:P89)</f>
        <v>211439058.47535121</v>
      </c>
      <c r="I13" s="149">
        <f t="shared" si="0"/>
        <v>15264600.964648783</v>
      </c>
      <c r="J13" s="151">
        <f t="shared" si="1"/>
        <v>7.2193856114944222E-2</v>
      </c>
      <c r="K13" s="148">
        <f>SUM('2024'!G13:P13)</f>
        <v>205898816.11999997</v>
      </c>
      <c r="L13" s="149">
        <f t="shared" ref="L13:L57" si="7">+G13-K13</f>
        <v>20804843.320000023</v>
      </c>
      <c r="M13" s="153">
        <f t="shared" si="2"/>
        <v>0.10104401624084502</v>
      </c>
      <c r="N13" s="148">
        <f>'2025'!P13</f>
        <v>4156533.98</v>
      </c>
      <c r="O13" s="148">
        <f>'2025'!P89</f>
        <v>2722374.4844172499</v>
      </c>
      <c r="P13" s="149">
        <f t="shared" si="6"/>
        <v>1434159.4955827501</v>
      </c>
      <c r="Q13" s="151">
        <f t="shared" si="3"/>
        <v>0.52680463462753391</v>
      </c>
      <c r="R13" s="148">
        <f>'2024'!P13</f>
        <v>1559675.8199999998</v>
      </c>
      <c r="S13" s="149">
        <f t="shared" si="4"/>
        <v>2596858.16</v>
      </c>
      <c r="T13" s="153">
        <f t="shared" si="5"/>
        <v>1.6649986661971847</v>
      </c>
      <c r="W13" s="470"/>
      <c r="Y13" s="470"/>
    </row>
    <row r="14" spans="1:25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148">
        <f>'2025'!S14</f>
        <v>0</v>
      </c>
      <c r="H14" s="148">
        <f>SUM('2025'!G90:P90)</f>
        <v>0</v>
      </c>
      <c r="I14" s="149">
        <f t="shared" si="0"/>
        <v>0</v>
      </c>
      <c r="J14" s="151" t="str">
        <f t="shared" si="1"/>
        <v>...</v>
      </c>
      <c r="K14" s="148">
        <f>SUM('2024'!G14:P14)</f>
        <v>0</v>
      </c>
      <c r="L14" s="149">
        <f t="shared" si="7"/>
        <v>0</v>
      </c>
      <c r="M14" s="153" t="str">
        <f t="shared" si="2"/>
        <v>...</v>
      </c>
      <c r="N14" s="148">
        <f>'2025'!P14</f>
        <v>0</v>
      </c>
      <c r="O14" s="148">
        <f>'2025'!P90</f>
        <v>0</v>
      </c>
      <c r="P14" s="149">
        <f t="shared" si="6"/>
        <v>0</v>
      </c>
      <c r="Q14" s="151" t="str">
        <f t="shared" si="3"/>
        <v>...</v>
      </c>
      <c r="R14" s="148">
        <f>'2024'!P14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148">
        <f>'2025'!S15</f>
        <v>1164725717.2800002</v>
      </c>
      <c r="H15" s="148">
        <f>SUM('2025'!G91:P91)</f>
        <v>1136814409.5309153</v>
      </c>
      <c r="I15" s="149">
        <f t="shared" si="0"/>
        <v>27911307.749084949</v>
      </c>
      <c r="J15" s="151">
        <f t="shared" si="1"/>
        <v>2.4552211438454652E-2</v>
      </c>
      <c r="K15" s="148">
        <f>SUM('2024'!G15:P15)</f>
        <v>1020489514.9000001</v>
      </c>
      <c r="L15" s="149">
        <f t="shared" si="7"/>
        <v>144236202.38000011</v>
      </c>
      <c r="M15" s="153">
        <f t="shared" si="2"/>
        <v>0.14134021004040798</v>
      </c>
      <c r="N15" s="148">
        <f>'2025'!P15</f>
        <v>134545730.12</v>
      </c>
      <c r="O15" s="148">
        <f>'2025'!P91</f>
        <v>125537123.651255</v>
      </c>
      <c r="P15" s="149">
        <f t="shared" si="6"/>
        <v>9008606.4687450081</v>
      </c>
      <c r="Q15" s="151">
        <f t="shared" si="3"/>
        <v>7.1760497665783074E-2</v>
      </c>
      <c r="R15" s="148">
        <f>'2024'!P15</f>
        <v>118929652.58000001</v>
      </c>
      <c r="S15" s="149">
        <f t="shared" si="4"/>
        <v>15616077.539999992</v>
      </c>
      <c r="T15" s="153">
        <f t="shared" si="5"/>
        <v>0.13130516402959791</v>
      </c>
      <c r="W15" s="470"/>
      <c r="Y15" s="470"/>
    </row>
    <row r="16" spans="1:25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148">
        <f>'2025'!S16</f>
        <v>338301709.45999998</v>
      </c>
      <c r="H16" s="148">
        <f>SUM('2025'!G92:P92)</f>
        <v>342651764.85000002</v>
      </c>
      <c r="I16" s="149">
        <f t="shared" si="0"/>
        <v>-4350055.3900000453</v>
      </c>
      <c r="J16" s="151">
        <f t="shared" si="1"/>
        <v>-1.2695266262248261E-2</v>
      </c>
      <c r="K16" s="148">
        <f>SUM('2024'!G16:P16)</f>
        <v>309947316.20999986</v>
      </c>
      <c r="L16" s="149">
        <f t="shared" si="7"/>
        <v>28354393.250000119</v>
      </c>
      <c r="M16" s="153">
        <f t="shared" si="2"/>
        <v>9.148133172022388E-2</v>
      </c>
      <c r="N16" s="148">
        <f>'2025'!P16</f>
        <v>39650532.630000003</v>
      </c>
      <c r="O16" s="148">
        <f>'2025'!P92</f>
        <v>40000000</v>
      </c>
      <c r="P16" s="149">
        <f t="shared" si="6"/>
        <v>-349467.36999999732</v>
      </c>
      <c r="Q16" s="151">
        <f t="shared" si="3"/>
        <v>-8.7366842499999597E-3</v>
      </c>
      <c r="R16" s="148">
        <f>'2024'!P16</f>
        <v>33032024.919999976</v>
      </c>
      <c r="S16" s="149">
        <f t="shared" si="4"/>
        <v>6618507.710000027</v>
      </c>
      <c r="T16" s="153">
        <f t="shared" si="5"/>
        <v>0.20036639370517983</v>
      </c>
      <c r="W16" s="470"/>
      <c r="Y16" s="470"/>
    </row>
    <row r="17" spans="1:25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148">
        <f>'2025'!S17</f>
        <v>58584450.380000003</v>
      </c>
      <c r="H17" s="148">
        <f>SUM('2025'!G93:P93)</f>
        <v>52241920.710854024</v>
      </c>
      <c r="I17" s="149">
        <f t="shared" si="0"/>
        <v>6342529.669145979</v>
      </c>
      <c r="J17" s="151">
        <f t="shared" si="1"/>
        <v>0.12140690048993985</v>
      </c>
      <c r="K17" s="148">
        <f>SUM('2024'!G17:P17)</f>
        <v>50225678.159999996</v>
      </c>
      <c r="L17" s="149">
        <f t="shared" si="7"/>
        <v>8358772.2200000063</v>
      </c>
      <c r="M17" s="153">
        <f t="shared" si="2"/>
        <v>0.16642427790366754</v>
      </c>
      <c r="N17" s="148">
        <f>'2025'!P17</f>
        <v>6274901.9400000004</v>
      </c>
      <c r="O17" s="148">
        <f>'2025'!P93</f>
        <v>5367439.8597435215</v>
      </c>
      <c r="P17" s="149">
        <f t="shared" si="6"/>
        <v>907462.08025647886</v>
      </c>
      <c r="Q17" s="151">
        <f>IF(+IF(ISERROR(N17/O17),"…",N17/O17-1)&gt;200%,"...",IF(ISERROR(N17/O17),"…",N17/O17-1))</f>
        <v>0.16906795492252447</v>
      </c>
      <c r="R17" s="148">
        <f>'2024'!P17</f>
        <v>5536331.330000001</v>
      </c>
      <c r="S17" s="149">
        <f t="shared" si="4"/>
        <v>738570.6099999994</v>
      </c>
      <c r="T17" s="153">
        <f t="shared" si="5"/>
        <v>0.13340433691131692</v>
      </c>
      <c r="W17" s="470"/>
      <c r="Y17" s="470"/>
    </row>
    <row r="18" spans="1:25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148">
        <f>'2025'!S18</f>
        <v>13444977.6</v>
      </c>
      <c r="H18" s="148">
        <f>SUM('2025'!G94:P94)</f>
        <v>12964001.160966301</v>
      </c>
      <c r="I18" s="149">
        <f t="shared" si="0"/>
        <v>480976.43903369829</v>
      </c>
      <c r="J18" s="151">
        <f t="shared" si="1"/>
        <v>3.7100925328662049E-2</v>
      </c>
      <c r="K18" s="148">
        <f>SUM('2024'!G18:P18)</f>
        <v>12419139.27</v>
      </c>
      <c r="L18" s="149">
        <f t="shared" si="7"/>
        <v>1025838.3300000001</v>
      </c>
      <c r="M18" s="153">
        <f t="shared" si="2"/>
        <v>8.2601403180817989E-2</v>
      </c>
      <c r="N18" s="148">
        <f>'2025'!P18</f>
        <v>1530427.09</v>
      </c>
      <c r="O18" s="148">
        <f>'2025'!P94</f>
        <v>1229374.1844660435</v>
      </c>
      <c r="P18" s="149">
        <f t="shared" si="6"/>
        <v>301052.9055339566</v>
      </c>
      <c r="Q18" s="151">
        <f t="shared" si="3"/>
        <v>0.24488305459636228</v>
      </c>
      <c r="R18" s="148">
        <f>'2024'!P18</f>
        <v>1392153.2800000003</v>
      </c>
      <c r="S18" s="149">
        <f t="shared" si="4"/>
        <v>138273.80999999982</v>
      </c>
      <c r="T18" s="153">
        <f t="shared" si="5"/>
        <v>9.9323696597547029E-2</v>
      </c>
      <c r="W18" s="470"/>
      <c r="Y18" s="470"/>
    </row>
    <row r="19" spans="1:25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154">
        <f>'2025'!S19</f>
        <v>325249659.5</v>
      </c>
      <c r="H19" s="154">
        <f>SUM('2025'!G95:P95)</f>
        <v>347266426.53584892</v>
      </c>
      <c r="I19" s="155">
        <f t="shared" si="0"/>
        <v>-22016767.035848916</v>
      </c>
      <c r="J19" s="157">
        <f t="shared" si="1"/>
        <v>-6.3400217681498505E-2</v>
      </c>
      <c r="K19" s="154">
        <f>SUM('2024'!G19:P19)</f>
        <v>484931075.12000024</v>
      </c>
      <c r="L19" s="155">
        <f t="shared" si="7"/>
        <v>-159681415.62000024</v>
      </c>
      <c r="M19" s="159">
        <f t="shared" si="2"/>
        <v>-0.32928682819612198</v>
      </c>
      <c r="N19" s="154">
        <f>'2025'!P19</f>
        <v>34596670.239999995</v>
      </c>
      <c r="O19" s="154">
        <f>'2025'!P95</f>
        <v>34451717.199254267</v>
      </c>
      <c r="P19" s="155">
        <f t="shared" si="6"/>
        <v>144953.04074572772</v>
      </c>
      <c r="Q19" s="157">
        <f t="shared" si="3"/>
        <v>4.2074257113913216E-3</v>
      </c>
      <c r="R19" s="154">
        <f>'2024'!P19</f>
        <v>54762650.330000028</v>
      </c>
      <c r="S19" s="155">
        <f t="shared" si="4"/>
        <v>-20165980.090000033</v>
      </c>
      <c r="T19" s="159">
        <f t="shared" si="5"/>
        <v>-0.36824331854794701</v>
      </c>
      <c r="W19" s="470"/>
      <c r="Y19" s="470"/>
    </row>
    <row r="20" spans="1:25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148">
        <f>'2025'!S20</f>
        <v>273575984.69</v>
      </c>
      <c r="H20" s="148">
        <f>SUM('2025'!G96:P96)</f>
        <v>308255333.4388237</v>
      </c>
      <c r="I20" s="149">
        <f t="shared" si="0"/>
        <v>-34679348.748823702</v>
      </c>
      <c r="J20" s="151">
        <f t="shared" si="1"/>
        <v>-0.11250202344254379</v>
      </c>
      <c r="K20" s="148">
        <f>SUM('2024'!G20:P20)</f>
        <v>444502164.57000023</v>
      </c>
      <c r="L20" s="149">
        <f t="shared" si="7"/>
        <v>-170926179.88000023</v>
      </c>
      <c r="M20" s="153">
        <f t="shared" si="2"/>
        <v>-0.38453396519530958</v>
      </c>
      <c r="N20" s="148">
        <f>'2025'!P20</f>
        <v>28683629.949999999</v>
      </c>
      <c r="O20" s="148">
        <f>'2025'!P96</f>
        <v>30021604.530378401</v>
      </c>
      <c r="P20" s="149">
        <f t="shared" si="6"/>
        <v>-1337974.580378402</v>
      </c>
      <c r="Q20" s="151">
        <f t="shared" si="3"/>
        <v>-4.4567057667571519E-2</v>
      </c>
      <c r="R20" s="148">
        <f>'2024'!P20</f>
        <v>50008955.340000033</v>
      </c>
      <c r="S20" s="149">
        <f t="shared" si="4"/>
        <v>-21325325.390000034</v>
      </c>
      <c r="T20" s="153">
        <f t="shared" si="5"/>
        <v>-0.42643013126376617</v>
      </c>
      <c r="W20" s="470"/>
      <c r="Y20" s="470"/>
    </row>
    <row r="21" spans="1:25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148">
        <f>'2025'!S21</f>
        <v>5769616.2600000007</v>
      </c>
      <c r="H21" s="148">
        <f>SUM('2025'!G97:P97)</f>
        <v>4899952.2669410799</v>
      </c>
      <c r="I21" s="149">
        <f t="shared" si="0"/>
        <v>869663.99305892084</v>
      </c>
      <c r="J21" s="151">
        <f t="shared" si="1"/>
        <v>0.17748417651460735</v>
      </c>
      <c r="K21" s="148">
        <f>SUM('2024'!G21:P21)</f>
        <v>4302666.17</v>
      </c>
      <c r="L21" s="149">
        <f t="shared" si="7"/>
        <v>1466950.0900000008</v>
      </c>
      <c r="M21" s="153">
        <f t="shared" si="2"/>
        <v>0.34093978757361998</v>
      </c>
      <c r="N21" s="148">
        <f>'2025'!P21</f>
        <v>591623.41</v>
      </c>
      <c r="O21" s="148">
        <f>'2025'!P97</f>
        <v>500023.86869410798</v>
      </c>
      <c r="P21" s="149">
        <f t="shared" si="6"/>
        <v>91599.541305892053</v>
      </c>
      <c r="Q21" s="151">
        <f t="shared" si="3"/>
        <v>0.18319033758352155</v>
      </c>
      <c r="R21" s="148">
        <f>'2024'!P21</f>
        <v>631287.55000000028</v>
      </c>
      <c r="S21" s="149">
        <f t="shared" si="4"/>
        <v>-39664.140000000247</v>
      </c>
      <c r="T21" s="153">
        <f t="shared" si="5"/>
        <v>-6.2830543703895625E-2</v>
      </c>
      <c r="W21" s="470"/>
      <c r="Y21" s="470"/>
    </row>
    <row r="22" spans="1:25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148">
        <f>'2025'!S22</f>
        <v>26838458.359999999</v>
      </c>
      <c r="H22" s="148">
        <f>SUM('2025'!G98:P98)</f>
        <v>19173695.039113097</v>
      </c>
      <c r="I22" s="149">
        <f t="shared" si="0"/>
        <v>7664763.3208869025</v>
      </c>
      <c r="J22" s="151">
        <f t="shared" si="1"/>
        <v>0.39975410609437989</v>
      </c>
      <c r="K22" s="148">
        <f>SUM('2024'!G22:P22)</f>
        <v>20898635.579999998</v>
      </c>
      <c r="L22" s="149">
        <f t="shared" si="7"/>
        <v>5939822.7800000012</v>
      </c>
      <c r="M22" s="153">
        <f t="shared" si="2"/>
        <v>0.2842206017355704</v>
      </c>
      <c r="N22" s="148">
        <f>'2025'!P22</f>
        <v>3092583.31</v>
      </c>
      <c r="O22" s="148">
        <f>'2025'!P98</f>
        <v>2212922.8121625958</v>
      </c>
      <c r="P22" s="149">
        <f t="shared" si="6"/>
        <v>879660.49783740425</v>
      </c>
      <c r="Q22" s="151">
        <f t="shared" si="3"/>
        <v>0.39751070078117601</v>
      </c>
      <c r="R22" s="148">
        <f>'2024'!P22</f>
        <v>2360830.6399999983</v>
      </c>
      <c r="S22" s="149">
        <f t="shared" si="4"/>
        <v>731752.67000000179</v>
      </c>
      <c r="T22" s="153">
        <f t="shared" si="5"/>
        <v>0.30995559681485774</v>
      </c>
      <c r="W22" s="470"/>
      <c r="Y22" s="470"/>
    </row>
    <row r="23" spans="1:25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148">
        <f>'2025'!S23</f>
        <v>19065600.190000001</v>
      </c>
      <c r="H23" s="148">
        <f>SUM('2025'!G99:P99)</f>
        <v>14937445.790971043</v>
      </c>
      <c r="I23" s="149">
        <f t="shared" si="0"/>
        <v>4128154.3990289588</v>
      </c>
      <c r="J23" s="151">
        <f t="shared" si="1"/>
        <v>0.27636280370799593</v>
      </c>
      <c r="K23" s="148">
        <f>SUM('2024'!G23:P23)</f>
        <v>15227608.800000001</v>
      </c>
      <c r="L23" s="149">
        <f t="shared" si="7"/>
        <v>3837991.3900000006</v>
      </c>
      <c r="M23" s="153">
        <f t="shared" si="2"/>
        <v>0.25204163308949723</v>
      </c>
      <c r="N23" s="148">
        <f>'2025'!P23</f>
        <v>2228833.5699999998</v>
      </c>
      <c r="O23" s="148">
        <f>'2025'!P99</f>
        <v>1717165.9880191621</v>
      </c>
      <c r="P23" s="149">
        <f t="shared" si="6"/>
        <v>511667.58198083774</v>
      </c>
      <c r="Q23" s="151">
        <f t="shared" si="3"/>
        <v>0.2979721154220345</v>
      </c>
      <c r="R23" s="148">
        <f>'2024'!P23</f>
        <v>1761576.7999999998</v>
      </c>
      <c r="S23" s="149">
        <f t="shared" si="4"/>
        <v>467256.77</v>
      </c>
      <c r="T23" s="153">
        <f t="shared" si="5"/>
        <v>0.26524916200077109</v>
      </c>
      <c r="W23" s="470"/>
      <c r="Y23" s="470"/>
    </row>
    <row r="24" spans="1:25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f>'2025'!S24</f>
        <v>14048990.190000001</v>
      </c>
      <c r="H24" s="160">
        <f>SUM('2025'!G100:P100)</f>
        <v>14871714.43344887</v>
      </c>
      <c r="I24" s="161">
        <f t="shared" si="0"/>
        <v>-822724.24344886839</v>
      </c>
      <c r="J24" s="163">
        <f t="shared" si="1"/>
        <v>-5.5321412143204518E-2</v>
      </c>
      <c r="K24" s="160">
        <f>SUM('2024'!G24:P24)</f>
        <v>13503530.069999998</v>
      </c>
      <c r="L24" s="161">
        <f t="shared" si="7"/>
        <v>545460.12000000291</v>
      </c>
      <c r="M24" s="165">
        <f t="shared" si="2"/>
        <v>4.0393890869456328E-2</v>
      </c>
      <c r="N24" s="160">
        <f>'2025'!P24</f>
        <v>1626186.0899999999</v>
      </c>
      <c r="O24" s="160">
        <f>'2025'!P100</f>
        <v>1445137.6649783505</v>
      </c>
      <c r="P24" s="161">
        <f t="shared" si="6"/>
        <v>181048.42502164934</v>
      </c>
      <c r="Q24" s="163">
        <f t="shared" si="3"/>
        <v>0.125281092181873</v>
      </c>
      <c r="R24" s="160">
        <f>'2024'!P24</f>
        <v>1483761.4700000002</v>
      </c>
      <c r="S24" s="161">
        <f t="shared" si="4"/>
        <v>142424.61999999965</v>
      </c>
      <c r="T24" s="165">
        <f t="shared" si="5"/>
        <v>9.5988892338604526E-2</v>
      </c>
      <c r="W24" s="470"/>
      <c r="Y24" s="470"/>
    </row>
    <row r="25" spans="1:25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f>'2025'!S25</f>
        <v>60187003.530000001</v>
      </c>
      <c r="H25" s="160">
        <f>SUM('2025'!G101:P101)</f>
        <v>61002686.333810814</v>
      </c>
      <c r="I25" s="161">
        <f t="shared" si="0"/>
        <v>-815682.80381081253</v>
      </c>
      <c r="J25" s="163">
        <f t="shared" si="1"/>
        <v>-1.3371260395769191E-2</v>
      </c>
      <c r="K25" s="160">
        <f>SUM('2024'!G25:P25)</f>
        <v>43372442.360000007</v>
      </c>
      <c r="L25" s="161">
        <f t="shared" si="7"/>
        <v>16814561.169999994</v>
      </c>
      <c r="M25" s="165">
        <f t="shared" si="2"/>
        <v>0.38767844868950996</v>
      </c>
      <c r="N25" s="160">
        <f>'2025'!P25</f>
        <v>7790053.5899999999</v>
      </c>
      <c r="O25" s="160">
        <f>'2025'!P101</f>
        <v>6100843.3902709605</v>
      </c>
      <c r="P25" s="161">
        <f t="shared" si="6"/>
        <v>1689210.1997290393</v>
      </c>
      <c r="Q25" s="163">
        <f t="shared" si="3"/>
        <v>0.27688142305420094</v>
      </c>
      <c r="R25" s="160">
        <f>'2024'!P25</f>
        <v>5561939.7699999977</v>
      </c>
      <c r="S25" s="161">
        <f t="shared" si="4"/>
        <v>2228113.8200000022</v>
      </c>
      <c r="T25" s="165">
        <f t="shared" si="5"/>
        <v>0.40060013451026699</v>
      </c>
      <c r="W25" s="470"/>
      <c r="Y25" s="470"/>
    </row>
    <row r="26" spans="1:25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f>'2025'!S26</f>
        <v>43152753.490000002</v>
      </c>
      <c r="H26" s="160">
        <f>SUM('2025'!G102:P102)</f>
        <v>41055678.277102008</v>
      </c>
      <c r="I26" s="161">
        <f t="shared" si="0"/>
        <v>2097075.2128979936</v>
      </c>
      <c r="J26" s="163">
        <f t="shared" si="1"/>
        <v>5.107881055438801E-2</v>
      </c>
      <c r="K26" s="160">
        <f>SUM('2024'!G26:P26)</f>
        <v>78912420.400000006</v>
      </c>
      <c r="L26" s="161">
        <f t="shared" si="7"/>
        <v>-35759666.910000004</v>
      </c>
      <c r="M26" s="165">
        <f t="shared" si="2"/>
        <v>-0.45315638183111673</v>
      </c>
      <c r="N26" s="160">
        <f>'2025'!P26</f>
        <v>3391417.58</v>
      </c>
      <c r="O26" s="160">
        <f>'2025'!P102</f>
        <v>7393786.0589036718</v>
      </c>
      <c r="P26" s="161">
        <f t="shared" si="6"/>
        <v>-4002368.4789036717</v>
      </c>
      <c r="Q26" s="163">
        <f t="shared" si="3"/>
        <v>-0.54131515938089381</v>
      </c>
      <c r="R26" s="160">
        <f>'2024'!P26</f>
        <v>4545482.1499999976</v>
      </c>
      <c r="S26" s="161">
        <f t="shared" si="4"/>
        <v>-1154064.5699999975</v>
      </c>
      <c r="T26" s="165">
        <f t="shared" si="5"/>
        <v>-0.25389266350985407</v>
      </c>
      <c r="W26" s="470"/>
      <c r="Y26" s="470"/>
    </row>
    <row r="27" spans="1:25" hidden="1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f>'2025'!S27</f>
        <v>0</v>
      </c>
      <c r="H27" s="160">
        <f>SUM('2025'!G103:P103)</f>
        <v>0</v>
      </c>
      <c r="I27" s="161">
        <f t="shared" si="0"/>
        <v>0</v>
      </c>
      <c r="J27" s="163" t="str">
        <f t="shared" si="1"/>
        <v>...</v>
      </c>
      <c r="K27" s="160">
        <f>SUM('2024'!G27:P27)</f>
        <v>0</v>
      </c>
      <c r="L27" s="161">
        <f t="shared" si="7"/>
        <v>0</v>
      </c>
      <c r="M27" s="165" t="str">
        <f t="shared" si="2"/>
        <v>...</v>
      </c>
      <c r="N27" s="160">
        <f>'2025'!P27</f>
        <v>0</v>
      </c>
      <c r="O27" s="160">
        <f>'2025'!P103</f>
        <v>0</v>
      </c>
      <c r="P27" s="161">
        <f t="shared" si="6"/>
        <v>0</v>
      </c>
      <c r="Q27" s="163" t="str">
        <f t="shared" si="3"/>
        <v>...</v>
      </c>
      <c r="R27" s="160">
        <f>'2024'!P27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601" t="str">
        <f>+VLOOKUP($A28,Master!$D$30:$G$226,4,FALSE)</f>
        <v>Donacije i transferi</v>
      </c>
      <c r="C28" s="602"/>
      <c r="D28" s="602"/>
      <c r="E28" s="602"/>
      <c r="F28" s="602"/>
      <c r="G28" s="160">
        <f>'2025'!S28</f>
        <v>17355433.739999998</v>
      </c>
      <c r="H28" s="160">
        <f>SUM('2025'!G104:P104)</f>
        <v>77875965.784444392</v>
      </c>
      <c r="I28" s="161">
        <f t="shared" si="0"/>
        <v>-60520532.044444397</v>
      </c>
      <c r="J28" s="163">
        <f t="shared" si="1"/>
        <v>-0.77714005129594521</v>
      </c>
      <c r="K28" s="160">
        <f>SUM('2024'!G28:P28)</f>
        <v>28982316.459999993</v>
      </c>
      <c r="L28" s="161">
        <f t="shared" si="7"/>
        <v>-11626882.719999995</v>
      </c>
      <c r="M28" s="165">
        <f t="shared" si="2"/>
        <v>-0.40117161566594794</v>
      </c>
      <c r="N28" s="160">
        <f>'2025'!P28</f>
        <v>4476174.21</v>
      </c>
      <c r="O28" s="160">
        <f>'2025'!P104</f>
        <v>28153709.397777781</v>
      </c>
      <c r="P28" s="161">
        <f t="shared" si="6"/>
        <v>-23677535.18777778</v>
      </c>
      <c r="Q28" s="163">
        <f t="shared" si="3"/>
        <v>-0.84100943336605893</v>
      </c>
      <c r="R28" s="160">
        <f>'2024'!P28</f>
        <v>5569165.9900000002</v>
      </c>
      <c r="S28" s="161">
        <f t="shared" si="4"/>
        <v>-1092991.7800000003</v>
      </c>
      <c r="T28" s="165">
        <f t="shared" si="5"/>
        <v>-0.19625771290756588</v>
      </c>
      <c r="W28" s="470"/>
      <c r="Y28" s="470"/>
    </row>
    <row r="29" spans="1:25" ht="15.7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>'2025'!S29</f>
        <v>2466021151.0500002</v>
      </c>
      <c r="H29" s="136">
        <f>SUM('2025'!G105:P105)</f>
        <v>2592437877.4699998</v>
      </c>
      <c r="I29" s="137">
        <f t="shared" si="0"/>
        <v>-126416726.4199996</v>
      </c>
      <c r="J29" s="139">
        <f t="shared" si="1"/>
        <v>-4.8763647344703842E-2</v>
      </c>
      <c r="K29" s="136">
        <f>SUM('2024'!G29:P29)</f>
        <v>2241192817.9299998</v>
      </c>
      <c r="L29" s="137">
        <f t="shared" si="7"/>
        <v>224828333.12000036</v>
      </c>
      <c r="M29" s="141">
        <f t="shared" si="2"/>
        <v>0.10031637230020007</v>
      </c>
      <c r="N29" s="136">
        <f>'2025'!P29</f>
        <v>277867972.86999995</v>
      </c>
      <c r="O29" s="136">
        <f>'2025'!P105</f>
        <v>285828121.29000002</v>
      </c>
      <c r="P29" s="137">
        <f t="shared" si="6"/>
        <v>-7960148.4200000763</v>
      </c>
      <c r="Q29" s="139">
        <f t="shared" si="3"/>
        <v>-2.7849423576918553E-2</v>
      </c>
      <c r="R29" s="136">
        <f>'2024'!P29</f>
        <v>253494809.23999998</v>
      </c>
      <c r="S29" s="137">
        <f t="shared" si="4"/>
        <v>24373163.629999965</v>
      </c>
      <c r="T29" s="141">
        <f t="shared" si="5"/>
        <v>9.6148570864519334E-2</v>
      </c>
      <c r="V29" s="470"/>
      <c r="W29" s="470"/>
      <c r="Y29" s="470"/>
    </row>
    <row r="30" spans="1:25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294">
        <f>'2025'!S30</f>
        <v>948636409.37</v>
      </c>
      <c r="H30" s="294">
        <f>SUM('2025'!G106:P106)</f>
        <v>1035224474.13</v>
      </c>
      <c r="I30" s="173">
        <f t="shared" si="0"/>
        <v>-86588064.75999999</v>
      </c>
      <c r="J30" s="556">
        <f t="shared" si="1"/>
        <v>-8.36418254434802E-2</v>
      </c>
      <c r="K30" s="294">
        <f>SUM('2024'!G30:P30)</f>
        <v>895233881.74000001</v>
      </c>
      <c r="L30" s="173">
        <f t="shared" si="7"/>
        <v>53402527.629999995</v>
      </c>
      <c r="M30" s="177">
        <f t="shared" si="2"/>
        <v>5.9652040343027846E-2</v>
      </c>
      <c r="N30" s="294">
        <f>'2025'!P30</f>
        <v>111463855.80999996</v>
      </c>
      <c r="O30" s="294">
        <f>'2025'!P106</f>
        <v>123887194.72000001</v>
      </c>
      <c r="P30" s="173">
        <f t="shared" si="6"/>
        <v>-12423338.910000056</v>
      </c>
      <c r="Q30" s="175">
        <f t="shared" si="3"/>
        <v>-0.10027944323122573</v>
      </c>
      <c r="R30" s="294">
        <f>'2024'!P30</f>
        <v>104916598.47999999</v>
      </c>
      <c r="S30" s="173">
        <f t="shared" si="4"/>
        <v>6547257.3299999684</v>
      </c>
      <c r="T30" s="177">
        <f t="shared" si="5"/>
        <v>6.2404399540727074E-2</v>
      </c>
      <c r="W30" s="470"/>
      <c r="Y30" s="470"/>
    </row>
    <row r="31" spans="1:25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148">
        <f>'2025'!S31</f>
        <v>569301763.96000004</v>
      </c>
      <c r="H31" s="148">
        <f>SUM('2025'!G107:P107)</f>
        <v>595799392.08000004</v>
      </c>
      <c r="I31" s="149">
        <f t="shared" si="0"/>
        <v>-26497628.120000005</v>
      </c>
      <c r="J31" s="557">
        <f t="shared" si="1"/>
        <v>-4.4474077134409207E-2</v>
      </c>
      <c r="K31" s="148">
        <f>SUM('2024'!G31:P31)</f>
        <v>561155711.76000011</v>
      </c>
      <c r="L31" s="149">
        <f t="shared" si="7"/>
        <v>8146052.1999999285</v>
      </c>
      <c r="M31" s="153">
        <f t="shared" si="2"/>
        <v>1.4516562924131726E-2</v>
      </c>
      <c r="N31" s="148">
        <f>'2025'!P31</f>
        <v>58250569.069999978</v>
      </c>
      <c r="O31" s="148">
        <f>'2025'!P107</f>
        <v>71633621.799999997</v>
      </c>
      <c r="P31" s="149">
        <f>+N31-O31</f>
        <v>-13383052.730000019</v>
      </c>
      <c r="Q31" s="151">
        <f>IF(+IF(ISERROR(N31/O31),"…",N31/O31-1)&gt;200%,"...",IF(ISERROR(N31/O31),"…",N31/O31-1))</f>
        <v>-0.18682641465993866</v>
      </c>
      <c r="R31" s="148">
        <f>'2024'!P31</f>
        <v>57178613.530000001</v>
      </c>
      <c r="S31" s="149">
        <f t="shared" si="4"/>
        <v>1071955.5399999768</v>
      </c>
      <c r="T31" s="153">
        <f t="shared" si="5"/>
        <v>1.8747490955469681E-2</v>
      </c>
      <c r="W31" s="470"/>
      <c r="Y31" s="470"/>
    </row>
    <row r="32" spans="1:25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148">
        <f>'2025'!S32</f>
        <v>19807305.359999999</v>
      </c>
      <c r="H32" s="148">
        <f>SUM('2025'!G108:P108)</f>
        <v>21543631.270000003</v>
      </c>
      <c r="I32" s="149">
        <f t="shared" si="0"/>
        <v>-1736325.9100000039</v>
      </c>
      <c r="J32" s="557">
        <f t="shared" si="1"/>
        <v>-8.0595786673060887E-2</v>
      </c>
      <c r="K32" s="148">
        <f>SUM('2024'!G32:P32)</f>
        <v>15520750.67</v>
      </c>
      <c r="L32" s="149">
        <f t="shared" si="7"/>
        <v>4286554.6899999995</v>
      </c>
      <c r="M32" s="153">
        <f t="shared" si="2"/>
        <v>0.27618217579420712</v>
      </c>
      <c r="N32" s="148">
        <f>'2025'!P32</f>
        <v>2922121.669999999</v>
      </c>
      <c r="O32" s="148">
        <f>'2025'!P108</f>
        <v>2600813.6500000008</v>
      </c>
      <c r="P32" s="149">
        <f t="shared" si="6"/>
        <v>321308.01999999816</v>
      </c>
      <c r="Q32" s="151">
        <f t="shared" si="3"/>
        <v>0.12354134637827596</v>
      </c>
      <c r="R32" s="148">
        <f>'2024'!P32</f>
        <v>1989821.8199999996</v>
      </c>
      <c r="S32" s="149">
        <f t="shared" si="4"/>
        <v>932299.84999999939</v>
      </c>
      <c r="T32" s="153">
        <f t="shared" si="5"/>
        <v>0.46853433841629077</v>
      </c>
      <c r="W32" s="470"/>
      <c r="Y32" s="470"/>
    </row>
    <row r="33" spans="1:25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148">
        <f>'2025'!S33</f>
        <v>30652826.940000001</v>
      </c>
      <c r="H33" s="148">
        <f>SUM('2025'!G109:P109)</f>
        <v>40410523.18</v>
      </c>
      <c r="I33" s="149">
        <f t="shared" si="0"/>
        <v>-9757696.2399999984</v>
      </c>
      <c r="J33" s="557">
        <f t="shared" si="1"/>
        <v>-0.24146423931549799</v>
      </c>
      <c r="K33" s="148">
        <f>SUM('2024'!G33:P33)</f>
        <v>27782202.930000003</v>
      </c>
      <c r="L33" s="149">
        <f t="shared" si="7"/>
        <v>2870624.0099999979</v>
      </c>
      <c r="M33" s="153">
        <f t="shared" si="2"/>
        <v>0.10332600396134239</v>
      </c>
      <c r="N33" s="148">
        <f>'2025'!P33</f>
        <v>2823163.0100000002</v>
      </c>
      <c r="O33" s="148">
        <f>'2025'!P109</f>
        <v>4654790.7199999969</v>
      </c>
      <c r="P33" s="149">
        <f t="shared" si="6"/>
        <v>-1831627.7099999967</v>
      </c>
      <c r="Q33" s="151">
        <f t="shared" si="3"/>
        <v>-0.39349303119689938</v>
      </c>
      <c r="R33" s="148">
        <f>'2024'!P33</f>
        <v>3454251.1000000006</v>
      </c>
      <c r="S33" s="149">
        <f t="shared" si="4"/>
        <v>-631088.09000000032</v>
      </c>
      <c r="T33" s="153">
        <f t="shared" si="5"/>
        <v>-0.1826989618675956</v>
      </c>
      <c r="W33" s="470"/>
      <c r="Y33" s="470"/>
    </row>
    <row r="34" spans="1:25">
      <c r="A34" s="135">
        <v>414</v>
      </c>
      <c r="B34" s="597" t="str">
        <f>+VLOOKUP($A34,Master!$D$30:$G$226,4,FALSE)</f>
        <v>Rashodi za usluge</v>
      </c>
      <c r="C34" s="598"/>
      <c r="D34" s="598"/>
      <c r="E34" s="598"/>
      <c r="F34" s="598"/>
      <c r="G34" s="148">
        <f>'2025'!S34</f>
        <v>63361623.199999996</v>
      </c>
      <c r="H34" s="148">
        <f>SUM('2025'!G110:P110)</f>
        <v>75670143.280000016</v>
      </c>
      <c r="I34" s="149">
        <f t="shared" si="0"/>
        <v>-12308520.080000021</v>
      </c>
      <c r="J34" s="557">
        <f t="shared" si="1"/>
        <v>-0.16266019260007425</v>
      </c>
      <c r="K34" s="148">
        <f>SUM('2024'!G34:P34)</f>
        <v>48978700.420000002</v>
      </c>
      <c r="L34" s="149">
        <f t="shared" si="7"/>
        <v>14382922.779999994</v>
      </c>
      <c r="M34" s="153">
        <f t="shared" si="2"/>
        <v>0.29365668457235872</v>
      </c>
      <c r="N34" s="148">
        <f>'2025'!P34</f>
        <v>9134655</v>
      </c>
      <c r="O34" s="148">
        <f>'2025'!P110</f>
        <v>9700594.1500000041</v>
      </c>
      <c r="P34" s="149">
        <f t="shared" si="6"/>
        <v>-565939.1500000041</v>
      </c>
      <c r="Q34" s="151">
        <f t="shared" si="3"/>
        <v>-5.8340668751718061E-2</v>
      </c>
      <c r="R34" s="148">
        <f>'2024'!P34</f>
        <v>7251119.8099999996</v>
      </c>
      <c r="S34" s="149">
        <f t="shared" si="4"/>
        <v>1883535.1900000004</v>
      </c>
      <c r="T34" s="153">
        <f t="shared" si="5"/>
        <v>0.2597578359417565</v>
      </c>
      <c r="W34" s="470"/>
      <c r="Y34" s="470"/>
    </row>
    <row r="35" spans="1:25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148">
        <f>'2025'!S35</f>
        <v>22967081.100000001</v>
      </c>
      <c r="H35" s="148">
        <f>SUM('2025'!G111:P111)</f>
        <v>31396851.82</v>
      </c>
      <c r="I35" s="149">
        <f t="shared" si="0"/>
        <v>-8429770.7199999988</v>
      </c>
      <c r="J35" s="557">
        <f t="shared" si="1"/>
        <v>-0.26849095470871953</v>
      </c>
      <c r="K35" s="148">
        <f>SUM('2024'!G35:P35)</f>
        <v>23323673.880000003</v>
      </c>
      <c r="L35" s="149">
        <f t="shared" si="7"/>
        <v>-356592.78000000119</v>
      </c>
      <c r="M35" s="153">
        <f t="shared" si="2"/>
        <v>-1.5288876951147001E-2</v>
      </c>
      <c r="N35" s="148">
        <f>'2025'!P35</f>
        <v>3430466.1300000004</v>
      </c>
      <c r="O35" s="148">
        <f>'2025'!P111</f>
        <v>4674452.66</v>
      </c>
      <c r="P35" s="149">
        <f t="shared" si="6"/>
        <v>-1243986.5299999998</v>
      </c>
      <c r="Q35" s="151">
        <f t="shared" si="3"/>
        <v>-0.26612453274903847</v>
      </c>
      <c r="R35" s="148">
        <f>'2024'!P35</f>
        <v>2529921.85</v>
      </c>
      <c r="S35" s="149">
        <f t="shared" si="4"/>
        <v>900544.28000000026</v>
      </c>
      <c r="T35" s="153">
        <f t="shared" si="5"/>
        <v>0.35595735101461745</v>
      </c>
      <c r="W35" s="470"/>
      <c r="Y35" s="470"/>
    </row>
    <row r="36" spans="1:25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148">
        <f>'2025'!S36</f>
        <v>126974049.94000001</v>
      </c>
      <c r="H36" s="148">
        <f>SUM('2025'!G112:P112)</f>
        <v>129029220.71000001</v>
      </c>
      <c r="I36" s="149">
        <f t="shared" si="0"/>
        <v>-2055170.7699999958</v>
      </c>
      <c r="J36" s="557">
        <f t="shared" si="1"/>
        <v>-1.5927948403401615E-2</v>
      </c>
      <c r="K36" s="148">
        <f>SUM('2024'!G36:P36)</f>
        <v>108982385.80000001</v>
      </c>
      <c r="L36" s="149">
        <f t="shared" si="7"/>
        <v>17991664.140000001</v>
      </c>
      <c r="M36" s="153">
        <f t="shared" si="2"/>
        <v>0.16508781678736195</v>
      </c>
      <c r="N36" s="148">
        <f>'2025'!P36</f>
        <v>15439495.569999998</v>
      </c>
      <c r="O36" s="148">
        <f>'2025'!P112</f>
        <v>14492145.559999999</v>
      </c>
      <c r="P36" s="149">
        <f t="shared" si="6"/>
        <v>947350.00999999978</v>
      </c>
      <c r="Q36" s="151">
        <f t="shared" si="3"/>
        <v>6.5369893372779542E-2</v>
      </c>
      <c r="R36" s="148">
        <f>'2024'!P36</f>
        <v>14869850.659999998</v>
      </c>
      <c r="S36" s="149">
        <f t="shared" si="4"/>
        <v>569644.91000000015</v>
      </c>
      <c r="T36" s="153">
        <f t="shared" si="5"/>
        <v>3.8308717620974431E-2</v>
      </c>
      <c r="W36" s="470"/>
      <c r="Y36" s="470"/>
    </row>
    <row r="37" spans="1:25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148">
        <f>'2025'!S37</f>
        <v>9740685.3899999987</v>
      </c>
      <c r="H37" s="148">
        <f>SUM('2025'!G113:P113)</f>
        <v>11206384.209999999</v>
      </c>
      <c r="I37" s="149">
        <f t="shared" si="0"/>
        <v>-1465698.8200000003</v>
      </c>
      <c r="J37" s="557">
        <f t="shared" si="1"/>
        <v>-0.13079141251395665</v>
      </c>
      <c r="K37" s="148">
        <f>SUM('2024'!G37:P37)</f>
        <v>8808978.7100000009</v>
      </c>
      <c r="L37" s="149">
        <f t="shared" si="7"/>
        <v>931706.67999999784</v>
      </c>
      <c r="M37" s="153">
        <f t="shared" si="2"/>
        <v>0.10576784331903522</v>
      </c>
      <c r="N37" s="148">
        <f>'2025'!P37</f>
        <v>1141838.8899999999</v>
      </c>
      <c r="O37" s="148">
        <f>'2025'!P113</f>
        <v>1138981.2899999996</v>
      </c>
      <c r="P37" s="149">
        <f t="shared" si="6"/>
        <v>2857.600000000326</v>
      </c>
      <c r="Q37" s="151">
        <f t="shared" si="3"/>
        <v>2.508908640632912E-3</v>
      </c>
      <c r="R37" s="148">
        <f>'2024'!P37</f>
        <v>871596.95000000007</v>
      </c>
      <c r="S37" s="149">
        <f t="shared" si="4"/>
        <v>270241.93999999983</v>
      </c>
      <c r="T37" s="153">
        <f t="shared" si="5"/>
        <v>0.31005379263890243</v>
      </c>
      <c r="W37" s="470"/>
      <c r="Y37" s="470"/>
    </row>
    <row r="38" spans="1:25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148">
        <f>'2025'!S38</f>
        <v>49352724.569999993</v>
      </c>
      <c r="H38" s="148">
        <f>SUM('2025'!G114:P114)</f>
        <v>57243230.390000001</v>
      </c>
      <c r="I38" s="149">
        <f t="shared" si="0"/>
        <v>-7890505.8200000077</v>
      </c>
      <c r="J38" s="557">
        <f t="shared" si="1"/>
        <v>-0.13784172846713461</v>
      </c>
      <c r="K38" s="148">
        <f>SUM('2024'!G38:P38)</f>
        <v>56825785.119999975</v>
      </c>
      <c r="L38" s="149">
        <f t="shared" si="7"/>
        <v>-7473060.5499999821</v>
      </c>
      <c r="M38" s="153">
        <f t="shared" si="2"/>
        <v>-0.13150826749193156</v>
      </c>
      <c r="N38" s="148">
        <f>'2025'!P38</f>
        <v>9523418.4199999999</v>
      </c>
      <c r="O38" s="148">
        <f>'2025'!P114</f>
        <v>6721963.5600000015</v>
      </c>
      <c r="P38" s="149">
        <f t="shared" si="6"/>
        <v>2801454.8599999985</v>
      </c>
      <c r="Q38" s="151">
        <f t="shared" si="3"/>
        <v>0.41676138750148151</v>
      </c>
      <c r="R38" s="148">
        <f>'2024'!P38</f>
        <v>11936637.319999993</v>
      </c>
      <c r="S38" s="149">
        <f t="shared" si="4"/>
        <v>-2413218.8999999929</v>
      </c>
      <c r="T38" s="153">
        <f t="shared" si="5"/>
        <v>-0.2021690728557709</v>
      </c>
      <c r="W38" s="470"/>
      <c r="Y38" s="470"/>
    </row>
    <row r="39" spans="1:25">
      <c r="A39" s="135">
        <v>419</v>
      </c>
      <c r="B39" s="597" t="str">
        <f>+VLOOKUP($A39,Master!$D$30:$G$226,4,FALSE)</f>
        <v>Ostali izdaci</v>
      </c>
      <c r="C39" s="598"/>
      <c r="D39" s="598"/>
      <c r="E39" s="598"/>
      <c r="F39" s="598"/>
      <c r="G39" s="148">
        <f>'2025'!S39</f>
        <v>56478348.909999996</v>
      </c>
      <c r="H39" s="148">
        <f>SUM('2025'!G115:P115)</f>
        <v>72925097.189999968</v>
      </c>
      <c r="I39" s="149">
        <f t="shared" si="0"/>
        <v>-16446748.279999971</v>
      </c>
      <c r="J39" s="557">
        <f t="shared" si="1"/>
        <v>-0.2255293295962213</v>
      </c>
      <c r="K39" s="148">
        <f>SUM('2024'!G39:P39)</f>
        <v>43855692.450000003</v>
      </c>
      <c r="L39" s="149">
        <f t="shared" si="7"/>
        <v>12622656.459999993</v>
      </c>
      <c r="M39" s="153">
        <f t="shared" si="2"/>
        <v>0.28782253237458555</v>
      </c>
      <c r="N39" s="148">
        <f>'2025'!P39</f>
        <v>8798128.0500000007</v>
      </c>
      <c r="O39" s="148">
        <f>'2025'!P115</f>
        <v>8269831.3299999973</v>
      </c>
      <c r="P39" s="149">
        <f t="shared" si="6"/>
        <v>528296.72000000346</v>
      </c>
      <c r="Q39" s="151">
        <f t="shared" si="3"/>
        <v>6.3882405688678423E-2</v>
      </c>
      <c r="R39" s="148">
        <f>'2024'!P39</f>
        <v>4834785.4400000004</v>
      </c>
      <c r="S39" s="149">
        <f t="shared" si="4"/>
        <v>3963342.6100000003</v>
      </c>
      <c r="T39" s="153">
        <f t="shared" si="5"/>
        <v>0.8197556353193618</v>
      </c>
      <c r="W39" s="470"/>
      <c r="Y39" s="470"/>
    </row>
    <row r="40" spans="1:25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'2025'!S40</f>
        <v>920243263.46999991</v>
      </c>
      <c r="H40" s="178">
        <f>SUM('2025'!G116:P116)</f>
        <v>903305152.1700002</v>
      </c>
      <c r="I40" s="179">
        <f t="shared" si="0"/>
        <v>16938111.299999714</v>
      </c>
      <c r="J40" s="181">
        <f t="shared" si="1"/>
        <v>1.8751261696348553E-2</v>
      </c>
      <c r="K40" s="178">
        <f>SUM('2024'!G40:P40)</f>
        <v>826694052.77999973</v>
      </c>
      <c r="L40" s="179">
        <f t="shared" si="7"/>
        <v>93549210.690000176</v>
      </c>
      <c r="M40" s="183">
        <f t="shared" si="2"/>
        <v>0.11316061894411078</v>
      </c>
      <c r="N40" s="178">
        <f>'2025'!P40</f>
        <v>96402993.62999998</v>
      </c>
      <c r="O40" s="178">
        <f>'2025'!P116</f>
        <v>85339625.640000015</v>
      </c>
      <c r="P40" s="179">
        <f t="shared" si="6"/>
        <v>11063367.989999965</v>
      </c>
      <c r="Q40" s="181">
        <f t="shared" si="3"/>
        <v>0.12963928429531801</v>
      </c>
      <c r="R40" s="178">
        <f>'2024'!P40</f>
        <v>86712279.429999992</v>
      </c>
      <c r="S40" s="179">
        <f t="shared" si="4"/>
        <v>9690714.1999999881</v>
      </c>
      <c r="T40" s="183">
        <f t="shared" si="5"/>
        <v>0.11175711518255027</v>
      </c>
      <c r="W40" s="470"/>
      <c r="Y40" s="470"/>
    </row>
    <row r="41" spans="1:25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148">
        <f>'2025'!S41</f>
        <v>206371785.22000003</v>
      </c>
      <c r="H41" s="148">
        <f>SUM('2025'!G117:P117)</f>
        <v>196404744.56000003</v>
      </c>
      <c r="I41" s="149">
        <f t="shared" si="0"/>
        <v>9967040.6599999964</v>
      </c>
      <c r="J41" s="151">
        <f t="shared" si="1"/>
        <v>5.0747453592981495E-2</v>
      </c>
      <c r="K41" s="148">
        <f>SUM('2024'!G41:P41)</f>
        <v>174959863.12</v>
      </c>
      <c r="L41" s="149">
        <f t="shared" si="7"/>
        <v>31411922.100000024</v>
      </c>
      <c r="M41" s="153">
        <f t="shared" si="2"/>
        <v>0.1795378753723389</v>
      </c>
      <c r="N41" s="148">
        <f>'2025'!P41</f>
        <v>22440561.820000004</v>
      </c>
      <c r="O41" s="148">
        <f>'2025'!P117</f>
        <v>15726325.110000001</v>
      </c>
      <c r="P41" s="149">
        <f t="shared" si="6"/>
        <v>6714236.7100000028</v>
      </c>
      <c r="Q41" s="151">
        <f t="shared" si="3"/>
        <v>0.42694250964776104</v>
      </c>
      <c r="R41" s="148">
        <f>'2024'!P41</f>
        <v>18952775.550000001</v>
      </c>
      <c r="S41" s="149">
        <f t="shared" si="4"/>
        <v>3487786.2700000033</v>
      </c>
      <c r="T41" s="153">
        <f t="shared" si="5"/>
        <v>0.18402509230369701</v>
      </c>
      <c r="W41" s="470"/>
      <c r="Y41" s="470"/>
    </row>
    <row r="42" spans="1:25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148">
        <f>'2025'!S42</f>
        <v>18933556.120000001</v>
      </c>
      <c r="H42" s="148">
        <f>SUM('2025'!G118:P118)</f>
        <v>21972517.010000005</v>
      </c>
      <c r="I42" s="149">
        <f t="shared" si="0"/>
        <v>-3038960.8900000043</v>
      </c>
      <c r="J42" s="151">
        <f t="shared" si="1"/>
        <v>-0.13830736317632297</v>
      </c>
      <c r="K42" s="148">
        <f>SUM('2024'!G42:P42)</f>
        <v>17065293.100000001</v>
      </c>
      <c r="L42" s="149">
        <f t="shared" si="7"/>
        <v>1868263.0199999996</v>
      </c>
      <c r="M42" s="153">
        <f t="shared" si="2"/>
        <v>0.10947734733017844</v>
      </c>
      <c r="N42" s="148">
        <f>'2025'!P42</f>
        <v>2028607.22</v>
      </c>
      <c r="O42" s="148">
        <f>'2025'!P118</f>
        <v>2344604.0299999998</v>
      </c>
      <c r="P42" s="149">
        <f t="shared" si="6"/>
        <v>-315996.80999999982</v>
      </c>
      <c r="Q42" s="151">
        <f t="shared" si="3"/>
        <v>-0.13477619502342997</v>
      </c>
      <c r="R42" s="148">
        <f>'2024'!P42</f>
        <v>1817889.25</v>
      </c>
      <c r="S42" s="149">
        <f t="shared" si="4"/>
        <v>210717.96999999997</v>
      </c>
      <c r="T42" s="153">
        <f t="shared" si="5"/>
        <v>0.11591353543677085</v>
      </c>
      <c r="W42" s="470"/>
      <c r="Y42" s="470"/>
    </row>
    <row r="43" spans="1:25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148">
        <f>'2025'!S43</f>
        <v>660820537.89999986</v>
      </c>
      <c r="H43" s="148">
        <f>SUM('2025'!G119:P119)</f>
        <v>649990636.78999996</v>
      </c>
      <c r="I43" s="149">
        <f t="shared" si="0"/>
        <v>10829901.109999895</v>
      </c>
      <c r="J43" s="151">
        <f t="shared" si="1"/>
        <v>1.6661626332778789E-2</v>
      </c>
      <c r="K43" s="148">
        <f>SUM('2024'!G43:P43)</f>
        <v>603950177.93999994</v>
      </c>
      <c r="L43" s="149">
        <f t="shared" si="7"/>
        <v>56870359.959999919</v>
      </c>
      <c r="M43" s="153">
        <f t="shared" si="2"/>
        <v>9.4163992390858819E-2</v>
      </c>
      <c r="N43" s="148">
        <f>'2025'!P43</f>
        <v>67815727.029999971</v>
      </c>
      <c r="O43" s="148">
        <f>'2025'!P119</f>
        <v>63607323.430000007</v>
      </c>
      <c r="P43" s="149">
        <f t="shared" si="6"/>
        <v>4208403.5999999642</v>
      </c>
      <c r="Q43" s="151">
        <f t="shared" si="3"/>
        <v>6.6162249455934408E-2</v>
      </c>
      <c r="R43" s="148">
        <f>'2024'!P43</f>
        <v>62741828.979999989</v>
      </c>
      <c r="S43" s="149">
        <f t="shared" si="4"/>
        <v>5073898.0499999821</v>
      </c>
      <c r="T43" s="153">
        <f t="shared" si="5"/>
        <v>8.0869463521973106E-2</v>
      </c>
      <c r="W43" s="470"/>
      <c r="Y43" s="470"/>
    </row>
    <row r="44" spans="1:25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148">
        <f>'2025'!S44</f>
        <v>20541434.59</v>
      </c>
      <c r="H44" s="148">
        <f>SUM('2025'!G120:P120)</f>
        <v>21096761.179999996</v>
      </c>
      <c r="I44" s="149">
        <f t="shared" si="0"/>
        <v>-555326.58999999613</v>
      </c>
      <c r="J44" s="151">
        <f t="shared" si="1"/>
        <v>-2.6322836252535953E-2</v>
      </c>
      <c r="K44" s="148">
        <f>SUM('2024'!G44:P44)</f>
        <v>17712734.689999998</v>
      </c>
      <c r="L44" s="149">
        <f t="shared" si="7"/>
        <v>2828699.9000000022</v>
      </c>
      <c r="M44" s="153">
        <f t="shared" si="2"/>
        <v>0.15969865464066313</v>
      </c>
      <c r="N44" s="148">
        <f>'2025'!P44</f>
        <v>2451167.8299999996</v>
      </c>
      <c r="O44" s="148">
        <f>'2025'!P120</f>
        <v>2231619.4</v>
      </c>
      <c r="P44" s="149">
        <f t="shared" si="6"/>
        <v>219548.4299999997</v>
      </c>
      <c r="Q44" s="151">
        <f t="shared" si="3"/>
        <v>9.8380767795798851E-2</v>
      </c>
      <c r="R44" s="148">
        <f>'2024'!P44</f>
        <v>1750407.2899999998</v>
      </c>
      <c r="S44" s="149">
        <f t="shared" si="4"/>
        <v>700760.5399999998</v>
      </c>
      <c r="T44" s="153">
        <f t="shared" si="5"/>
        <v>0.40034141996746353</v>
      </c>
      <c r="W44" s="470"/>
      <c r="Y44" s="470"/>
    </row>
    <row r="45" spans="1:25">
      <c r="A45" s="135">
        <v>425</v>
      </c>
      <c r="B45" s="597" t="str">
        <f>+VLOOKUP($A45,Master!$D$30:$G$226,4,FALSE)</f>
        <v>Ostala prava iz zdravstvenog osiguranja</v>
      </c>
      <c r="C45" s="598"/>
      <c r="D45" s="598"/>
      <c r="E45" s="598"/>
      <c r="F45" s="598"/>
      <c r="G45" s="148">
        <f>'2025'!S45</f>
        <v>13575949.639999999</v>
      </c>
      <c r="H45" s="148">
        <f>SUM('2025'!G121:P121)</f>
        <v>13840492.630000001</v>
      </c>
      <c r="I45" s="149">
        <f t="shared" si="0"/>
        <v>-264542.99000000209</v>
      </c>
      <c r="J45" s="151">
        <f t="shared" si="1"/>
        <v>-1.9113697544738462E-2</v>
      </c>
      <c r="K45" s="148">
        <f>SUM('2024'!G45:P45)</f>
        <v>13005983.929999996</v>
      </c>
      <c r="L45" s="149">
        <f t="shared" si="7"/>
        <v>569965.71000000276</v>
      </c>
      <c r="M45" s="153">
        <f t="shared" si="2"/>
        <v>4.3823344167395417E-2</v>
      </c>
      <c r="N45" s="148">
        <f>'2025'!P45</f>
        <v>1666929.7299999997</v>
      </c>
      <c r="O45" s="148">
        <f>'2025'!P121</f>
        <v>1429753.6700000002</v>
      </c>
      <c r="P45" s="149">
        <f t="shared" si="6"/>
        <v>237176.05999999959</v>
      </c>
      <c r="Q45" s="151">
        <f t="shared" si="3"/>
        <v>0.16588595992203303</v>
      </c>
      <c r="R45" s="148">
        <f>'2024'!P45</f>
        <v>1449378.36</v>
      </c>
      <c r="S45" s="149">
        <f t="shared" si="4"/>
        <v>217551.36999999965</v>
      </c>
      <c r="T45" s="153">
        <f t="shared" si="5"/>
        <v>0.15009977794894058</v>
      </c>
      <c r="W45" s="470"/>
      <c r="Y45" s="470"/>
    </row>
    <row r="46" spans="1:25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f>'2025'!S46</f>
        <v>350887586.38000005</v>
      </c>
      <c r="H46" s="160">
        <f>SUM('2025'!G122:P122)</f>
        <v>392874829.54000008</v>
      </c>
      <c r="I46" s="161">
        <f t="shared" si="0"/>
        <v>-41987243.160000026</v>
      </c>
      <c r="J46" s="163">
        <f t="shared" si="1"/>
        <v>-0.10687180751477776</v>
      </c>
      <c r="K46" s="160">
        <f>SUM('2024'!G46:P46)</f>
        <v>308357468.27999997</v>
      </c>
      <c r="L46" s="161">
        <f t="shared" si="7"/>
        <v>42530118.100000083</v>
      </c>
      <c r="M46" s="165">
        <f t="shared" si="2"/>
        <v>0.13792472203521</v>
      </c>
      <c r="N46" s="160">
        <f>'2025'!P46</f>
        <v>41566269.539999999</v>
      </c>
      <c r="O46" s="160">
        <f>'2025'!P122</f>
        <v>42366884.090000004</v>
      </c>
      <c r="P46" s="161">
        <f t="shared" si="6"/>
        <v>-800614.55000000447</v>
      </c>
      <c r="Q46" s="163">
        <f t="shared" si="3"/>
        <v>-1.8897178001083592E-2</v>
      </c>
      <c r="R46" s="160">
        <f>'2024'!P46</f>
        <v>30731068.659999996</v>
      </c>
      <c r="S46" s="161">
        <f t="shared" si="4"/>
        <v>10835200.880000003</v>
      </c>
      <c r="T46" s="165">
        <f t="shared" si="5"/>
        <v>0.35258132412763299</v>
      </c>
      <c r="W46" s="470"/>
      <c r="Y46" s="470"/>
    </row>
    <row r="47" spans="1:25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f>'2025'!S47</f>
        <v>214507647.35000002</v>
      </c>
      <c r="H47" s="160">
        <f>SUM('2025'!G123:P123)</f>
        <v>228111352.54999998</v>
      </c>
      <c r="I47" s="161">
        <f t="shared" si="0"/>
        <v>-13603705.199999958</v>
      </c>
      <c r="J47" s="163">
        <f t="shared" si="1"/>
        <v>-5.963624803381129E-2</v>
      </c>
      <c r="K47" s="160">
        <f>SUM('2024'!G47:P47)</f>
        <v>165040629.53999999</v>
      </c>
      <c r="L47" s="161">
        <f t="shared" si="7"/>
        <v>49467017.810000032</v>
      </c>
      <c r="M47" s="165">
        <f t="shared" si="2"/>
        <v>0.29972630344342566</v>
      </c>
      <c r="N47" s="160">
        <f>'2025'!P47</f>
        <v>26343479.410000004</v>
      </c>
      <c r="O47" s="160">
        <f>'2025'!P123</f>
        <v>30627538.580000013</v>
      </c>
      <c r="P47" s="161">
        <f t="shared" si="6"/>
        <v>-4284059.1700000092</v>
      </c>
      <c r="Q47" s="163">
        <f t="shared" si="3"/>
        <v>-0.13987605170457706</v>
      </c>
      <c r="R47" s="160">
        <f>'2024'!P47</f>
        <v>27898832.840000004</v>
      </c>
      <c r="S47" s="161">
        <f t="shared" si="4"/>
        <v>-1555353.4299999997</v>
      </c>
      <c r="T47" s="165">
        <f t="shared" si="5"/>
        <v>-5.5749766985592641E-2</v>
      </c>
      <c r="W47" s="470"/>
      <c r="Y47" s="470"/>
    </row>
    <row r="48" spans="1:25" hidden="1">
      <c r="A48" s="135">
        <v>451</v>
      </c>
      <c r="B48" s="565" t="str">
        <f>+VLOOKUP($A48,Master!$D$30:$G$226,4,FALSE)</f>
        <v>Pozajmice i krediti</v>
      </c>
      <c r="C48" s="566"/>
      <c r="D48" s="566"/>
      <c r="E48" s="566"/>
      <c r="F48" s="566"/>
      <c r="G48" s="148">
        <f>'2025'!S48</f>
        <v>0</v>
      </c>
      <c r="H48" s="148">
        <f>SUM('2025'!G124:P124)</f>
        <v>0</v>
      </c>
      <c r="I48" s="149">
        <f>G48-H48</f>
        <v>0</v>
      </c>
      <c r="J48" s="266" t="str">
        <f t="shared" si="1"/>
        <v>...</v>
      </c>
      <c r="K48" s="148">
        <f>SUM('2024'!G48:P48)</f>
        <v>0</v>
      </c>
      <c r="L48" s="263">
        <f t="shared" si="7"/>
        <v>0</v>
      </c>
      <c r="M48" s="561" t="str">
        <f t="shared" si="2"/>
        <v>...</v>
      </c>
      <c r="N48" s="148">
        <f>'2025'!P48</f>
        <v>0</v>
      </c>
      <c r="O48" s="148">
        <f>'2025'!P124</f>
        <v>0</v>
      </c>
      <c r="P48" s="149">
        <f t="shared" si="6"/>
        <v>0</v>
      </c>
      <c r="Q48" s="266" t="str">
        <f t="shared" si="3"/>
        <v>...</v>
      </c>
      <c r="R48" s="148">
        <f>'2024'!P48</f>
        <v>0</v>
      </c>
      <c r="S48" s="263">
        <f>+N48-R48-S58</f>
        <v>3105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65" t="str">
        <f>+VLOOKUP($A49,Master!$D$30:$G$226,4,FALSE)</f>
        <v>Rezerve</v>
      </c>
      <c r="C49" s="566"/>
      <c r="D49" s="566"/>
      <c r="E49" s="566"/>
      <c r="F49" s="566"/>
      <c r="G49" s="148">
        <f>'2025'!S49</f>
        <v>4693746.6100000003</v>
      </c>
      <c r="H49" s="148">
        <f>SUM('2025'!G125:P125)</f>
        <v>8755435.1799999997</v>
      </c>
      <c r="I49" s="149">
        <f t="shared" ref="I49:I50" si="8">G49-H49</f>
        <v>-4061688.5699999994</v>
      </c>
      <c r="J49" s="267">
        <f t="shared" si="1"/>
        <v>-0.46390481872084388</v>
      </c>
      <c r="K49" s="148">
        <f>SUM('2024'!G49:P49)</f>
        <v>22817055.93</v>
      </c>
      <c r="L49" s="264">
        <f t="shared" si="7"/>
        <v>-18123309.32</v>
      </c>
      <c r="M49" s="476">
        <f t="shared" si="2"/>
        <v>-0.7942878071386662</v>
      </c>
      <c r="N49" s="148">
        <f>'2025'!P49</f>
        <v>22666.7</v>
      </c>
      <c r="O49" s="148">
        <f>'2025'!P125</f>
        <v>2452013.7000000002</v>
      </c>
      <c r="P49" s="149">
        <f t="shared" si="6"/>
        <v>-2429347</v>
      </c>
      <c r="Q49" s="267">
        <f t="shared" si="3"/>
        <v>-0.99075588362332556</v>
      </c>
      <c r="R49" s="148">
        <f>'2024'!P49</f>
        <v>2349062.9400000004</v>
      </c>
      <c r="S49" s="264">
        <f t="shared" si="4"/>
        <v>-2326396.2400000002</v>
      </c>
      <c r="T49" s="476">
        <f t="shared" si="5"/>
        <v>-0.99035074811575718</v>
      </c>
      <c r="W49" s="470"/>
      <c r="Y49" s="470"/>
    </row>
    <row r="50" spans="1:25" ht="15.7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148">
        <f>'2025'!S50</f>
        <v>4062322.96</v>
      </c>
      <c r="H50" s="148">
        <f>SUM('2025'!G126:P126)</f>
        <v>4100003.1999999993</v>
      </c>
      <c r="I50" s="149">
        <f t="shared" si="8"/>
        <v>-37680.239999999292</v>
      </c>
      <c r="J50" s="268">
        <f t="shared" si="1"/>
        <v>-9.190295266110815E-3</v>
      </c>
      <c r="K50" s="148">
        <f>SUM('2024'!G50:P50)</f>
        <v>5849367.6699999999</v>
      </c>
      <c r="L50" s="264">
        <f t="shared" si="7"/>
        <v>-1787044.71</v>
      </c>
      <c r="M50" s="477">
        <f t="shared" si="2"/>
        <v>-0.30551075104499281</v>
      </c>
      <c r="N50" s="148">
        <f>'2025'!P50</f>
        <v>0</v>
      </c>
      <c r="O50" s="148">
        <f>'2025'!P126</f>
        <v>0.4</v>
      </c>
      <c r="P50" s="149">
        <f t="shared" si="6"/>
        <v>-0.4</v>
      </c>
      <c r="Q50" s="268">
        <f t="shared" si="3"/>
        <v>-1</v>
      </c>
      <c r="R50" s="148">
        <f>'2024'!P50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83" t="str">
        <f>+VLOOKUP($A51,Master!$D$30:$G$226,4,FALSE)</f>
        <v>Otplata obaveza iz prethodnog perioda</v>
      </c>
      <c r="C51" s="584"/>
      <c r="D51" s="584"/>
      <c r="E51" s="584"/>
      <c r="F51" s="584"/>
      <c r="G51" s="295">
        <f>'2025'!S51</f>
        <v>22990174.910000004</v>
      </c>
      <c r="H51" s="295">
        <f>SUM('2025'!G127:P127)</f>
        <v>20066630.699999999</v>
      </c>
      <c r="I51" s="265">
        <f>G51-H51</f>
        <v>2923544.2100000046</v>
      </c>
      <c r="J51" s="269">
        <f t="shared" si="1"/>
        <v>0.14569183305895028</v>
      </c>
      <c r="K51" s="295">
        <f>SUM('2024'!G51:P51)</f>
        <v>17200361.989999998</v>
      </c>
      <c r="L51" s="271">
        <f t="shared" si="7"/>
        <v>5789812.9200000055</v>
      </c>
      <c r="M51" s="478">
        <f t="shared" si="2"/>
        <v>0.33660994596312022</v>
      </c>
      <c r="N51" s="295">
        <f>'2025'!P51</f>
        <v>2068707.7800000005</v>
      </c>
      <c r="O51" s="295">
        <f>'2025'!P127</f>
        <v>1154864.1600000006</v>
      </c>
      <c r="P51" s="265">
        <f>N51-O51</f>
        <v>913843.61999999988</v>
      </c>
      <c r="Q51" s="269">
        <f t="shared" si="3"/>
        <v>0.79129966246419792</v>
      </c>
      <c r="R51" s="295">
        <f>'2024'!P51</f>
        <v>886966.89</v>
      </c>
      <c r="S51" s="271">
        <f>+N51-R51</f>
        <v>1181740.8900000006</v>
      </c>
      <c r="T51" s="478">
        <f t="shared" si="5"/>
        <v>1.3323393503448595</v>
      </c>
      <c r="W51" s="470"/>
      <c r="Y51" s="470"/>
    </row>
    <row r="52" spans="1:25" ht="15.75" thickBot="1">
      <c r="A52" s="129">
        <v>1005</v>
      </c>
      <c r="B52" s="583" t="str">
        <f>+VLOOKUP($A52,Master!$D$30:$G$228,4,FALSE)</f>
        <v>Neto povećanje obaveza</v>
      </c>
      <c r="C52" s="584"/>
      <c r="D52" s="584"/>
      <c r="E52" s="584"/>
      <c r="F52" s="584"/>
      <c r="G52" s="148">
        <f>'2025'!S52</f>
        <v>0</v>
      </c>
      <c r="H52" s="148">
        <f>SUM('2025'!G128:P128)</f>
        <v>0</v>
      </c>
      <c r="I52" s="265">
        <f>G52-H52</f>
        <v>0</v>
      </c>
      <c r="J52" s="269" t="str">
        <f t="shared" si="1"/>
        <v>...</v>
      </c>
      <c r="K52" s="148">
        <f>SUM('2024'!G52:P52)</f>
        <v>0</v>
      </c>
      <c r="L52" s="271">
        <f t="shared" si="7"/>
        <v>0</v>
      </c>
      <c r="M52" s="478" t="str">
        <f t="shared" si="2"/>
        <v>...</v>
      </c>
      <c r="N52" s="148">
        <f>'2025'!P52</f>
        <v>0</v>
      </c>
      <c r="O52" s="148">
        <f>'2025'!P128</f>
        <v>0</v>
      </c>
      <c r="P52" s="265">
        <f>N52-O52</f>
        <v>0</v>
      </c>
      <c r="Q52" s="269" t="str">
        <f t="shared" si="3"/>
        <v>...</v>
      </c>
      <c r="R52" s="148">
        <f>'2024'!P52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>'2025'!S53</f>
        <v>-118794290.84000015</v>
      </c>
      <c r="H53" s="136">
        <f>SUM('2025'!G129:P129)</f>
        <v>-210141760.13645416</v>
      </c>
      <c r="I53" s="299">
        <f>+G53-H53</f>
        <v>91347469.296454012</v>
      </c>
      <c r="J53" s="270">
        <f t="shared" si="1"/>
        <v>-0.43469450925479136</v>
      </c>
      <c r="K53" s="136">
        <f>SUM('2024'!G53:P53)</f>
        <v>77489837.650000304</v>
      </c>
      <c r="L53" s="272">
        <f t="shared" si="7"/>
        <v>-196284128.49000046</v>
      </c>
      <c r="M53" s="479">
        <f t="shared" si="2"/>
        <v>-2.533030581075165</v>
      </c>
      <c r="N53" s="136">
        <f>'2025'!P53</f>
        <v>-32285409.079999954</v>
      </c>
      <c r="O53" s="136">
        <f>'2025'!P129</f>
        <v>-23660341.943951547</v>
      </c>
      <c r="P53" s="299">
        <f>N53-O53</f>
        <v>-8625067.1360484064</v>
      </c>
      <c r="Q53" s="270">
        <f t="shared" si="3"/>
        <v>0.36453687594541684</v>
      </c>
      <c r="R53" s="136">
        <f>'2024'!P53</f>
        <v>-10631104.799999923</v>
      </c>
      <c r="S53" s="272">
        <f t="shared" si="4"/>
        <v>-21654304.280000031</v>
      </c>
      <c r="T53" s="479" t="str">
        <f t="shared" si="5"/>
        <v>...</v>
      </c>
      <c r="W53" s="470"/>
      <c r="Y53" s="470"/>
    </row>
    <row r="54" spans="1:25" ht="15.7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36">
        <f>'2025'!S54</f>
        <v>8179759.0999998599</v>
      </c>
      <c r="H54" s="136">
        <f>SUM('2025'!G130:P130)</f>
        <v>-81112539.426454157</v>
      </c>
      <c r="I54" s="191">
        <f t="shared" si="0"/>
        <v>89292298.526454017</v>
      </c>
      <c r="J54" s="193">
        <f t="shared" si="1"/>
        <v>-1.1008445692594369</v>
      </c>
      <c r="K54" s="136">
        <f>SUM('2024'!G54:P54)</f>
        <v>186472223.45000032</v>
      </c>
      <c r="L54" s="191">
        <f t="shared" si="7"/>
        <v>-178292464.35000044</v>
      </c>
      <c r="M54" s="195">
        <f t="shared" si="2"/>
        <v>-0.95613416867851564</v>
      </c>
      <c r="N54" s="136">
        <f>'2025'!P54</f>
        <v>-16845913.509999953</v>
      </c>
      <c r="O54" s="136">
        <f>'2025'!P130</f>
        <v>-9168196.3839515485</v>
      </c>
      <c r="P54" s="191">
        <f t="shared" si="6"/>
        <v>-7677717.1260484047</v>
      </c>
      <c r="Q54" s="193">
        <f t="shared" si="3"/>
        <v>0.83742939227260105</v>
      </c>
      <c r="R54" s="136">
        <f>'2024'!P54</f>
        <v>4238745.8600000758</v>
      </c>
      <c r="S54" s="191">
        <f t="shared" si="4"/>
        <v>-21084659.370000027</v>
      </c>
      <c r="T54" s="195">
        <f t="shared" si="5"/>
        <v>-4.9742683487987298</v>
      </c>
      <c r="W54" s="470"/>
      <c r="Y54" s="470"/>
    </row>
    <row r="55" spans="1:25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460">
        <f>'2025'!S55</f>
        <v>748849347.33000016</v>
      </c>
      <c r="H55" s="460">
        <f>SUM('2025'!G131:P131)</f>
        <v>785378262.25999987</v>
      </c>
      <c r="I55" s="461">
        <f t="shared" si="0"/>
        <v>-36528914.929999709</v>
      </c>
      <c r="J55" s="462">
        <f t="shared" si="1"/>
        <v>-4.6511237559445973E-2</v>
      </c>
      <c r="K55" s="460">
        <f>SUM('2024'!G55:P55)</f>
        <v>402198449.14000005</v>
      </c>
      <c r="L55" s="461">
        <f t="shared" si="7"/>
        <v>346650898.19000012</v>
      </c>
      <c r="M55" s="480">
        <f t="shared" si="2"/>
        <v>0.86189019110149645</v>
      </c>
      <c r="N55" s="460">
        <f>'2025'!P55</f>
        <v>7069854.0099999998</v>
      </c>
      <c r="O55" s="460">
        <f>'2025'!P131</f>
        <v>15224048.299999999</v>
      </c>
      <c r="P55" s="461">
        <f t="shared" si="6"/>
        <v>-8154194.2899999991</v>
      </c>
      <c r="Q55" s="462">
        <f t="shared" si="3"/>
        <v>-0.53561274434474826</v>
      </c>
      <c r="R55" s="460">
        <f>'2024'!P55</f>
        <v>7153919.7599999998</v>
      </c>
      <c r="S55" s="461">
        <f t="shared" si="4"/>
        <v>-84065.75</v>
      </c>
      <c r="T55" s="480">
        <f t="shared" si="5"/>
        <v>-1.1751005437611983E-2</v>
      </c>
      <c r="W55" s="470"/>
      <c r="Y55" s="470"/>
    </row>
    <row r="56" spans="1:25">
      <c r="A56" s="129">
        <v>4611</v>
      </c>
      <c r="B56" s="565" t="str">
        <f>+VLOOKUP($A56,Master!$D$30:$G$226,4,FALSE)</f>
        <v>Otplata hartija od vrijednosti i kredita rezidentima</v>
      </c>
      <c r="C56" s="566"/>
      <c r="D56" s="566"/>
      <c r="E56" s="566"/>
      <c r="F56" s="566"/>
      <c r="G56" s="148">
        <f>'2025'!S56</f>
        <v>38178661.090000004</v>
      </c>
      <c r="H56" s="148">
        <f>SUM('2025'!G132:P132)</f>
        <v>38189500.170000002</v>
      </c>
      <c r="I56" s="197">
        <f t="shared" si="0"/>
        <v>-10839.079999998212</v>
      </c>
      <c r="J56" s="199">
        <f t="shared" si="1"/>
        <v>-2.8382356280520771E-4</v>
      </c>
      <c r="K56" s="148">
        <f>SUM('2024'!G56:P56)</f>
        <v>183543909.07000002</v>
      </c>
      <c r="L56" s="197">
        <f t="shared" si="7"/>
        <v>-145365247.98000002</v>
      </c>
      <c r="M56" s="201">
        <f t="shared" si="2"/>
        <v>-0.79199167499783707</v>
      </c>
      <c r="N56" s="148">
        <f>'2025'!P56</f>
        <v>1755147.06</v>
      </c>
      <c r="O56" s="148">
        <f>'2025'!P132</f>
        <v>1747992.7799999998</v>
      </c>
      <c r="P56" s="197">
        <f t="shared" si="6"/>
        <v>7154.2800000002608</v>
      </c>
      <c r="Q56" s="199">
        <f t="shared" si="3"/>
        <v>4.0928544338725281E-3</v>
      </c>
      <c r="R56" s="148">
        <f>'2024'!P56</f>
        <v>2641469.5200000005</v>
      </c>
      <c r="S56" s="197">
        <f t="shared" si="4"/>
        <v>-886322.46000000043</v>
      </c>
      <c r="T56" s="201">
        <f t="shared" si="5"/>
        <v>-0.33554142998401904</v>
      </c>
      <c r="W56" s="470"/>
      <c r="Y56" s="470"/>
    </row>
    <row r="57" spans="1:25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148">
        <f>'2025'!S57</f>
        <v>710670686.24000001</v>
      </c>
      <c r="H57" s="148">
        <f>SUM('2025'!G133:P133)</f>
        <v>747188762.08999991</v>
      </c>
      <c r="I57" s="197">
        <f t="shared" si="0"/>
        <v>-36518075.849999905</v>
      </c>
      <c r="J57" s="199">
        <f t="shared" si="1"/>
        <v>-4.8873962916483604E-2</v>
      </c>
      <c r="K57" s="148">
        <f>SUM('2024'!G57:P57)</f>
        <v>218654540.06999999</v>
      </c>
      <c r="L57" s="197">
        <f t="shared" si="7"/>
        <v>492016146.17000002</v>
      </c>
      <c r="M57" s="201" t="str">
        <f t="shared" si="2"/>
        <v>...</v>
      </c>
      <c r="N57" s="148">
        <f>'2025'!P57</f>
        <v>5314706.95</v>
      </c>
      <c r="O57" s="148">
        <f>'2025'!P133</f>
        <v>13476055.52</v>
      </c>
      <c r="P57" s="197">
        <f t="shared" si="6"/>
        <v>-8161348.5699999994</v>
      </c>
      <c r="Q57" s="199">
        <f t="shared" si="3"/>
        <v>-0.60561850297274522</v>
      </c>
      <c r="R57" s="148">
        <f>'2024'!P57</f>
        <v>4512450.2399999993</v>
      </c>
      <c r="S57" s="197">
        <f t="shared" si="4"/>
        <v>802256.71000000089</v>
      </c>
      <c r="T57" s="201">
        <f t="shared" si="5"/>
        <v>0.17778738098616698</v>
      </c>
      <c r="W57" s="470"/>
      <c r="Y57" s="470"/>
    </row>
    <row r="58" spans="1:25" ht="15.75" thickBot="1">
      <c r="A58" s="129">
        <v>4418</v>
      </c>
      <c r="B58" s="593" t="str">
        <f>+VLOOKUP($A58,Master!$D$30:$G$226,4,FALSE)</f>
        <v>Izdaci za kupovinu hartija od vrijednosti</v>
      </c>
      <c r="C58" s="594"/>
      <c r="D58" s="594"/>
      <c r="E58" s="594"/>
      <c r="F58" s="594"/>
      <c r="G58" s="313">
        <f>'2025'!S58</f>
        <v>1485557.54</v>
      </c>
      <c r="H58" s="313">
        <f>SUM('2025'!G134:P134)</f>
        <v>27347160.550000004</v>
      </c>
      <c r="I58" s="314">
        <f t="shared" ref="I58:I66" si="9">+G58-H58</f>
        <v>-25861603.010000005</v>
      </c>
      <c r="J58" s="315">
        <f t="shared" si="1"/>
        <v>-0.9456778140719988</v>
      </c>
      <c r="K58" s="313">
        <f>SUM('2024'!G58:P58)</f>
        <v>3269563.45</v>
      </c>
      <c r="L58" s="314">
        <f t="shared" ref="L58:L66" si="10">+G58-K58</f>
        <v>-1784005.9100000001</v>
      </c>
      <c r="M58" s="481">
        <f t="shared" si="2"/>
        <v>-0.5456404004026898</v>
      </c>
      <c r="N58" s="313">
        <f>'2025'!P58</f>
        <v>0</v>
      </c>
      <c r="O58" s="313">
        <f>'2025'!P134</f>
        <v>3427386.85</v>
      </c>
      <c r="P58" s="314">
        <f t="shared" ref="P58:P66" si="11">+N58-O58</f>
        <v>-3427386.85</v>
      </c>
      <c r="Q58" s="315">
        <f t="shared" si="3"/>
        <v>-1</v>
      </c>
      <c r="R58" s="313">
        <f>'2024'!P58</f>
        <v>3105</v>
      </c>
      <c r="S58" s="314">
        <f t="shared" ref="S58:S66" si="12">+N58-R58</f>
        <v>-3105</v>
      </c>
      <c r="T58" s="481">
        <f t="shared" si="5"/>
        <v>-1</v>
      </c>
      <c r="W58" s="470"/>
      <c r="Y58" s="470"/>
    </row>
    <row r="59" spans="1:25" ht="15.75" thickBot="1">
      <c r="A59" s="129">
        <v>451</v>
      </c>
      <c r="B59" s="603" t="str">
        <f>+VLOOKUP($A59,Master!$D$30:$G$226,4,FALSE)</f>
        <v>Pozajmice i krediti</v>
      </c>
      <c r="C59" s="604"/>
      <c r="D59" s="604"/>
      <c r="E59" s="604"/>
      <c r="F59" s="604"/>
      <c r="G59" s="313">
        <f>'2025'!S59</f>
        <v>8077341.8200000003</v>
      </c>
      <c r="H59" s="313">
        <f>SUM('2025'!G135:P135)</f>
        <v>6252004.7999999989</v>
      </c>
      <c r="I59" s="314">
        <f t="shared" si="9"/>
        <v>1825337.0200000014</v>
      </c>
      <c r="J59" s="315">
        <f t="shared" si="1"/>
        <v>0.29196027168757155</v>
      </c>
      <c r="K59" s="313">
        <f>SUM('2024'!G59:P59)</f>
        <v>7484413.4000000004</v>
      </c>
      <c r="L59" s="314">
        <f t="shared" si="10"/>
        <v>592928.41999999993</v>
      </c>
      <c r="M59" s="481">
        <f t="shared" si="2"/>
        <v>7.9221762389554806E-2</v>
      </c>
      <c r="N59" s="313">
        <f>'2025'!P59</f>
        <v>1401425.2</v>
      </c>
      <c r="O59" s="313">
        <f>'2025'!P135</f>
        <v>624001.6</v>
      </c>
      <c r="P59" s="314">
        <f t="shared" si="11"/>
        <v>777423.6</v>
      </c>
      <c r="Q59" s="315">
        <f t="shared" si="3"/>
        <v>1.2458679593129247</v>
      </c>
      <c r="R59" s="313">
        <f>'2024'!P59</f>
        <v>716355.96</v>
      </c>
      <c r="S59" s="314">
        <f t="shared" si="12"/>
        <v>685069.24</v>
      </c>
      <c r="T59" s="481">
        <f t="shared" si="5"/>
        <v>0.95632517666217232</v>
      </c>
      <c r="W59" s="470"/>
      <c r="Y59" s="470"/>
    </row>
    <row r="60" spans="1:25" ht="15.75" thickBot="1">
      <c r="A60" s="129">
        <v>1002</v>
      </c>
      <c r="B60" s="585" t="str">
        <f>+VLOOKUP($A60,Master!$D$30:$G$226,4,FALSE)</f>
        <v>Nedostajuća sredstva</v>
      </c>
      <c r="C60" s="586"/>
      <c r="D60" s="586"/>
      <c r="E60" s="586"/>
      <c r="F60" s="586"/>
      <c r="G60" s="298">
        <f>'2025'!S60</f>
        <v>-877206537.53000033</v>
      </c>
      <c r="H60" s="298">
        <f>SUM('2025'!G136:P136)</f>
        <v>-1029119187.7464542</v>
      </c>
      <c r="I60" s="300">
        <f t="shared" si="9"/>
        <v>151912650.21645391</v>
      </c>
      <c r="J60" s="301">
        <f t="shared" si="1"/>
        <v>-0.14761424335028617</v>
      </c>
      <c r="K60" s="298">
        <f>SUM('2024'!G60:P60)</f>
        <v>-335462588.33999974</v>
      </c>
      <c r="L60" s="300">
        <f>+G60-K60</f>
        <v>-541743949.19000053</v>
      </c>
      <c r="M60" s="482">
        <f t="shared" si="2"/>
        <v>1.6149161427232821</v>
      </c>
      <c r="N60" s="298">
        <f>'2025'!P60</f>
        <v>-40756688.289999954</v>
      </c>
      <c r="O60" s="298">
        <f>'2025'!P136</f>
        <v>-42935778.693951547</v>
      </c>
      <c r="P60" s="300">
        <f t="shared" si="11"/>
        <v>2179090.4039515927</v>
      </c>
      <c r="Q60" s="301">
        <f t="shared" si="3"/>
        <v>-5.0752320564260933E-2</v>
      </c>
      <c r="R60" s="298">
        <f>'2024'!P60</f>
        <v>-18504485.519999921</v>
      </c>
      <c r="S60" s="300">
        <f t="shared" si="12"/>
        <v>-22252202.770000033</v>
      </c>
      <c r="T60" s="482">
        <f t="shared" si="5"/>
        <v>1.2025302052277822</v>
      </c>
      <c r="W60" s="470"/>
      <c r="Y60" s="470"/>
    </row>
    <row r="61" spans="1:25" ht="15.75" thickBot="1">
      <c r="A61" s="129">
        <v>1003</v>
      </c>
      <c r="B61" s="587" t="str">
        <f>+VLOOKUP($A61,Master!$D$30:$G$226,4,FALSE)</f>
        <v>Finansiranje</v>
      </c>
      <c r="C61" s="588"/>
      <c r="D61" s="588"/>
      <c r="E61" s="588"/>
      <c r="F61" s="588"/>
      <c r="G61" s="136">
        <f>'2025'!S61</f>
        <v>877206537.53000021</v>
      </c>
      <c r="H61" s="136">
        <f>SUM('2025'!G137:P137)</f>
        <v>1029119187.7464542</v>
      </c>
      <c r="I61" s="299">
        <f t="shared" si="9"/>
        <v>-151912650.21645403</v>
      </c>
      <c r="J61" s="302">
        <f t="shared" si="1"/>
        <v>-0.14761424335028628</v>
      </c>
      <c r="K61" s="136">
        <f>SUM('2024'!G61:P61)</f>
        <v>335462588.33999974</v>
      </c>
      <c r="L61" s="299">
        <f t="shared" si="10"/>
        <v>541743949.19000053</v>
      </c>
      <c r="M61" s="483">
        <f t="shared" si="2"/>
        <v>1.6149161427232817</v>
      </c>
      <c r="N61" s="136">
        <f>'2025'!P61</f>
        <v>40756688.289999954</v>
      </c>
      <c r="O61" s="136">
        <f>'2025'!P137</f>
        <v>42935778.693951547</v>
      </c>
      <c r="P61" s="300">
        <f t="shared" si="11"/>
        <v>-2179090.4039515927</v>
      </c>
      <c r="Q61" s="302">
        <f t="shared" si="3"/>
        <v>-5.0752320564260933E-2</v>
      </c>
      <c r="R61" s="136">
        <f>'2024'!P61</f>
        <v>18504485.519999921</v>
      </c>
      <c r="S61" s="299">
        <f t="shared" si="12"/>
        <v>22252202.770000033</v>
      </c>
      <c r="T61" s="483">
        <f t="shared" si="5"/>
        <v>1.2025302052277822</v>
      </c>
      <c r="W61" s="470"/>
      <c r="Y61" s="470"/>
    </row>
    <row r="62" spans="1:25">
      <c r="A62" s="129">
        <v>7511</v>
      </c>
      <c r="B62" s="581" t="str">
        <f>+VLOOKUP($A62,Master!$D$30:$G$226,4,FALSE)</f>
        <v>Pozajmice i krediti od domaćih izvora</v>
      </c>
      <c r="C62" s="582"/>
      <c r="D62" s="582"/>
      <c r="E62" s="582"/>
      <c r="F62" s="582"/>
      <c r="G62" s="148">
        <f>'2025'!S62</f>
        <v>6127675</v>
      </c>
      <c r="H62" s="148">
        <f>SUM('2025'!G138:P138)</f>
        <v>115000000</v>
      </c>
      <c r="I62" s="197">
        <f t="shared" si="9"/>
        <v>-108872325</v>
      </c>
      <c r="J62" s="199">
        <f t="shared" si="1"/>
        <v>-0.94671586956521736</v>
      </c>
      <c r="K62" s="148">
        <f>SUM('2024'!G62:P62)</f>
        <v>0</v>
      </c>
      <c r="L62" s="197">
        <f t="shared" si="10"/>
        <v>6127675</v>
      </c>
      <c r="M62" s="201" t="str">
        <f>IF(+IF(ISERROR(G62/K62),"…",G62/K62-1)&gt;200%,"...",IF(ISERROR(G62/K62),"…",G62/K62-1))</f>
        <v>...</v>
      </c>
      <c r="N62" s="148">
        <f>'2025'!P62</f>
        <v>0</v>
      </c>
      <c r="O62" s="148">
        <f>'2025'!P138</f>
        <v>0</v>
      </c>
      <c r="P62" s="197">
        <f t="shared" si="11"/>
        <v>0</v>
      </c>
      <c r="Q62" s="199" t="str">
        <f>IF(+IF(ISERROR(N62/O62),"…",N62/O62-1)&gt;200%,"...",IF(ISERROR(N62/O62),"…",N62/O62-1))</f>
        <v>...</v>
      </c>
      <c r="R62" s="148">
        <f>'2024'!P62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65" t="str">
        <f>+VLOOKUP($A63,Master!$D$30:$G$226,4,FALSE)</f>
        <v>Pozajmice i krediti od inostranih izvora</v>
      </c>
      <c r="C63" s="566"/>
      <c r="D63" s="566"/>
      <c r="E63" s="566"/>
      <c r="F63" s="566"/>
      <c r="G63" s="148">
        <f>'2025'!S63</f>
        <v>950970328.54000008</v>
      </c>
      <c r="H63" s="148">
        <f>SUM('2025'!G139:P139)</f>
        <v>770014118.59000003</v>
      </c>
      <c r="I63" s="197">
        <f t="shared" si="9"/>
        <v>180956209.95000005</v>
      </c>
      <c r="J63" s="199">
        <f t="shared" si="1"/>
        <v>0.23500375588093814</v>
      </c>
      <c r="K63" s="148">
        <f>SUM('2024'!G63:P63)</f>
        <v>723028791.15999997</v>
      </c>
      <c r="L63" s="197">
        <f t="shared" si="10"/>
        <v>227941537.38000011</v>
      </c>
      <c r="M63" s="201">
        <f t="shared" si="2"/>
        <v>0.3152592817421549</v>
      </c>
      <c r="N63" s="148">
        <f>'2025'!P63</f>
        <v>8878787.9399999995</v>
      </c>
      <c r="O63" s="148">
        <f>'2025'!P139</f>
        <v>0</v>
      </c>
      <c r="P63" s="197">
        <f t="shared" si="11"/>
        <v>8878787.9399999995</v>
      </c>
      <c r="Q63" s="199" t="str">
        <f t="shared" si="3"/>
        <v>...</v>
      </c>
      <c r="R63" s="148">
        <f>'2024'!P63</f>
        <v>5933627.7299999995</v>
      </c>
      <c r="S63" s="197">
        <f t="shared" si="12"/>
        <v>2945160.21</v>
      </c>
      <c r="T63" s="201">
        <f t="shared" si="5"/>
        <v>0.49635068865366794</v>
      </c>
      <c r="W63" s="470"/>
      <c r="Y63" s="470"/>
    </row>
    <row r="64" spans="1:25">
      <c r="A64" s="129">
        <v>72</v>
      </c>
      <c r="B64" s="565" t="str">
        <f>+VLOOKUP($A64,Master!$D$30:$G$226,4,FALSE)</f>
        <v>Primici od prodaje imovine</v>
      </c>
      <c r="C64" s="566"/>
      <c r="D64" s="566"/>
      <c r="E64" s="566"/>
      <c r="F64" s="566"/>
      <c r="G64" s="148">
        <f>'2025'!S64</f>
        <v>1592514.29</v>
      </c>
      <c r="H64" s="148">
        <f>SUM('2025'!G140:P140)</f>
        <v>5000000</v>
      </c>
      <c r="I64" s="197">
        <f t="shared" si="9"/>
        <v>-3407485.71</v>
      </c>
      <c r="J64" s="199">
        <f t="shared" si="1"/>
        <v>-0.681497142</v>
      </c>
      <c r="K64" s="148">
        <f>SUM('2024'!G64:P64)</f>
        <v>1696756.4200000002</v>
      </c>
      <c r="L64" s="197">
        <f t="shared" si="10"/>
        <v>-104242.13000000012</v>
      </c>
      <c r="M64" s="201">
        <f t="shared" si="2"/>
        <v>-6.1436119393024069E-2</v>
      </c>
      <c r="N64" s="148">
        <f>'2025'!P64</f>
        <v>186399.44000000003</v>
      </c>
      <c r="O64" s="148">
        <f>'2025'!P140</f>
        <v>500000</v>
      </c>
      <c r="P64" s="197">
        <f t="shared" si="11"/>
        <v>-313600.55999999994</v>
      </c>
      <c r="Q64" s="199">
        <f t="shared" si="3"/>
        <v>-0.62720111999999995</v>
      </c>
      <c r="R64" s="148">
        <f>'2024'!P64</f>
        <v>128331.11000000003</v>
      </c>
      <c r="S64" s="197">
        <f t="shared" si="12"/>
        <v>58068.33</v>
      </c>
      <c r="T64" s="201">
        <f t="shared" si="5"/>
        <v>0.45248833271994604</v>
      </c>
      <c r="W64" s="470"/>
      <c r="Y64" s="470"/>
    </row>
    <row r="65" spans="1:25">
      <c r="A65" s="129">
        <v>73</v>
      </c>
      <c r="B65" s="565" t="str">
        <f>+VLOOKUP($A65,Master!$D$30:$G$226,4,FALSE)</f>
        <v>Primici od otplate kredita i sredstva prenesena iz prethodne godine</v>
      </c>
      <c r="C65" s="566"/>
      <c r="D65" s="566"/>
      <c r="E65" s="566"/>
      <c r="F65" s="566"/>
      <c r="G65" s="148">
        <f>'2025'!S65</f>
        <v>16648343.57</v>
      </c>
      <c r="H65" s="148">
        <f>SUM('2025'!G141:P141)</f>
        <v>5892259.9825796895</v>
      </c>
      <c r="I65" s="197">
        <f t="shared" si="9"/>
        <v>10756083.587420311</v>
      </c>
      <c r="J65" s="199">
        <f t="shared" si="1"/>
        <v>1.8254597759128735</v>
      </c>
      <c r="K65" s="148">
        <f>SUM('2024'!G65:P65)</f>
        <v>15095014.43</v>
      </c>
      <c r="L65" s="197">
        <f t="shared" si="10"/>
        <v>1553329.1400000006</v>
      </c>
      <c r="M65" s="201">
        <f t="shared" si="2"/>
        <v>0.10290345512442145</v>
      </c>
      <c r="N65" s="148">
        <f>'2025'!P65</f>
        <v>2238256.6500000004</v>
      </c>
      <c r="O65" s="148">
        <f>'2025'!P141</f>
        <v>263186.6897599264</v>
      </c>
      <c r="P65" s="197">
        <f t="shared" si="11"/>
        <v>1975069.960240074</v>
      </c>
      <c r="Q65" s="199" t="str">
        <f t="shared" si="3"/>
        <v>...</v>
      </c>
      <c r="R65" s="148">
        <f>'2024'!P65</f>
        <v>675338.76000000013</v>
      </c>
      <c r="S65" s="197">
        <f t="shared" si="12"/>
        <v>1562917.8900000001</v>
      </c>
      <c r="T65" s="201" t="str">
        <f>IF(+IF(ISERROR(N65/R65),"…",N65/R65-1)&gt;200%,"...",IF(ISERROR(N65/R65),"…",N65/R65-1))</f>
        <v>...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'2025'!S66</f>
        <v>-98132323.869999766</v>
      </c>
      <c r="H66" s="296">
        <f>SUM('2025'!G142:P142)</f>
        <v>133212809.17387447</v>
      </c>
      <c r="I66" s="211">
        <f t="shared" si="9"/>
        <v>-231345133.04387423</v>
      </c>
      <c r="J66" s="213">
        <f t="shared" si="1"/>
        <v>-1.736658317458899</v>
      </c>
      <c r="K66" s="296">
        <f>SUM('2024'!G66:P66)</f>
        <v>-404357973.67000037</v>
      </c>
      <c r="L66" s="211">
        <f t="shared" si="10"/>
        <v>306225649.80000061</v>
      </c>
      <c r="M66" s="215">
        <f t="shared" si="2"/>
        <v>-0.75731324652920951</v>
      </c>
      <c r="N66" s="296">
        <f>'2025'!P66</f>
        <v>29453244.259999953</v>
      </c>
      <c r="O66" s="296">
        <f>'2025'!P142</f>
        <v>42172592.004191622</v>
      </c>
      <c r="P66" s="211">
        <f t="shared" si="11"/>
        <v>-12719347.744191669</v>
      </c>
      <c r="Q66" s="213">
        <f t="shared" si="3"/>
        <v>-0.30160222883448728</v>
      </c>
      <c r="R66" s="296">
        <f>'2024'!P66</f>
        <v>11767187.919999922</v>
      </c>
      <c r="S66" s="211">
        <f t="shared" si="12"/>
        <v>17686056.340000033</v>
      </c>
      <c r="T66" s="215">
        <f t="shared" si="5"/>
        <v>1.5029976966663545</v>
      </c>
      <c r="W66" s="470"/>
      <c r="Y66" s="470"/>
    </row>
    <row r="67" spans="1:25">
      <c r="G67" s="274"/>
    </row>
    <row r="68" spans="1:25">
      <c r="G68" s="4"/>
      <c r="N68" s="562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T73rhHEWmgYw1lC/WarIbl9ZK9XtlaEKUcAJgROsSuoOijgyWZUjltIP5UMhRL1I7ESpMZ1Oppi5mimT5hbH4A==" saltValue="jlnNsyLkac14fCsDka5rxw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5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Z150"/>
  <sheetViews>
    <sheetView topLeftCell="B1" zoomScale="90" zoomScaleNormal="90" workbookViewId="0">
      <pane ySplit="1" topLeftCell="A2" activePane="bottomLeft" state="frozen"/>
      <selection pane="bottomLeft" activeCell="G62" sqref="G62:R6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67" t="str">
        <f>+Master!G252</f>
        <v>Ostvarenje budžeta</v>
      </c>
      <c r="C7" s="568"/>
      <c r="D7" s="568"/>
      <c r="E7" s="568"/>
      <c r="F7" s="568"/>
      <c r="G7" s="576">
        <v>2024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tr">
        <f>+Master!G249</f>
        <v>BDP</v>
      </c>
      <c r="T7" s="221">
        <v>7459213000</v>
      </c>
    </row>
    <row r="8" spans="1:24" ht="16.5" customHeight="1">
      <c r="A8" s="129"/>
      <c r="B8" s="569"/>
      <c r="C8" s="570"/>
      <c r="D8" s="570"/>
      <c r="E8" s="570"/>
      <c r="F8" s="571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6" t="str">
        <f>+Master!G247</f>
        <v>Jan - Dec</v>
      </c>
      <c r="T8" s="580"/>
    </row>
    <row r="9" spans="1:24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7" t="str">
        <f>+VLOOKUP($A10,Master!$D$30:$G$226,4,FALSE)</f>
        <v>Prihodi budžeta</v>
      </c>
      <c r="C10" s="588"/>
      <c r="D10" s="588"/>
      <c r="E10" s="588"/>
      <c r="F10" s="588"/>
      <c r="G10" s="513">
        <f>G11+G19+G24+G25+G26+G27+G28</f>
        <v>150930624.55999997</v>
      </c>
      <c r="H10" s="513">
        <f t="shared" ref="H10:L10" si="2">+H11+H19+SUM(H24:H28)</f>
        <v>180248657.53999999</v>
      </c>
      <c r="I10" s="513">
        <f t="shared" si="2"/>
        <v>244547107.82000002</v>
      </c>
      <c r="J10" s="513">
        <f t="shared" si="2"/>
        <v>317574569.87000006</v>
      </c>
      <c r="K10" s="513">
        <f t="shared" si="2"/>
        <v>195199293.29999998</v>
      </c>
      <c r="L10" s="513">
        <f t="shared" si="2"/>
        <v>221230415.70000005</v>
      </c>
      <c r="M10" s="513">
        <f t="shared" ref="M10:R10" si="3">+M11+M19+SUM(M24:M28)</f>
        <v>263236934.85000002</v>
      </c>
      <c r="N10" s="513">
        <f t="shared" si="3"/>
        <v>254940204.98000008</v>
      </c>
      <c r="O10" s="513">
        <f t="shared" si="3"/>
        <v>247911142.52000001</v>
      </c>
      <c r="P10" s="513">
        <f t="shared" si="3"/>
        <v>242863704.44000006</v>
      </c>
      <c r="Q10" s="513">
        <f t="shared" si="3"/>
        <v>178969307.88</v>
      </c>
      <c r="R10" s="513">
        <f t="shared" si="3"/>
        <v>258065306.41000003</v>
      </c>
      <c r="S10" s="514">
        <f>+SUM(G10:R10)</f>
        <v>2755717269.8699999</v>
      </c>
      <c r="T10" s="515">
        <f>+S10/$T$7*100</f>
        <v>36.943807206872897</v>
      </c>
      <c r="V10" s="493"/>
    </row>
    <row r="11" spans="1:24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176287449.86999997</v>
      </c>
      <c r="N11" s="516">
        <f t="shared" si="5"/>
        <v>187772027.16000003</v>
      </c>
      <c r="O11" s="516">
        <f t="shared" si="5"/>
        <v>174666714.85999998</v>
      </c>
      <c r="P11" s="516">
        <f t="shared" si="5"/>
        <v>170940704.73000002</v>
      </c>
      <c r="Q11" s="516">
        <f t="shared" si="5"/>
        <v>130980738.95999999</v>
      </c>
      <c r="R11" s="517">
        <f t="shared" si="5"/>
        <v>168637973.13</v>
      </c>
      <c r="S11" s="518">
        <f>+SUM(G11:R11)</f>
        <v>1968599583.2599998</v>
      </c>
      <c r="T11" s="519">
        <f t="shared" ref="T11:T66" si="6">+S11/$T$7*100</f>
        <v>26.391518559129491</v>
      </c>
      <c r="V11" s="276"/>
    </row>
    <row r="12" spans="1:24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499">
        <v>1998079.1499999992</v>
      </c>
      <c r="H12" s="499">
        <v>6162755.9099999974</v>
      </c>
      <c r="I12" s="499">
        <v>6774640.8399999999</v>
      </c>
      <c r="J12" s="499">
        <v>9120679.6699999962</v>
      </c>
      <c r="K12" s="499">
        <v>7999182.8500000024</v>
      </c>
      <c r="L12" s="148">
        <v>5714143.4300000006</v>
      </c>
      <c r="M12" s="148">
        <v>8103849.4699999979</v>
      </c>
      <c r="N12" s="148">
        <v>7506393.2000000039</v>
      </c>
      <c r="O12" s="148">
        <v>6129815.1900000004</v>
      </c>
      <c r="P12" s="148">
        <v>10490866.799999999</v>
      </c>
      <c r="Q12" s="148">
        <v>5042014.2899999982</v>
      </c>
      <c r="R12" s="148">
        <v>13112925.419999996</v>
      </c>
      <c r="S12" s="227">
        <f>+SUM(G12:R12)</f>
        <v>88155346.219999984</v>
      </c>
      <c r="T12" s="436">
        <f t="shared" si="6"/>
        <v>1.1818317323824912</v>
      </c>
    </row>
    <row r="13" spans="1:24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499">
        <v>1951464.9</v>
      </c>
      <c r="H13" s="499">
        <v>5771727.9400000023</v>
      </c>
      <c r="I13" s="499">
        <v>71210822.510000005</v>
      </c>
      <c r="J13" s="499">
        <v>100269900.83999997</v>
      </c>
      <c r="K13" s="499">
        <v>6533790.1499999994</v>
      </c>
      <c r="L13" s="148">
        <v>5452063.1399999997</v>
      </c>
      <c r="M13" s="148">
        <v>6399901.1399999987</v>
      </c>
      <c r="N13" s="148">
        <v>3297843.9299999992</v>
      </c>
      <c r="O13" s="148">
        <v>3451625.7499999995</v>
      </c>
      <c r="P13" s="148">
        <v>1559675.8199999998</v>
      </c>
      <c r="Q13" s="148">
        <v>1503515.8099999998</v>
      </c>
      <c r="R13" s="148">
        <v>6565545.0699999994</v>
      </c>
      <c r="S13" s="227">
        <f t="shared" ref="S13:S65" si="7">+SUM(G13:R13)</f>
        <v>213967876.99999997</v>
      </c>
      <c r="T13" s="436">
        <f t="shared" si="6"/>
        <v>2.8685047202700873</v>
      </c>
      <c r="V13" s="276"/>
      <c r="W13" s="276"/>
      <c r="X13" s="494"/>
    </row>
    <row r="14" spans="1:24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499">
        <v>91572726.909999996</v>
      </c>
      <c r="H15" s="499">
        <v>81980319.979999989</v>
      </c>
      <c r="I15" s="499">
        <v>78800496.590000004</v>
      </c>
      <c r="J15" s="499">
        <v>94537941.62000002</v>
      </c>
      <c r="K15" s="499">
        <v>88184792.75</v>
      </c>
      <c r="L15" s="148">
        <v>100885481.08999999</v>
      </c>
      <c r="M15" s="148">
        <v>119418214.70999996</v>
      </c>
      <c r="N15" s="148">
        <v>126480010.05000001</v>
      </c>
      <c r="O15" s="148">
        <v>119699878.62</v>
      </c>
      <c r="P15" s="148">
        <v>118929652.58000001</v>
      </c>
      <c r="Q15" s="148">
        <v>90529869.279999986</v>
      </c>
      <c r="R15" s="148">
        <v>111577546.98999999</v>
      </c>
      <c r="S15" s="227">
        <f t="shared" si="7"/>
        <v>1222596931.1700001</v>
      </c>
      <c r="T15" s="436">
        <f t="shared" si="6"/>
        <v>16.390427933483064</v>
      </c>
      <c r="V15" s="276"/>
      <c r="W15" s="276"/>
      <c r="X15" s="494"/>
    </row>
    <row r="16" spans="1:24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499">
        <v>22556344.95999999</v>
      </c>
      <c r="H16" s="499">
        <v>22366846.550000004</v>
      </c>
      <c r="I16" s="499">
        <v>21994790.36999999</v>
      </c>
      <c r="J16" s="499">
        <v>26932676.209999997</v>
      </c>
      <c r="K16" s="499">
        <v>31723753.749999993</v>
      </c>
      <c r="L16" s="148">
        <v>34644163.43</v>
      </c>
      <c r="M16" s="148">
        <v>34841981.669999979</v>
      </c>
      <c r="N16" s="148">
        <v>43213446.429999992</v>
      </c>
      <c r="O16" s="148">
        <v>38641287.919999979</v>
      </c>
      <c r="P16" s="148">
        <v>33032024.919999976</v>
      </c>
      <c r="Q16" s="148">
        <v>28020758.820000023</v>
      </c>
      <c r="R16" s="148">
        <v>30621579.680000011</v>
      </c>
      <c r="S16" s="227">
        <f t="shared" si="7"/>
        <v>368589654.70999986</v>
      </c>
      <c r="T16" s="436">
        <f t="shared" si="6"/>
        <v>4.9414013879212169</v>
      </c>
      <c r="V16" s="276"/>
      <c r="W16" s="276"/>
      <c r="X16" s="494"/>
    </row>
    <row r="17" spans="1:24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499">
        <v>2997811.1100000008</v>
      </c>
      <c r="H17" s="499">
        <v>3849203.2799999993</v>
      </c>
      <c r="I17" s="499">
        <v>4636318.0900000017</v>
      </c>
      <c r="J17" s="499">
        <v>5632584.1600000011</v>
      </c>
      <c r="K17" s="499">
        <v>5010618.790000001</v>
      </c>
      <c r="L17" s="148">
        <v>5120393.0799999991</v>
      </c>
      <c r="M17" s="148">
        <v>6113583.799999998</v>
      </c>
      <c r="N17" s="148">
        <v>5829872.2699999996</v>
      </c>
      <c r="O17" s="148">
        <v>5498962.25</v>
      </c>
      <c r="P17" s="148">
        <v>5536331.330000001</v>
      </c>
      <c r="Q17" s="148">
        <v>4591287.2700000005</v>
      </c>
      <c r="R17" s="148">
        <v>5559914.0900000026</v>
      </c>
      <c r="S17" s="227">
        <f t="shared" si="7"/>
        <v>60376879.520000003</v>
      </c>
      <c r="T17" s="436">
        <f t="shared" si="6"/>
        <v>0.80942693981255132</v>
      </c>
      <c r="V17" s="276"/>
      <c r="W17" s="276"/>
      <c r="X17" s="494"/>
    </row>
    <row r="18" spans="1:24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499">
        <v>935525.02999999968</v>
      </c>
      <c r="H18" s="499">
        <v>1177745.5100000002</v>
      </c>
      <c r="I18" s="499">
        <v>1140306.55</v>
      </c>
      <c r="J18" s="499">
        <v>1213350.5000000002</v>
      </c>
      <c r="K18" s="499">
        <v>1273370.2899999998</v>
      </c>
      <c r="L18" s="148">
        <v>1187162.6199999996</v>
      </c>
      <c r="M18" s="148">
        <v>1409919.08</v>
      </c>
      <c r="N18" s="148">
        <v>1444461.2799999996</v>
      </c>
      <c r="O18" s="148">
        <v>1245145.1299999999</v>
      </c>
      <c r="P18" s="148">
        <v>1392153.2800000003</v>
      </c>
      <c r="Q18" s="148">
        <v>1293293.4900000002</v>
      </c>
      <c r="R18" s="148">
        <v>1200461.8800000006</v>
      </c>
      <c r="S18" s="227">
        <f t="shared" si="7"/>
        <v>14912894.640000001</v>
      </c>
      <c r="T18" s="436">
        <f t="shared" si="6"/>
        <v>0.19992584526008308</v>
      </c>
      <c r="V18" s="276"/>
      <c r="W18" s="276"/>
      <c r="X18" s="494"/>
    </row>
    <row r="19" spans="1:24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48567223.640000008</v>
      </c>
      <c r="M19" s="520">
        <f t="shared" ref="M19:R19" si="10">SUM(M20:M23)</f>
        <v>55016979.530000024</v>
      </c>
      <c r="N19" s="520">
        <f t="shared" si="10"/>
        <v>54498567.900000021</v>
      </c>
      <c r="O19" s="520">
        <f t="shared" si="10"/>
        <v>54697462.290000021</v>
      </c>
      <c r="P19" s="520">
        <f t="shared" si="10"/>
        <v>54762650.330000028</v>
      </c>
      <c r="Q19" s="520">
        <f t="shared" si="10"/>
        <v>37399955.219999999</v>
      </c>
      <c r="R19" s="520">
        <f t="shared" si="10"/>
        <v>62375513.170000002</v>
      </c>
      <c r="S19" s="521">
        <f t="shared" si="7"/>
        <v>584706543.51000023</v>
      </c>
      <c r="T19" s="522">
        <f t="shared" si="6"/>
        <v>7.8387162762345071</v>
      </c>
      <c r="V19" s="276"/>
      <c r="W19" s="276"/>
      <c r="X19" s="494"/>
    </row>
    <row r="20" spans="1:24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499">
        <v>12277377.310000004</v>
      </c>
      <c r="H20" s="499">
        <v>47091163.350000009</v>
      </c>
      <c r="I20" s="499">
        <v>45892077.740000017</v>
      </c>
      <c r="J20" s="499">
        <v>53612426.220000051</v>
      </c>
      <c r="K20" s="499">
        <v>40659761.590000004</v>
      </c>
      <c r="L20" s="148">
        <v>44568700.900000006</v>
      </c>
      <c r="M20" s="148">
        <v>50382564.300000027</v>
      </c>
      <c r="N20" s="148">
        <v>49830258.150000021</v>
      </c>
      <c r="O20" s="148">
        <v>50178879.670000024</v>
      </c>
      <c r="P20" s="148">
        <v>50008955.340000033</v>
      </c>
      <c r="Q20" s="148">
        <v>33816105.539999999</v>
      </c>
      <c r="R20" s="148">
        <v>54430290.540000007</v>
      </c>
      <c r="S20" s="227">
        <f>+SUM(G20:R20)</f>
        <v>532748560.65000027</v>
      </c>
      <c r="T20" s="436">
        <f t="shared" si="6"/>
        <v>7.1421550859319911</v>
      </c>
      <c r="V20" s="276"/>
      <c r="W20" s="276"/>
      <c r="X20" s="494"/>
    </row>
    <row r="21" spans="1:24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499">
        <v>307850.36</v>
      </c>
      <c r="H21" s="499">
        <v>382153.79999999981</v>
      </c>
      <c r="I21" s="499">
        <v>494660.43000000023</v>
      </c>
      <c r="J21" s="499">
        <v>456232.43000000005</v>
      </c>
      <c r="K21" s="499">
        <v>296984.01999999996</v>
      </c>
      <c r="L21" s="148">
        <v>372046.09000000032</v>
      </c>
      <c r="M21" s="148">
        <v>516613.78999999986</v>
      </c>
      <c r="N21" s="148">
        <v>463962.05999999994</v>
      </c>
      <c r="O21" s="148">
        <v>380875.6399999999</v>
      </c>
      <c r="P21" s="148">
        <v>631287.55000000028</v>
      </c>
      <c r="Q21" s="148">
        <v>382115.57000000012</v>
      </c>
      <c r="R21" s="148">
        <v>739249.9099999998</v>
      </c>
      <c r="S21" s="227">
        <f t="shared" si="7"/>
        <v>5424031.6500000004</v>
      </c>
      <c r="T21" s="436">
        <f t="shared" si="6"/>
        <v>7.2715870293555099E-2</v>
      </c>
      <c r="V21" s="276"/>
      <c r="W21" s="276"/>
      <c r="X21" s="494"/>
    </row>
    <row r="22" spans="1:24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499">
        <v>569229.31000000017</v>
      </c>
      <c r="H22" s="499">
        <v>2203988.56</v>
      </c>
      <c r="I22" s="499">
        <v>2137007.6800000002</v>
      </c>
      <c r="J22" s="499">
        <v>2464722.0799999996</v>
      </c>
      <c r="K22" s="499">
        <v>1910648.6899999997</v>
      </c>
      <c r="L22" s="148">
        <v>2095564.3700000006</v>
      </c>
      <c r="M22" s="148">
        <v>2381944.4099999978</v>
      </c>
      <c r="N22" s="148">
        <v>2401758.4099999997</v>
      </c>
      <c r="O22" s="148">
        <v>2372941.4300000011</v>
      </c>
      <c r="P22" s="148">
        <v>2360830.6399999983</v>
      </c>
      <c r="Q22" s="148">
        <v>1848685.1399999997</v>
      </c>
      <c r="R22" s="148">
        <v>4213340.5699999984</v>
      </c>
      <c r="S22" s="227">
        <f t="shared" si="7"/>
        <v>26960661.289999999</v>
      </c>
      <c r="T22" s="436">
        <f t="shared" si="6"/>
        <v>0.36144109693609766</v>
      </c>
    </row>
    <row r="23" spans="1:24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499">
        <v>393756.44</v>
      </c>
      <c r="H23" s="499">
        <v>1531996.2499999995</v>
      </c>
      <c r="I23" s="499">
        <v>1555417.1400000006</v>
      </c>
      <c r="J23" s="499">
        <v>1778698.9200000009</v>
      </c>
      <c r="K23" s="499">
        <v>1372039.1099999996</v>
      </c>
      <c r="L23" s="148">
        <v>1530912.2800000003</v>
      </c>
      <c r="M23" s="148">
        <v>1735857.0299999998</v>
      </c>
      <c r="N23" s="148">
        <v>1802589.2800000005</v>
      </c>
      <c r="O23" s="148">
        <v>1764765.55</v>
      </c>
      <c r="P23" s="148">
        <v>1761576.7999999998</v>
      </c>
      <c r="Q23" s="148">
        <v>1353048.97</v>
      </c>
      <c r="R23" s="148">
        <v>2992632.1500000004</v>
      </c>
      <c r="S23" s="227">
        <f t="shared" si="7"/>
        <v>19573289.920000002</v>
      </c>
      <c r="T23" s="436">
        <f t="shared" si="6"/>
        <v>0.26240422307286304</v>
      </c>
      <c r="V23" s="495"/>
      <c r="W23" s="495"/>
      <c r="X23" s="494"/>
    </row>
    <row r="24" spans="1:24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v>859681.08999999973</v>
      </c>
      <c r="H24" s="160">
        <v>998586.78</v>
      </c>
      <c r="I24" s="160">
        <v>986568.82999999984</v>
      </c>
      <c r="J24" s="160">
        <v>1424375.75</v>
      </c>
      <c r="K24" s="160">
        <v>1250720.22</v>
      </c>
      <c r="L24" s="523">
        <v>1305037.7399999998</v>
      </c>
      <c r="M24" s="523">
        <v>1842088.0599999998</v>
      </c>
      <c r="N24" s="523">
        <v>1839749.1399999992</v>
      </c>
      <c r="O24" s="523">
        <v>1512960.9899999998</v>
      </c>
      <c r="P24" s="523">
        <v>1483761.4700000002</v>
      </c>
      <c r="Q24" s="523">
        <v>1124852.74</v>
      </c>
      <c r="R24" s="523">
        <v>1630932.8199999994</v>
      </c>
      <c r="S24" s="521">
        <f t="shared" si="7"/>
        <v>16259315.629999999</v>
      </c>
      <c r="T24" s="522">
        <f t="shared" si="6"/>
        <v>0.21797628824917586</v>
      </c>
    </row>
    <row r="25" spans="1:24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v>2491580.6799999997</v>
      </c>
      <c r="H25" s="160">
        <v>4111753.23</v>
      </c>
      <c r="I25" s="160">
        <v>3497306.5900000008</v>
      </c>
      <c r="J25" s="160">
        <v>5307671.1800000034</v>
      </c>
      <c r="K25" s="160">
        <v>3457943.4000000004</v>
      </c>
      <c r="L25" s="523">
        <v>4104367.62</v>
      </c>
      <c r="M25" s="523">
        <v>6739444.4200000018</v>
      </c>
      <c r="N25" s="523">
        <v>3916013.2500000005</v>
      </c>
      <c r="O25" s="523">
        <v>4184422.2199999993</v>
      </c>
      <c r="P25" s="523">
        <v>5561939.7699999977</v>
      </c>
      <c r="Q25" s="523">
        <v>4081588.330000001</v>
      </c>
      <c r="R25" s="523">
        <v>5674135.9900000002</v>
      </c>
      <c r="S25" s="521">
        <f t="shared" si="7"/>
        <v>53128166.680000007</v>
      </c>
      <c r="T25" s="522">
        <f t="shared" si="6"/>
        <v>0.71224895548632283</v>
      </c>
    </row>
    <row r="26" spans="1:24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v>7786872.9499999993</v>
      </c>
      <c r="H26" s="160">
        <v>2506480.6700000009</v>
      </c>
      <c r="I26" s="160">
        <v>2145814.8499999996</v>
      </c>
      <c r="J26" s="160">
        <v>12837058.109999999</v>
      </c>
      <c r="K26" s="160">
        <v>3927503.8099999982</v>
      </c>
      <c r="L26" s="523">
        <v>11737785.010000005</v>
      </c>
      <c r="M26" s="523">
        <v>20189939.060000002</v>
      </c>
      <c r="N26" s="523">
        <v>3567908.3100000024</v>
      </c>
      <c r="O26" s="523">
        <v>9667575.4800000004</v>
      </c>
      <c r="P26" s="523">
        <v>4545482.1499999976</v>
      </c>
      <c r="Q26" s="523">
        <v>2028102.13</v>
      </c>
      <c r="R26" s="523">
        <v>11227784.880000001</v>
      </c>
      <c r="S26" s="521">
        <f t="shared" si="7"/>
        <v>92168307.409999996</v>
      </c>
      <c r="T26" s="522">
        <f t="shared" si="6"/>
        <v>1.2356304533735663</v>
      </c>
    </row>
    <row r="27" spans="1:24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99" t="str">
        <f>+VLOOKUP($A28,Master!$D$30:$G$226,4,FALSE)</f>
        <v>Donacije i transferi</v>
      </c>
      <c r="C28" s="600"/>
      <c r="D28" s="600"/>
      <c r="E28" s="600"/>
      <c r="F28" s="600"/>
      <c r="G28" s="160">
        <v>4232324.3599999985</v>
      </c>
      <c r="H28" s="160">
        <v>113935.73</v>
      </c>
      <c r="I28" s="160">
        <v>3280879.6100000008</v>
      </c>
      <c r="J28" s="160">
        <v>1986252.18</v>
      </c>
      <c r="K28" s="160">
        <v>1598183.88</v>
      </c>
      <c r="L28" s="523">
        <v>2512594.8999999994</v>
      </c>
      <c r="M28" s="523">
        <v>3161033.91</v>
      </c>
      <c r="N28" s="523">
        <v>3345939.2199999997</v>
      </c>
      <c r="O28" s="523">
        <v>3182006.6799999997</v>
      </c>
      <c r="P28" s="523">
        <v>5569165.9900000002</v>
      </c>
      <c r="Q28" s="523">
        <v>3354070.4999999995</v>
      </c>
      <c r="R28" s="523">
        <v>8518966.4200000018</v>
      </c>
      <c r="S28" s="521">
        <f t="shared" si="7"/>
        <v>40855353.379999995</v>
      </c>
      <c r="T28" s="524">
        <f t="shared" si="6"/>
        <v>0.54771667439983274</v>
      </c>
    </row>
    <row r="29" spans="1:24" ht="13.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>+G30+G40+G46+SUM(G47:G51)</f>
        <v>137635959.57999998</v>
      </c>
      <c r="H29" s="136">
        <f t="shared" ref="H29:L29" si="11">+H30+H40+H46+SUM(H47:H51)</f>
        <v>214356467.37</v>
      </c>
      <c r="I29" s="136">
        <f t="shared" si="11"/>
        <v>231113361.05999997</v>
      </c>
      <c r="J29" s="136">
        <f t="shared" si="11"/>
        <v>258866419.16</v>
      </c>
      <c r="K29" s="136">
        <f t="shared" si="11"/>
        <v>213972789.61000007</v>
      </c>
      <c r="L29" s="136">
        <f t="shared" si="11"/>
        <v>224309523.64999995</v>
      </c>
      <c r="M29" s="136">
        <f t="shared" ref="M29:R29" si="12">+M30+M40+M46+SUM(M47:M51)</f>
        <v>248827815.75000003</v>
      </c>
      <c r="N29" s="136">
        <f t="shared" si="12"/>
        <v>204357182.26999995</v>
      </c>
      <c r="O29" s="136">
        <f t="shared" si="12"/>
        <v>254258490.24000001</v>
      </c>
      <c r="P29" s="136">
        <f t="shared" si="12"/>
        <v>253494809.23999998</v>
      </c>
      <c r="Q29" s="136">
        <f t="shared" si="12"/>
        <v>255542689.13999999</v>
      </c>
      <c r="R29" s="136">
        <f t="shared" si="12"/>
        <v>506530085.87999988</v>
      </c>
      <c r="S29" s="525">
        <f t="shared" si="7"/>
        <v>3003265592.9499998</v>
      </c>
      <c r="T29" s="526">
        <f t="shared" si="6"/>
        <v>40.26249944799806</v>
      </c>
    </row>
    <row r="30" spans="1:24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172">
        <f t="shared" ref="G30" si="13">+SUM(G31:G39)</f>
        <v>61594736.350000001</v>
      </c>
      <c r="H30" s="172">
        <f t="shared" ref="H30:L30" si="14">+SUM(H31:H39)</f>
        <v>82043744.409999967</v>
      </c>
      <c r="I30" s="172">
        <f t="shared" si="14"/>
        <v>89978481.019999981</v>
      </c>
      <c r="J30" s="172">
        <f t="shared" si="14"/>
        <v>107662894.62</v>
      </c>
      <c r="K30" s="172">
        <f t="shared" si="14"/>
        <v>86392977.350000054</v>
      </c>
      <c r="L30" s="172">
        <f t="shared" si="14"/>
        <v>85927319.290000021</v>
      </c>
      <c r="M30" s="172">
        <f t="shared" ref="M30:R30" si="15">+SUM(M31:M39)</f>
        <v>88262304.430000037</v>
      </c>
      <c r="N30" s="172">
        <f t="shared" si="15"/>
        <v>78686211.889999986</v>
      </c>
      <c r="O30" s="172">
        <f t="shared" si="15"/>
        <v>109768613.90000004</v>
      </c>
      <c r="P30" s="172">
        <f t="shared" si="15"/>
        <v>104916598.47999999</v>
      </c>
      <c r="Q30" s="172">
        <f t="shared" si="15"/>
        <v>106595898.44999997</v>
      </c>
      <c r="R30" s="231">
        <f t="shared" si="15"/>
        <v>189872196.31</v>
      </c>
      <c r="S30" s="527">
        <f t="shared" si="7"/>
        <v>1191701976.5</v>
      </c>
      <c r="T30" s="519">
        <f t="shared" si="6"/>
        <v>15.976242755100303</v>
      </c>
      <c r="U30" s="472"/>
    </row>
    <row r="31" spans="1:24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499">
        <v>55136605.750000007</v>
      </c>
      <c r="H31" s="499">
        <v>55692234.729999967</v>
      </c>
      <c r="I31" s="499">
        <v>55409710.469999999</v>
      </c>
      <c r="J31" s="499">
        <v>52206356.690000013</v>
      </c>
      <c r="K31" s="499">
        <v>59775777.14000003</v>
      </c>
      <c r="L31" s="499">
        <v>56817583.930000015</v>
      </c>
      <c r="M31" s="499">
        <v>56265870.18000003</v>
      </c>
      <c r="N31" s="499">
        <v>55237690.129999988</v>
      </c>
      <c r="O31" s="499">
        <v>57435269.210000031</v>
      </c>
      <c r="P31" s="499">
        <v>57178613.530000001</v>
      </c>
      <c r="Q31" s="499">
        <v>56295292.169999994</v>
      </c>
      <c r="R31" s="148">
        <v>57788253.059999973</v>
      </c>
      <c r="S31" s="227">
        <f t="shared" si="7"/>
        <v>675239256.99000001</v>
      </c>
      <c r="T31" s="436">
        <f t="shared" si="6"/>
        <v>9.05241956477178</v>
      </c>
      <c r="U31" s="472"/>
    </row>
    <row r="32" spans="1:24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499">
        <v>104790.61</v>
      </c>
      <c r="H32" s="499">
        <v>1837884.4900000005</v>
      </c>
      <c r="I32" s="499">
        <v>2257740.919999999</v>
      </c>
      <c r="J32" s="499">
        <v>1683604.5899999994</v>
      </c>
      <c r="K32" s="499">
        <v>1510365</v>
      </c>
      <c r="L32" s="499">
        <v>1609176.6600000001</v>
      </c>
      <c r="M32" s="499">
        <v>1737204.9199999995</v>
      </c>
      <c r="N32" s="499">
        <v>1253291.9899999998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20705195.260000002</v>
      </c>
      <c r="T32" s="436">
        <f t="shared" si="6"/>
        <v>0.27757881776535942</v>
      </c>
      <c r="U32" s="472"/>
      <c r="V32" s="275"/>
    </row>
    <row r="33" spans="1:24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499">
        <v>201738.93999999997</v>
      </c>
      <c r="H33" s="499">
        <v>3185464.5300000003</v>
      </c>
      <c r="I33" s="499">
        <v>3529714.7899999991</v>
      </c>
      <c r="J33" s="499">
        <v>3285232.91</v>
      </c>
      <c r="K33" s="499">
        <v>2227446.2700000005</v>
      </c>
      <c r="L33" s="499">
        <v>2342625.54</v>
      </c>
      <c r="M33" s="499">
        <v>3340983.5300000003</v>
      </c>
      <c r="N33" s="499">
        <v>1736766.3599999999</v>
      </c>
      <c r="O33" s="499">
        <v>4477978.9600000018</v>
      </c>
      <c r="P33" s="499">
        <v>3454251.1000000006</v>
      </c>
      <c r="Q33" s="499">
        <v>2993781.3500000006</v>
      </c>
      <c r="R33" s="148">
        <v>9282037.9699999988</v>
      </c>
      <c r="S33" s="227">
        <f t="shared" si="7"/>
        <v>40058022.25</v>
      </c>
      <c r="T33" s="436">
        <f t="shared" si="6"/>
        <v>0.53702746187835104</v>
      </c>
      <c r="U33" s="472"/>
    </row>
    <row r="34" spans="1:24" s="334" customFormat="1">
      <c r="A34" s="333">
        <v>414</v>
      </c>
      <c r="B34" s="615" t="str">
        <f>+VLOOKUP($A34,Master!$D$30:$G$226,4,FALSE)</f>
        <v>Rashodi za usluge</v>
      </c>
      <c r="C34" s="616"/>
      <c r="D34" s="616"/>
      <c r="E34" s="616"/>
      <c r="F34" s="616"/>
      <c r="G34" s="499">
        <v>757981.92</v>
      </c>
      <c r="H34" s="499">
        <v>3300375.67</v>
      </c>
      <c r="I34" s="499">
        <v>6875965.6500000004</v>
      </c>
      <c r="J34" s="499">
        <v>6034145.7299999995</v>
      </c>
      <c r="K34" s="499">
        <v>4158479.13</v>
      </c>
      <c r="L34" s="499">
        <v>5569605.379999999</v>
      </c>
      <c r="M34" s="499">
        <v>6877088.6399999997</v>
      </c>
      <c r="N34" s="499">
        <v>3795777.2799999993</v>
      </c>
      <c r="O34" s="499">
        <v>4358161.21</v>
      </c>
      <c r="P34" s="499">
        <v>7251119.8099999996</v>
      </c>
      <c r="Q34" s="499">
        <v>8211565.2000000002</v>
      </c>
      <c r="R34" s="148">
        <v>24116042.669999998</v>
      </c>
      <c r="S34" s="227">
        <f t="shared" si="7"/>
        <v>81306308.290000007</v>
      </c>
      <c r="T34" s="436">
        <f t="shared" si="6"/>
        <v>1.0900118858383587</v>
      </c>
      <c r="U34" s="472"/>
    </row>
    <row r="35" spans="1:24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499">
        <v>4201.5999999999995</v>
      </c>
      <c r="H35" s="499">
        <v>1444596.6199999996</v>
      </c>
      <c r="I35" s="499">
        <v>1881519.3199999998</v>
      </c>
      <c r="J35" s="499">
        <v>3225823.8199999994</v>
      </c>
      <c r="K35" s="499">
        <v>501842.64999999991</v>
      </c>
      <c r="L35" s="499">
        <v>3134652.47</v>
      </c>
      <c r="M35" s="499">
        <v>3729643.08</v>
      </c>
      <c r="N35" s="499">
        <v>2811315.1200000006</v>
      </c>
      <c r="O35" s="499">
        <v>4060157.3499999996</v>
      </c>
      <c r="P35" s="499">
        <v>2529921.85</v>
      </c>
      <c r="Q35" s="499">
        <v>2986528.7699999996</v>
      </c>
      <c r="R35" s="148">
        <v>7558144.2599999998</v>
      </c>
      <c r="S35" s="227">
        <f t="shared" si="7"/>
        <v>33868346.910000004</v>
      </c>
      <c r="T35" s="436">
        <f t="shared" si="6"/>
        <v>0.45404718849026032</v>
      </c>
      <c r="U35" s="472"/>
    </row>
    <row r="36" spans="1:24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499">
        <v>4029329.47</v>
      </c>
      <c r="H36" s="499">
        <v>4134269.1400000006</v>
      </c>
      <c r="I36" s="499">
        <v>7187851.2999999989</v>
      </c>
      <c r="J36" s="499">
        <v>31152460.929999992</v>
      </c>
      <c r="K36" s="499">
        <v>8072726.5900000008</v>
      </c>
      <c r="L36" s="499">
        <v>5854358.290000001</v>
      </c>
      <c r="M36" s="499">
        <v>3738849.7</v>
      </c>
      <c r="N36" s="499">
        <v>3976245.2199999993</v>
      </c>
      <c r="O36" s="499">
        <v>25966444.500000007</v>
      </c>
      <c r="P36" s="499">
        <v>14869850.659999998</v>
      </c>
      <c r="Q36" s="499">
        <v>13088141.829999998</v>
      </c>
      <c r="R36" s="148">
        <v>27215872.760000002</v>
      </c>
      <c r="S36" s="227">
        <f>+SUM(G36:R36)</f>
        <v>149286400.39000002</v>
      </c>
      <c r="T36" s="436">
        <f t="shared" si="6"/>
        <v>2.0013693185862906</v>
      </c>
      <c r="U36" s="472"/>
      <c r="V36" s="275"/>
    </row>
    <row r="37" spans="1:24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996164.27000000014</v>
      </c>
      <c r="M37" s="499">
        <v>1022257.5800000002</v>
      </c>
      <c r="N37" s="499">
        <v>1097677.0900000001</v>
      </c>
      <c r="O37" s="499">
        <v>456664.22999999986</v>
      </c>
      <c r="P37" s="499">
        <v>871596.95000000007</v>
      </c>
      <c r="Q37" s="499">
        <v>1032976.0700000001</v>
      </c>
      <c r="R37" s="148">
        <v>3659045.2200000011</v>
      </c>
      <c r="S37" s="227">
        <f t="shared" si="7"/>
        <v>13501000.000000002</v>
      </c>
      <c r="T37" s="436">
        <f t="shared" si="6"/>
        <v>0.18099764680268551</v>
      </c>
      <c r="U37" s="472"/>
      <c r="V37" s="275"/>
    </row>
    <row r="38" spans="1:24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499">
        <v>1261570.01</v>
      </c>
      <c r="H38" s="499">
        <v>3823193.8399999947</v>
      </c>
      <c r="I38" s="499">
        <v>6034941.5099999914</v>
      </c>
      <c r="J38" s="499">
        <v>4256461.24</v>
      </c>
      <c r="K38" s="499">
        <v>4091213.4399999962</v>
      </c>
      <c r="L38" s="499">
        <v>5603254.6099999947</v>
      </c>
      <c r="M38" s="499">
        <v>6020163.6199999992</v>
      </c>
      <c r="N38" s="499">
        <v>5377628.459999999</v>
      </c>
      <c r="O38" s="499">
        <v>8420721.0699999966</v>
      </c>
      <c r="P38" s="499">
        <v>11936637.319999993</v>
      </c>
      <c r="Q38" s="499">
        <v>14006807.799999999</v>
      </c>
      <c r="R38" s="148">
        <v>17955567.600000001</v>
      </c>
      <c r="S38" s="227">
        <f t="shared" si="7"/>
        <v>88788160.519999981</v>
      </c>
      <c r="T38" s="436">
        <f t="shared" si="6"/>
        <v>1.1903153927900971</v>
      </c>
      <c r="U38" s="472"/>
    </row>
    <row r="39" spans="1:24">
      <c r="A39" s="135">
        <v>419</v>
      </c>
      <c r="B39" s="597" t="str">
        <f>+VLOOKUP($A39,Master!$D$30:$G$226,4,FALSE)</f>
        <v>Ostali izdaci</v>
      </c>
      <c r="C39" s="598"/>
      <c r="D39" s="598"/>
      <c r="E39" s="598"/>
      <c r="F39" s="598"/>
      <c r="G39" s="499">
        <v>98362.579999999987</v>
      </c>
      <c r="H39" s="499">
        <v>7565592.3899999987</v>
      </c>
      <c r="I39" s="499">
        <v>5572488.79</v>
      </c>
      <c r="J39" s="499">
        <v>4450664.4799999995</v>
      </c>
      <c r="K39" s="499">
        <v>5347489.51</v>
      </c>
      <c r="L39" s="499">
        <v>3999898.1399999997</v>
      </c>
      <c r="M39" s="499">
        <v>5530243.1799999997</v>
      </c>
      <c r="N39" s="499">
        <v>3399820.2400000007</v>
      </c>
      <c r="O39" s="499">
        <v>3056347.6999999997</v>
      </c>
      <c r="P39" s="499">
        <v>4834785.4400000004</v>
      </c>
      <c r="Q39" s="499">
        <v>6165732.3800000008</v>
      </c>
      <c r="R39" s="148">
        <v>38927861.060000002</v>
      </c>
      <c r="S39" s="227">
        <f t="shared" si="7"/>
        <v>88949285.890000015</v>
      </c>
      <c r="T39" s="436">
        <f t="shared" si="6"/>
        <v>1.1924754781771216</v>
      </c>
      <c r="U39" s="472"/>
      <c r="V39" s="275"/>
    </row>
    <row r="40" spans="1:24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88657241.409999982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86712279.429999992</v>
      </c>
      <c r="Q40" s="178">
        <f t="shared" si="17"/>
        <v>88244056.319999993</v>
      </c>
      <c r="R40" s="178">
        <f t="shared" si="17"/>
        <v>93229645.209999993</v>
      </c>
      <c r="S40" s="528">
        <f t="shared" si="7"/>
        <v>1008167754.3099997</v>
      </c>
      <c r="T40" s="529">
        <f t="shared" si="6"/>
        <v>13.51573891655862</v>
      </c>
      <c r="U40" s="472"/>
    </row>
    <row r="41" spans="1:24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18952775.550000001</v>
      </c>
      <c r="Q41" s="499">
        <v>20366430.100000001</v>
      </c>
      <c r="R41" s="148">
        <v>17669066.620000001</v>
      </c>
      <c r="S41" s="227">
        <f t="shared" si="7"/>
        <v>212995359.84</v>
      </c>
      <c r="T41" s="436">
        <f t="shared" si="6"/>
        <v>2.8554669217784769</v>
      </c>
      <c r="U41" s="472"/>
    </row>
    <row r="42" spans="1:24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0.34878440084764983</v>
      </c>
      <c r="U42" s="472"/>
      <c r="V42" s="275"/>
    </row>
    <row r="43" spans="1:24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61550827.919999987</v>
      </c>
      <c r="N43" s="499">
        <v>62111987.969999999</v>
      </c>
      <c r="O43" s="499">
        <v>62041259.769999973</v>
      </c>
      <c r="P43" s="499">
        <v>62741828.979999989</v>
      </c>
      <c r="Q43" s="499">
        <v>62810408.869999997</v>
      </c>
      <c r="R43" s="148">
        <v>63648277.499999985</v>
      </c>
      <c r="S43" s="227">
        <f t="shared" si="7"/>
        <v>730408864.30999994</v>
      </c>
      <c r="T43" s="436">
        <f t="shared" si="6"/>
        <v>9.7920365635087769</v>
      </c>
      <c r="U43" s="472"/>
    </row>
    <row r="44" spans="1:24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499">
        <v>893164.23999999976</v>
      </c>
      <c r="H44" s="499">
        <v>857362.14999999991</v>
      </c>
      <c r="I44" s="499">
        <v>1257824.81</v>
      </c>
      <c r="J44" s="499">
        <v>1233497.5799999998</v>
      </c>
      <c r="K44" s="499">
        <v>1005825.6500000001</v>
      </c>
      <c r="L44" s="499">
        <v>1033640.7399999999</v>
      </c>
      <c r="M44" s="499">
        <v>6613796.0999999978</v>
      </c>
      <c r="N44" s="499">
        <v>1831545.69</v>
      </c>
      <c r="O44" s="499">
        <v>1235670.44</v>
      </c>
      <c r="P44" s="499">
        <v>1750407.2899999998</v>
      </c>
      <c r="Q44" s="499">
        <v>1490076.6400000004</v>
      </c>
      <c r="R44" s="148">
        <v>2910809.95</v>
      </c>
      <c r="S44" s="227">
        <f t="shared" si="7"/>
        <v>22113621.279999997</v>
      </c>
      <c r="T44" s="436">
        <f t="shared" si="6"/>
        <v>0.29646051507042365</v>
      </c>
      <c r="U44" s="472"/>
    </row>
    <row r="45" spans="1:24" s="334" customFormat="1">
      <c r="A45" s="333">
        <v>425</v>
      </c>
      <c r="B45" s="617" t="str">
        <f>+VLOOKUP($A45,Master!$D$30:$G$226,4,FALSE)</f>
        <v>Ostala prava iz zdravstvenog osiguranja</v>
      </c>
      <c r="C45" s="618"/>
      <c r="D45" s="618"/>
      <c r="E45" s="618"/>
      <c r="F45" s="618"/>
      <c r="G45" s="499">
        <v>34748.049999999996</v>
      </c>
      <c r="H45" s="499">
        <v>1222905.4799999997</v>
      </c>
      <c r="I45" s="499">
        <v>2373259.1799999997</v>
      </c>
      <c r="J45" s="499">
        <v>1410333.5000000005</v>
      </c>
      <c r="K45" s="499">
        <v>1163295.2799999991</v>
      </c>
      <c r="L45" s="499">
        <v>1245194.8499999999</v>
      </c>
      <c r="M45" s="499">
        <v>1669001.1999999997</v>
      </c>
      <c r="N45" s="499">
        <v>679384.87999999989</v>
      </c>
      <c r="O45" s="499">
        <v>1758483.149999999</v>
      </c>
      <c r="P45" s="499">
        <v>1449378.36</v>
      </c>
      <c r="Q45" s="499">
        <v>1884503.7700000005</v>
      </c>
      <c r="R45" s="148">
        <v>1742849.8100000003</v>
      </c>
      <c r="S45" s="227">
        <f t="shared" si="7"/>
        <v>16633337.509999996</v>
      </c>
      <c r="T45" s="436">
        <f t="shared" si="6"/>
        <v>0.22299051535329528</v>
      </c>
      <c r="U45" s="472"/>
    </row>
    <row r="46" spans="1:24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v>2751107.63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33632618.140000001</v>
      </c>
      <c r="M46" s="160">
        <v>42177725.590000004</v>
      </c>
      <c r="N46" s="160">
        <v>25513178.250000007</v>
      </c>
      <c r="O46" s="160">
        <v>33676928.659999996</v>
      </c>
      <c r="P46" s="160">
        <v>30731068.659999996</v>
      </c>
      <c r="Q46" s="160">
        <v>34757123.660000004</v>
      </c>
      <c r="R46" s="160">
        <v>86071555.38000001</v>
      </c>
      <c r="S46" s="521">
        <f t="shared" si="7"/>
        <v>429186147.31999999</v>
      </c>
      <c r="T46" s="522">
        <f t="shared" si="6"/>
        <v>5.7537725135346047</v>
      </c>
      <c r="U46" s="472"/>
    </row>
    <row r="47" spans="1:24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27898832.840000004</v>
      </c>
      <c r="Q47" s="160">
        <v>24234766.84</v>
      </c>
      <c r="R47" s="160">
        <v>109853091.14999996</v>
      </c>
      <c r="S47" s="521">
        <f t="shared" si="7"/>
        <v>299128487.52999997</v>
      </c>
      <c r="T47" s="522">
        <f t="shared" si="6"/>
        <v>4.0101883071310604</v>
      </c>
      <c r="U47" s="472"/>
      <c r="V47" s="275"/>
      <c r="W47" s="292"/>
      <c r="X47" s="292"/>
    </row>
    <row r="48" spans="1:24">
      <c r="A48" s="135">
        <v>451</v>
      </c>
      <c r="B48" s="619" t="str">
        <f>+VLOOKUP($A48,Master!$D$30:$G$226,4,FALSE)</f>
        <v>Pozajmice i krediti</v>
      </c>
      <c r="C48" s="620"/>
      <c r="D48" s="620"/>
      <c r="E48" s="620"/>
      <c r="F48" s="620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24" t="str">
        <f>+VLOOKUP($A49,Master!$D$30:$G$226,4,FALSE)</f>
        <v>Rezerve</v>
      </c>
      <c r="C49" s="625"/>
      <c r="D49" s="625"/>
      <c r="E49" s="625"/>
      <c r="F49" s="625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3778637.8999999994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0.65434896362391015</v>
      </c>
      <c r="U49" s="472"/>
    </row>
    <row r="50" spans="1:21" ht="13.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7.8418027076046767E-2</v>
      </c>
      <c r="U50" s="472"/>
    </row>
    <row r="51" spans="1:21" ht="13.5" thickBot="1">
      <c r="A51" s="129">
        <v>4630</v>
      </c>
      <c r="B51" s="626" t="str">
        <f>+VLOOKUP($A51,Master!$D$30:$G$226,4,TRUE)</f>
        <v>Otplata obaveza iz prethodnog perioda</v>
      </c>
      <c r="C51" s="627"/>
      <c r="D51" s="627"/>
      <c r="E51" s="627"/>
      <c r="F51" s="627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2277126.5499999993</v>
      </c>
      <c r="N51" s="430">
        <v>644150.00000000012</v>
      </c>
      <c r="O51" s="430">
        <v>1059498.31</v>
      </c>
      <c r="P51" s="430">
        <v>886966.89</v>
      </c>
      <c r="Q51" s="430">
        <v>1087506.1600000001</v>
      </c>
      <c r="R51" s="430">
        <v>2134708.5099999998</v>
      </c>
      <c r="S51" s="398">
        <f>+SUM(G51:R51)</f>
        <v>20422576.659999996</v>
      </c>
      <c r="T51" s="440">
        <f t="shared" si="6"/>
        <v>0.2737899649735166</v>
      </c>
      <c r="U51" s="472"/>
    </row>
    <row r="52" spans="1:21" ht="13.5" thickBot="1">
      <c r="A52" s="61">
        <v>1005</v>
      </c>
      <c r="B52" s="628" t="str">
        <f>+VLOOKUP($A52,Master!$D$30:$G$228,4,FALSE)</f>
        <v>Neto povećanje obaveza</v>
      </c>
      <c r="C52" s="629"/>
      <c r="D52" s="629"/>
      <c r="E52" s="629"/>
      <c r="F52" s="629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 t="shared" ref="G53" si="18">+G10-G29</f>
        <v>13294664.979999989</v>
      </c>
      <c r="H53" s="136">
        <f t="shared" ref="H53:L53" si="19">+H10-H29</f>
        <v>-34107809.830000013</v>
      </c>
      <c r="I53" s="136">
        <f t="shared" si="19"/>
        <v>13433746.76000005</v>
      </c>
      <c r="J53" s="136">
        <f t="shared" si="19"/>
        <v>58708150.710000068</v>
      </c>
      <c r="K53" s="136">
        <f t="shared" si="19"/>
        <v>-18773496.310000092</v>
      </c>
      <c r="L53" s="136">
        <f t="shared" si="19"/>
        <v>-3079107.9499998987</v>
      </c>
      <c r="M53" s="136">
        <f t="shared" ref="M53:R53" si="20">+M10-M29</f>
        <v>14409119.099999994</v>
      </c>
      <c r="N53" s="136">
        <f t="shared" si="20"/>
        <v>50583022.710000128</v>
      </c>
      <c r="O53" s="136">
        <f t="shared" si="20"/>
        <v>-6347347.7199999988</v>
      </c>
      <c r="P53" s="136">
        <f t="shared" si="20"/>
        <v>-10631104.799999923</v>
      </c>
      <c r="Q53" s="136">
        <f t="shared" si="20"/>
        <v>-76573381.25999999</v>
      </c>
      <c r="R53" s="136">
        <f t="shared" si="20"/>
        <v>-248464779.46999985</v>
      </c>
      <c r="S53" s="530">
        <f>SUM(G53:R53)</f>
        <v>-247548323.07999954</v>
      </c>
      <c r="T53" s="531">
        <f t="shared" si="6"/>
        <v>-3.3186922411251638</v>
      </c>
    </row>
    <row r="54" spans="1:21" ht="13.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90">
        <f t="shared" ref="G54" si="21">+G53+G36</f>
        <v>17323994.449999988</v>
      </c>
      <c r="H54" s="190">
        <f t="shared" ref="H54:L54" si="22">+H53+H36</f>
        <v>-29973540.690000013</v>
      </c>
      <c r="I54" s="190">
        <f t="shared" si="22"/>
        <v>20621598.060000047</v>
      </c>
      <c r="J54" s="190">
        <f t="shared" si="22"/>
        <v>89860611.64000006</v>
      </c>
      <c r="K54" s="190">
        <f t="shared" si="22"/>
        <v>-10700769.720000092</v>
      </c>
      <c r="L54" s="190">
        <f t="shared" si="22"/>
        <v>2775250.3400001023</v>
      </c>
      <c r="M54" s="190">
        <f t="shared" ref="M54:R54" si="23">+M53+M36</f>
        <v>18147968.799999993</v>
      </c>
      <c r="N54" s="190">
        <f t="shared" si="23"/>
        <v>54559267.930000126</v>
      </c>
      <c r="O54" s="190">
        <f t="shared" si="23"/>
        <v>19619096.780000009</v>
      </c>
      <c r="P54" s="190">
        <f t="shared" si="23"/>
        <v>4238745.8600000758</v>
      </c>
      <c r="Q54" s="190">
        <f t="shared" si="23"/>
        <v>-63485239.429999992</v>
      </c>
      <c r="R54" s="190">
        <f t="shared" si="23"/>
        <v>-221248906.70999986</v>
      </c>
      <c r="S54" s="530">
        <f t="shared" si="7"/>
        <v>-98261922.689999536</v>
      </c>
      <c r="T54" s="531">
        <f t="shared" si="6"/>
        <v>-1.3173229225388727</v>
      </c>
    </row>
    <row r="55" spans="1:21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59758227.25</v>
      </c>
      <c r="J55" s="160">
        <f t="shared" si="25"/>
        <v>117171322.15000001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7153919.7599999998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495640543.03000009</v>
      </c>
      <c r="T55" s="533">
        <f t="shared" si="6"/>
        <v>6.644676094247477</v>
      </c>
    </row>
    <row r="56" spans="1:21">
      <c r="A56" s="129">
        <v>4611</v>
      </c>
      <c r="B56" s="581" t="str">
        <f>+VLOOKUP($A56,Master!$D$30:$G$226,4,FALSE)</f>
        <v>Otplata hartija od vrijednosti i kredita rezidentima</v>
      </c>
      <c r="C56" s="582"/>
      <c r="D56" s="582"/>
      <c r="E56" s="582"/>
      <c r="F56" s="582"/>
      <c r="G56" s="554">
        <v>2494755.4500000002</v>
      </c>
      <c r="H56" s="554">
        <v>2954245.6799999997</v>
      </c>
      <c r="I56" s="554">
        <v>23477657.120000001</v>
      </c>
      <c r="J56" s="554">
        <v>95643965.920000002</v>
      </c>
      <c r="K56" s="554">
        <v>9858911.2699999996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9977859.9299999997</v>
      </c>
      <c r="R56" s="196">
        <v>13242556.039999997</v>
      </c>
      <c r="S56" s="235">
        <f t="shared" si="7"/>
        <v>206764325.04000002</v>
      </c>
      <c r="T56" s="444">
        <f t="shared" si="6"/>
        <v>2.7719321735416327</v>
      </c>
    </row>
    <row r="57" spans="1:21" ht="13.5" thickBot="1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554">
        <v>32313186.740000002</v>
      </c>
      <c r="H57" s="554">
        <v>3787783.5300000007</v>
      </c>
      <c r="I57" s="554">
        <v>36280570.130000003</v>
      </c>
      <c r="J57" s="554">
        <v>21527356.229999997</v>
      </c>
      <c r="K57" s="554">
        <v>29335488.089999996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4512450.2399999993</v>
      </c>
      <c r="Q57" s="554">
        <v>46829980.980000004</v>
      </c>
      <c r="R57" s="196">
        <v>23391696.940000001</v>
      </c>
      <c r="S57" s="235">
        <f t="shared" si="7"/>
        <v>288876217.99000001</v>
      </c>
      <c r="T57" s="444">
        <f t="shared" si="6"/>
        <v>3.8727439207058443</v>
      </c>
    </row>
    <row r="58" spans="1:21" ht="13.5" thickBot="1">
      <c r="A58" s="129">
        <v>4418</v>
      </c>
      <c r="B58" s="603" t="str">
        <f>+VLOOKUP($A58,Master!$D$30:$G$226,4,FALSE)</f>
        <v>Izdaci za kupovinu hartija od vrijednosti</v>
      </c>
      <c r="C58" s="604"/>
      <c r="D58" s="604"/>
      <c r="E58" s="604"/>
      <c r="F58" s="604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4.3832552442194639E-2</v>
      </c>
    </row>
    <row r="59" spans="1:21" ht="13.5" thickBot="1">
      <c r="A59" s="135">
        <v>451</v>
      </c>
      <c r="B59" s="603" t="str">
        <f>+VLOOKUP($A59,Master!$D$30:$G$226,4,FALSE)</f>
        <v>Pozajmice i krediti</v>
      </c>
      <c r="C59" s="604"/>
      <c r="D59" s="604"/>
      <c r="E59" s="604"/>
      <c r="F59" s="604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1003067.94</v>
      </c>
      <c r="O59" s="499">
        <v>841263.3</v>
      </c>
      <c r="P59" s="499">
        <v>716355.96</v>
      </c>
      <c r="Q59" s="499">
        <v>341504.15</v>
      </c>
      <c r="R59" s="432">
        <v>1326787.44</v>
      </c>
      <c r="S59" s="532">
        <f>SUM(G59:R59)</f>
        <v>9152704.9900000002</v>
      </c>
      <c r="T59" s="534">
        <f t="shared" si="6"/>
        <v>0.12270336012659781</v>
      </c>
    </row>
    <row r="60" spans="1:21" ht="13.5" thickBot="1">
      <c r="A60" s="129">
        <v>1002</v>
      </c>
      <c r="B60" s="585" t="str">
        <f>+VLOOKUP($A60,Master!$D$30:$G$226,4,FALSE)</f>
        <v>Nedostajuća sredstva</v>
      </c>
      <c r="C60" s="586"/>
      <c r="D60" s="586"/>
      <c r="E60" s="586"/>
      <c r="F60" s="586"/>
      <c r="G60" s="202">
        <f>+G53-G55-G58-G59</f>
        <v>-22227998.820000015</v>
      </c>
      <c r="H60" s="202">
        <f t="shared" ref="H60:L60" si="27">+H53-H55-H58-H59</f>
        <v>-41361149.040000014</v>
      </c>
      <c r="I60" s="202">
        <f t="shared" si="27"/>
        <v>-48648542.689999945</v>
      </c>
      <c r="J60" s="202">
        <f t="shared" si="27"/>
        <v>-59431255.53999994</v>
      </c>
      <c r="K60" s="202">
        <f t="shared" si="27"/>
        <v>-60130493.990000091</v>
      </c>
      <c r="L60" s="202">
        <f t="shared" si="27"/>
        <v>-54378526.989999898</v>
      </c>
      <c r="M60" s="202">
        <f t="shared" ref="M60" si="28">+M53-M55-M58-M59</f>
        <v>-21064525.190000009</v>
      </c>
      <c r="N60" s="202">
        <f t="shared" ref="N60" si="29">+N53-N55-N58-N59</f>
        <v>41998643.500000127</v>
      </c>
      <c r="O60" s="202">
        <f t="shared" ref="O60" si="30">+O53-O55-O58-O59</f>
        <v>-51714254.059999995</v>
      </c>
      <c r="P60" s="202">
        <f t="shared" ref="P60" si="31">+P53-P55-P58-P59</f>
        <v>-18504485.519999921</v>
      </c>
      <c r="Q60" s="202">
        <f t="shared" ref="Q60" si="32">+Q53-Q55-Q58-Q59</f>
        <v>-133722726.31999999</v>
      </c>
      <c r="R60" s="202">
        <f t="shared" ref="R60:S60" si="33">+R53-R55-R58-R59</f>
        <v>-286425819.88999987</v>
      </c>
      <c r="S60" s="532">
        <f t="shared" si="33"/>
        <v>-755611134.54999971</v>
      </c>
      <c r="T60" s="535">
        <f t="shared" si="6"/>
        <v>-10.129904247941434</v>
      </c>
    </row>
    <row r="61" spans="1:21" ht="13.5" thickBot="1">
      <c r="A61" s="129">
        <v>1003</v>
      </c>
      <c r="B61" s="587" t="str">
        <f>+VLOOKUP($A61,Master!$D$30:$G$226,4,FALSE)</f>
        <v>Finansiranje</v>
      </c>
      <c r="C61" s="588"/>
      <c r="D61" s="588"/>
      <c r="E61" s="588"/>
      <c r="F61" s="588"/>
      <c r="G61" s="136">
        <f>+SUM(G62:G66)</f>
        <v>22227998.820000015</v>
      </c>
      <c r="H61" s="136">
        <f t="shared" ref="H61:L61" si="34">+SUM(H62:H66)</f>
        <v>41361149.040000014</v>
      </c>
      <c r="I61" s="136">
        <f t="shared" si="34"/>
        <v>48648542.689999938</v>
      </c>
      <c r="J61" s="136">
        <f t="shared" si="34"/>
        <v>59431255.539999947</v>
      </c>
      <c r="K61" s="136">
        <f t="shared" si="34"/>
        <v>60130493.990000091</v>
      </c>
      <c r="L61" s="136">
        <f t="shared" si="34"/>
        <v>54378526.989999898</v>
      </c>
      <c r="M61" s="136">
        <f t="shared" ref="M61:R61" si="35">+SUM(M62:M66)</f>
        <v>21064525.190000009</v>
      </c>
      <c r="N61" s="136">
        <f t="shared" si="35"/>
        <v>-41998643.500000127</v>
      </c>
      <c r="O61" s="136">
        <f t="shared" si="35"/>
        <v>51714254.059999995</v>
      </c>
      <c r="P61" s="136">
        <f t="shared" si="35"/>
        <v>18504485.519999921</v>
      </c>
      <c r="Q61" s="136">
        <f t="shared" si="35"/>
        <v>133722726.31999999</v>
      </c>
      <c r="R61" s="136">
        <f t="shared" si="35"/>
        <v>286425819.88999987</v>
      </c>
      <c r="S61" s="536">
        <f t="shared" si="7"/>
        <v>755611134.54999959</v>
      </c>
      <c r="T61" s="537">
        <f t="shared" si="6"/>
        <v>10.129904247941433</v>
      </c>
    </row>
    <row r="62" spans="1:21">
      <c r="A62" s="129">
        <v>7511</v>
      </c>
      <c r="B62" s="581" t="str">
        <f>+VLOOKUP($A62,Master!$D$30:$G$226,4,FALSE)</f>
        <v>Pozajmice i krediti od domaćih izvora</v>
      </c>
      <c r="C62" s="582"/>
      <c r="D62" s="582"/>
      <c r="E62" s="582"/>
      <c r="F62" s="582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65" t="str">
        <f>+VLOOKUP($A63,Master!$D$30:$G$226,4,FALSE)</f>
        <v>Pozajmice i krediti od inostranih izvora</v>
      </c>
      <c r="C63" s="566"/>
      <c r="D63" s="566"/>
      <c r="E63" s="566"/>
      <c r="F63" s="566"/>
      <c r="G63" s="554">
        <v>1570614.04</v>
      </c>
      <c r="H63" s="554">
        <v>1799527.23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7067114.0599999996</v>
      </c>
      <c r="N63" s="554">
        <v>1379630.82</v>
      </c>
      <c r="O63" s="554">
        <v>6297708.2599999998</v>
      </c>
      <c r="P63" s="554">
        <v>5933627.7299999995</v>
      </c>
      <c r="Q63" s="554">
        <v>10223360.919999996</v>
      </c>
      <c r="R63" s="196">
        <v>208872660.51000002</v>
      </c>
      <c r="S63" s="235">
        <f t="shared" si="7"/>
        <v>942124812.58999991</v>
      </c>
      <c r="T63" s="444">
        <f t="shared" si="6"/>
        <v>12.630351386801797</v>
      </c>
    </row>
    <row r="64" spans="1:21">
      <c r="A64" s="129">
        <v>72</v>
      </c>
      <c r="B64" s="565" t="str">
        <f>+VLOOKUP($A64,Master!$D$30:$G$226,4,FALSE)</f>
        <v>Primici od prodaje imovine</v>
      </c>
      <c r="C64" s="566"/>
      <c r="D64" s="566"/>
      <c r="E64" s="566"/>
      <c r="F64" s="566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3.1659834087054493E-2</v>
      </c>
    </row>
    <row r="65" spans="1:20">
      <c r="A65" s="129">
        <v>73</v>
      </c>
      <c r="B65" s="599" t="s">
        <v>101</v>
      </c>
      <c r="C65" s="600"/>
      <c r="D65" s="600"/>
      <c r="E65" s="600"/>
      <c r="F65" s="600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548308.02999999991</v>
      </c>
      <c r="P65" s="160">
        <v>675338.76000000013</v>
      </c>
      <c r="Q65" s="160">
        <v>2340019.9500000002</v>
      </c>
      <c r="R65" s="160">
        <v>2884134.7699999996</v>
      </c>
      <c r="S65" s="228">
        <f t="shared" si="7"/>
        <v>20319169.149999999</v>
      </c>
      <c r="T65" s="437">
        <f t="shared" si="6"/>
        <v>0.27240365907234443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17486298.100000016</v>
      </c>
      <c r="H66" s="210">
        <f t="shared" ref="H66:L66" si="36">-H60-SUM(H62:H65)</f>
        <v>38041979.870000012</v>
      </c>
      <c r="I66" s="210">
        <f t="shared" si="36"/>
        <v>-643421476.05000007</v>
      </c>
      <c r="J66" s="210">
        <f t="shared" si="36"/>
        <v>53588472.919999942</v>
      </c>
      <c r="K66" s="210">
        <f t="shared" si="36"/>
        <v>58109547.870000094</v>
      </c>
      <c r="L66" s="210">
        <f t="shared" si="36"/>
        <v>48732545.559999898</v>
      </c>
      <c r="M66" s="210">
        <f t="shared" ref="M66:S66" si="37">-M60-SUM(M62:M65)</f>
        <v>10570152.500000009</v>
      </c>
      <c r="N66" s="210">
        <f t="shared" si="37"/>
        <v>-44049108.900000125</v>
      </c>
      <c r="O66" s="210">
        <f t="shared" si="37"/>
        <v>44816426.539999992</v>
      </c>
      <c r="P66" s="210">
        <f t="shared" si="37"/>
        <v>11767187.919999922</v>
      </c>
      <c r="Q66" s="210">
        <f t="shared" si="37"/>
        <v>121016475.67</v>
      </c>
      <c r="R66" s="210">
        <f t="shared" si="37"/>
        <v>74147076.349999845</v>
      </c>
      <c r="S66" s="238">
        <f t="shared" si="37"/>
        <v>-209194421.65000021</v>
      </c>
      <c r="T66" s="448">
        <f t="shared" si="6"/>
        <v>-2.8045106320197615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6" t="str">
        <f>+Master!G253</f>
        <v>Plan ostvarenja budžeta</v>
      </c>
      <c r="C83" s="637"/>
      <c r="D83" s="637"/>
      <c r="E83" s="637"/>
      <c r="F83" s="637"/>
      <c r="G83" s="621">
        <v>2024</v>
      </c>
      <c r="H83" s="622"/>
      <c r="I83" s="622"/>
      <c r="J83" s="622"/>
      <c r="K83" s="622"/>
      <c r="L83" s="622"/>
      <c r="M83" s="622"/>
      <c r="N83" s="622"/>
      <c r="O83" s="622"/>
      <c r="P83" s="622"/>
      <c r="Q83" s="622"/>
      <c r="R83" s="623"/>
      <c r="S83" s="96" t="str">
        <f>+S7</f>
        <v>BDP</v>
      </c>
      <c r="T83" s="97">
        <v>7279700000</v>
      </c>
    </row>
    <row r="84" spans="1:26" ht="15.75" customHeight="1">
      <c r="B84" s="638"/>
      <c r="C84" s="639"/>
      <c r="D84" s="639"/>
      <c r="E84" s="639"/>
      <c r="F84" s="640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21" t="str">
        <f>+Master!G247</f>
        <v>Jan - Dec</v>
      </c>
      <c r="T84" s="623">
        <f>+T8</f>
        <v>0</v>
      </c>
    </row>
    <row r="85" spans="1:26" ht="13.5" thickBot="1">
      <c r="B85" s="641"/>
      <c r="C85" s="642"/>
      <c r="D85" s="642"/>
      <c r="E85" s="642"/>
      <c r="F85" s="643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30" t="str">
        <f>+VLOOKUP(LEFT($A86,LEN(A86)-1)*1,Master!$D$30:$G$226,4,FALSE)</f>
        <v>Prihodi budžeta</v>
      </c>
      <c r="C86" s="631"/>
      <c r="D86" s="631"/>
      <c r="E86" s="631"/>
      <c r="F86" s="631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32" t="str">
        <f>+VLOOKUP(LEFT($A87,LEN(A87)-1)*1,Master!$D$30:$G$226,4,FALSE)</f>
        <v>Porezi</v>
      </c>
      <c r="C87" s="633"/>
      <c r="D87" s="633"/>
      <c r="E87" s="633"/>
      <c r="F87" s="633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34" t="str">
        <f>+VLOOKUP(LEFT($A88,LEN(A88)-1)*1,Master!$D$30:$G$229,4,FALSE)</f>
        <v>Porez na dohodak fizičkih lica</v>
      </c>
      <c r="C88" s="635"/>
      <c r="D88" s="635"/>
      <c r="E88" s="635"/>
      <c r="F88" s="635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34" t="str">
        <f>+VLOOKUP(LEFT($A89,LEN(A89)-1)*1,Master!$D$30:$G$229,4,FALSE)</f>
        <v>Porez na dobit pravnih lica</v>
      </c>
      <c r="C89" s="635"/>
      <c r="D89" s="635"/>
      <c r="E89" s="635"/>
      <c r="F89" s="635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34" t="str">
        <f>+VLOOKUP(LEFT($A90,LEN(A90)-1)*1,Master!$D$30:$G$229,4,FALSE)</f>
        <v>Porez na promet nepokretnosti</v>
      </c>
      <c r="C90" s="635"/>
      <c r="D90" s="635"/>
      <c r="E90" s="635"/>
      <c r="F90" s="635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34" t="str">
        <f>+VLOOKUP(LEFT($A91,LEN(A91)-1)*1,Master!$D$30:$G$229,4,FALSE)</f>
        <v>Porez na dodatu vrijednost</v>
      </c>
      <c r="C91" s="635"/>
      <c r="D91" s="635"/>
      <c r="E91" s="635"/>
      <c r="F91" s="635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34" t="str">
        <f>+VLOOKUP(LEFT($A92,LEN(A92)-1)*1,Master!$D$30:$G$229,4,FALSE)</f>
        <v>Akcize</v>
      </c>
      <c r="C92" s="635"/>
      <c r="D92" s="635"/>
      <c r="E92" s="635"/>
      <c r="F92" s="635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34" t="str">
        <f>+VLOOKUP(LEFT($A93,LEN(A93)-1)*1,Master!$D$30:$G$229,4,FALSE)</f>
        <v>Porez na međunarodnu trgovinu i transakcije</v>
      </c>
      <c r="C93" s="635"/>
      <c r="D93" s="635"/>
      <c r="E93" s="635"/>
      <c r="F93" s="635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34" t="str">
        <f>+VLOOKUP(LEFT($A94,LEN(A94)-1)*1,Master!$D$30:$G$229,4,FALSE)</f>
        <v>Ostali državni porezi</v>
      </c>
      <c r="C94" s="635"/>
      <c r="D94" s="635"/>
      <c r="E94" s="635"/>
      <c r="F94" s="635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44" t="str">
        <f>+VLOOKUP(LEFT($A95,LEN(A95)-1)*1,Master!$D$30:$G$229,4,FALSE)</f>
        <v>Doprinosi</v>
      </c>
      <c r="C95" s="645"/>
      <c r="D95" s="645"/>
      <c r="E95" s="645"/>
      <c r="F95" s="645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34" t="str">
        <f>+VLOOKUP(LEFT($A96,LEN(A96)-1)*1,Master!$D$30:$G$229,4,FALSE)</f>
        <v>Doprinosi za penzijsko i invalidsko osiguranje</v>
      </c>
      <c r="C96" s="635"/>
      <c r="D96" s="635"/>
      <c r="E96" s="635"/>
      <c r="F96" s="635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34" t="str">
        <f>+VLOOKUP(LEFT($A97,LEN(A97)-1)*1,Master!$D$30:$G$229,4,FALSE)</f>
        <v>Doprinosi za zdravstveno osiguranje</v>
      </c>
      <c r="C97" s="635"/>
      <c r="D97" s="635"/>
      <c r="E97" s="635"/>
      <c r="F97" s="635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34" t="str">
        <f>+VLOOKUP(LEFT($A98,LEN(A98)-1)*1,Master!$D$30:$G$229,4,FALSE)</f>
        <v>Doprinosi za osiguranje od nezaposlenosti</v>
      </c>
      <c r="C98" s="635"/>
      <c r="D98" s="635"/>
      <c r="E98" s="635"/>
      <c r="F98" s="635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34" t="str">
        <f>+VLOOKUP(LEFT($A99,LEN(A99)-1)*1,Master!$D$30:$G$229,4,FALSE)</f>
        <v>Ostali doprinosi</v>
      </c>
      <c r="C99" s="635"/>
      <c r="D99" s="635"/>
      <c r="E99" s="635"/>
      <c r="F99" s="635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44" t="str">
        <f>+VLOOKUP(LEFT($A100,LEN(A100)-1)*1,Master!$D$30:$G$229,4,FALSE)</f>
        <v>Takse</v>
      </c>
      <c r="C100" s="645"/>
      <c r="D100" s="645"/>
      <c r="E100" s="645"/>
      <c r="F100" s="645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44" t="str">
        <f>+VLOOKUP(LEFT($A101,LEN(A101)-1)*1,Master!$D$30:$G$229,4,FALSE)</f>
        <v>Naknade</v>
      </c>
      <c r="C101" s="645"/>
      <c r="D101" s="645"/>
      <c r="E101" s="645"/>
      <c r="F101" s="645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44" t="str">
        <f>+VLOOKUP(LEFT($A102,LEN(A102)-1)*1,Master!$D$30:$G$229,4,FALSE)</f>
        <v>Ostali prihodi</v>
      </c>
      <c r="C102" s="645"/>
      <c r="D102" s="645"/>
      <c r="E102" s="645"/>
      <c r="F102" s="645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44" t="str">
        <f>+VLOOKUP(LEFT($A103,LEN(A103)-1)*1,Master!$D$30:$G$229,4,FALSE)</f>
        <v>Primici od otplate kredita i sredstva prenesena iz prethodne godine</v>
      </c>
      <c r="C103" s="645"/>
      <c r="D103" s="645"/>
      <c r="E103" s="645"/>
      <c r="F103" s="645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46" t="str">
        <f>+VLOOKUP(LEFT($A104,LEN(A104)-1)*1,Master!$D$30:$G$229,4,FALSE)</f>
        <v>Donacije i transferi</v>
      </c>
      <c r="C104" s="647"/>
      <c r="D104" s="647"/>
      <c r="E104" s="647"/>
      <c r="F104" s="647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30" t="str">
        <f>+VLOOKUP(LEFT($A105,LEN(A105)-1)*1,Master!$D$30:$G$229,4,FALSE)</f>
        <v>Izdaci budžeta</v>
      </c>
      <c r="C105" s="631"/>
      <c r="D105" s="631"/>
      <c r="E105" s="631"/>
      <c r="F105" s="631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48" t="str">
        <f>+VLOOKUP(LEFT($A106,LEN(A106)-1)*1,Master!$D$30:$G$229,4,FALSE)</f>
        <v>Tekući izdaci</v>
      </c>
      <c r="C106" s="649"/>
      <c r="D106" s="649"/>
      <c r="E106" s="649"/>
      <c r="F106" s="649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34" t="str">
        <f>+VLOOKUP(LEFT($A107,LEN(A107)-1)*1,Master!$D$30:$G$229,4,FALSE)</f>
        <v>Bruto zarade i doprinosi na teret poslodavca</v>
      </c>
      <c r="C107" s="635"/>
      <c r="D107" s="635"/>
      <c r="E107" s="635"/>
      <c r="F107" s="635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34" t="str">
        <f>+VLOOKUP(LEFT($A108,LEN(A108)-1)*1,Master!$D$30:$G$229,4,FALSE)</f>
        <v>Ostala lična primanja</v>
      </c>
      <c r="C108" s="635"/>
      <c r="D108" s="635"/>
      <c r="E108" s="635"/>
      <c r="F108" s="635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34" t="str">
        <f>+VLOOKUP(LEFT($A109,LEN(A109)-1)*1,Master!$D$30:$G$229,4,FALSE)</f>
        <v>Rashodi za materijal</v>
      </c>
      <c r="C109" s="635"/>
      <c r="D109" s="635"/>
      <c r="E109" s="635"/>
      <c r="F109" s="635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34" t="str">
        <f>+VLOOKUP(LEFT($A110,LEN(A110)-1)*1,Master!$D$30:$G$229,4,FALSE)</f>
        <v>Rashodi za usluge</v>
      </c>
      <c r="C110" s="635"/>
      <c r="D110" s="635"/>
      <c r="E110" s="635"/>
      <c r="F110" s="635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34" t="str">
        <f>+VLOOKUP(LEFT($A111,LEN(A111)-1)*1,Master!$D$30:$G$229,4,FALSE)</f>
        <v>Rashodi za tekuće održavanje</v>
      </c>
      <c r="C111" s="635"/>
      <c r="D111" s="635"/>
      <c r="E111" s="635"/>
      <c r="F111" s="635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34" t="str">
        <f>+VLOOKUP(LEFT($A112,LEN(A112)-1)*1,Master!$D$30:$G$229,4,FALSE)</f>
        <v>Kamate</v>
      </c>
      <c r="C112" s="635"/>
      <c r="D112" s="635"/>
      <c r="E112" s="635"/>
      <c r="F112" s="635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34" t="str">
        <f>+VLOOKUP(LEFT($A113,LEN(A113)-1)*1,Master!$D$30:$G$229,4,FALSE)</f>
        <v>Renta</v>
      </c>
      <c r="C113" s="635"/>
      <c r="D113" s="635"/>
      <c r="E113" s="635"/>
      <c r="F113" s="635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34" t="str">
        <f>+VLOOKUP(LEFT($A114,LEN(A114)-1)*1,Master!$D$30:$G$229,4,FALSE)</f>
        <v>Subvencije</v>
      </c>
      <c r="C114" s="635"/>
      <c r="D114" s="635"/>
      <c r="E114" s="635"/>
      <c r="F114" s="635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34" t="str">
        <f>+VLOOKUP(LEFT($A115,LEN(A115)-1)*1,Master!$D$30:$G$229,4,FALSE)</f>
        <v>Ostali izdaci</v>
      </c>
      <c r="C115" s="635"/>
      <c r="D115" s="635"/>
      <c r="E115" s="635"/>
      <c r="F115" s="635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54" t="str">
        <f>+VLOOKUP(LEFT($A116,LEN(A116)-1)*1,Master!$D$30:$G$229,4,FALSE)</f>
        <v>Transferi za socijalnu zaštitu</v>
      </c>
      <c r="C116" s="655"/>
      <c r="D116" s="655"/>
      <c r="E116" s="655"/>
      <c r="F116" s="655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34" t="str">
        <f>+VLOOKUP(LEFT($A117,LEN(A117)-1)*1,Master!$D$30:$G$229,4,FALSE)</f>
        <v>Prava iz oblasti socijalne zaštite</v>
      </c>
      <c r="C117" s="635"/>
      <c r="D117" s="635"/>
      <c r="E117" s="635"/>
      <c r="F117" s="635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34" t="str">
        <f>+VLOOKUP(LEFT($A118,LEN(A118)-1)*1,Master!$D$30:$G$229,4,FALSE)</f>
        <v>Sredstva za tehnološke viškove</v>
      </c>
      <c r="C118" s="635"/>
      <c r="D118" s="635"/>
      <c r="E118" s="635"/>
      <c r="F118" s="635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34" t="str">
        <f>+VLOOKUP(LEFT($A119,LEN(A119)-1)*1,Master!$D$30:$G$229,4,FALSE)</f>
        <v>Prava iz oblasti penzijskog i invalidskog osiguranja</v>
      </c>
      <c r="C119" s="635"/>
      <c r="D119" s="635"/>
      <c r="E119" s="635"/>
      <c r="F119" s="635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34" t="str">
        <f>+VLOOKUP(LEFT($A120,LEN(A120)-1)*1,Master!$D$30:$G$229,4,FALSE)</f>
        <v>Ostala prava iz oblasti zdravstvene zaštite</v>
      </c>
      <c r="C120" s="635"/>
      <c r="D120" s="635"/>
      <c r="E120" s="635"/>
      <c r="F120" s="635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34" t="str">
        <f>+VLOOKUP(LEFT($A121,LEN(A121)-1)*1,Master!$D$30:$G$229,4,FALSE)</f>
        <v>Ostala prava iz zdravstvenog osiguranja</v>
      </c>
      <c r="C121" s="635"/>
      <c r="D121" s="635"/>
      <c r="E121" s="635"/>
      <c r="F121" s="635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50" t="str">
        <f>+VLOOKUP(LEFT($A122,LEN(A122)-1)*1,Master!$D$30:$G$229,4,FALSE)</f>
        <v xml:space="preserve">Transferi institucijama, pojedincima, nevladinom i javnom sektoru </v>
      </c>
      <c r="C122" s="651"/>
      <c r="D122" s="651"/>
      <c r="E122" s="651"/>
      <c r="F122" s="651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50" t="str">
        <f>+VLOOKUP(LEFT($A123,LEN(A123)-1)*1,Master!$D$30:$G$229,4,FALSE)</f>
        <v>Kapitalni izdaci</v>
      </c>
      <c r="C123" s="651"/>
      <c r="D123" s="651"/>
      <c r="E123" s="651"/>
      <c r="F123" s="651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52" t="str">
        <f>+VLOOKUP(LEFT($A124,LEN(A124)-1)*1,Master!$D$30:$G$229,4,FALSE)</f>
        <v>Pozajmice i krediti</v>
      </c>
      <c r="C124" s="653"/>
      <c r="D124" s="653"/>
      <c r="E124" s="653"/>
      <c r="F124" s="653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52" t="str">
        <f>+VLOOKUP(LEFT($A125,LEN(A125)-1)*1,Master!$D$30:$G$229,4,FALSE)</f>
        <v>Rezerve</v>
      </c>
      <c r="C125" s="653"/>
      <c r="D125" s="653"/>
      <c r="E125" s="653"/>
      <c r="F125" s="653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52" t="str">
        <f>+VLOOKUP(LEFT($A126,LEN(A126)-1)*1,Master!$D$30:$G$229,4,FALSE)</f>
        <v>Otplata garancija</v>
      </c>
      <c r="C126" s="653"/>
      <c r="D126" s="653"/>
      <c r="E126" s="653"/>
      <c r="F126" s="653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52" t="str">
        <f>+VLOOKUP(LEFT($A127,LEN(A127)-1)*1,Master!$D$30:$G$229,4,FALSE)</f>
        <v>Otplata obaveza iz prethodnog perioda</v>
      </c>
      <c r="C127" s="653"/>
      <c r="D127" s="653"/>
      <c r="E127" s="653"/>
      <c r="F127" s="653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52" t="str">
        <f>+VLOOKUP(LEFT($A128,LEN(A128)-1)*1,Master!$D$30:$G$229,4,FALSE)</f>
        <v>Neto povećanje obaveza</v>
      </c>
      <c r="C128" s="653"/>
      <c r="D128" s="653"/>
      <c r="E128" s="653"/>
      <c r="F128" s="653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60" t="str">
        <f>+VLOOKUP(LEFT($A129,LEN(A129)-1)*1,Master!$D$30:$G$226,4,FALSE)</f>
        <v>Suficit / deficit</v>
      </c>
      <c r="C129" s="661"/>
      <c r="D129" s="661"/>
      <c r="E129" s="661"/>
      <c r="F129" s="661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62" t="str">
        <f>+VLOOKUP(LEFT($A130,LEN(A130)-1)*1,Master!$D$30:$G$226,4,FALSE)</f>
        <v>Primarni suficit/deficit</v>
      </c>
      <c r="C130" s="663"/>
      <c r="D130" s="663"/>
      <c r="E130" s="663"/>
      <c r="F130" s="663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54" t="str">
        <f>+VLOOKUP(LEFT($A131,LEN(A131)-1)*1,Master!$D$30:$G$226,4,FALSE)</f>
        <v>Otplata dugova</v>
      </c>
      <c r="C131" s="655"/>
      <c r="D131" s="655"/>
      <c r="E131" s="655"/>
      <c r="F131" s="655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58" t="str">
        <f>+VLOOKUP(LEFT($A132,LEN(A132)-1)*1,Master!$D$30:$G$226,4,FALSE)</f>
        <v>Otplata hartija od vrijednosti i kredita rezidentima</v>
      </c>
      <c r="C132" s="659"/>
      <c r="D132" s="659"/>
      <c r="E132" s="659"/>
      <c r="F132" s="659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52" t="str">
        <f>+VLOOKUP(LEFT($A133,LEN(A133)-1)*1,Master!$D$30:$G$226,4,FALSE)</f>
        <v>Otplata hartija od vrijednosti i kredita nerezidentima</v>
      </c>
      <c r="C133" s="653"/>
      <c r="D133" s="653"/>
      <c r="E133" s="653"/>
      <c r="F133" s="653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30" t="str">
        <f>+VLOOKUP(LEFT($A134,LEN(A134)-1)*1,Master!$D$30:$G$226,4,FALSE)</f>
        <v>Izdaci za kupovinu hartija od vrijednosti</v>
      </c>
      <c r="C134" s="631"/>
      <c r="D134" s="631"/>
      <c r="E134" s="631"/>
      <c r="F134" s="631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30" t="s">
        <v>113</v>
      </c>
      <c r="C135" s="631"/>
      <c r="D135" s="631"/>
      <c r="E135" s="631"/>
      <c r="F135" s="631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56" t="str">
        <f>+VLOOKUP(LEFT($A136,LEN(A136)-1)*1,Master!$D$30:$G$226,4,FALSE)</f>
        <v>Nedostajuća sredstva</v>
      </c>
      <c r="C136" s="657"/>
      <c r="D136" s="657"/>
      <c r="E136" s="657"/>
      <c r="F136" s="657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30" t="str">
        <f>+VLOOKUP(LEFT($A137,LEN(A137)-1)*1,Master!$D$30:$G$226,4,FALSE)</f>
        <v>Finansiranje</v>
      </c>
      <c r="C137" s="631"/>
      <c r="D137" s="631"/>
      <c r="E137" s="631"/>
      <c r="F137" s="631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58" t="str">
        <f>+VLOOKUP(LEFT($A138,LEN(A138)-1)*1,Master!$D$30:$G$226,4,FALSE)</f>
        <v>Pozajmice i krediti od domaćih izvora</v>
      </c>
      <c r="C138" s="659"/>
      <c r="D138" s="659"/>
      <c r="E138" s="659"/>
      <c r="F138" s="659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52" t="str">
        <f>+VLOOKUP(LEFT($A139,LEN(A139)-1)*1,Master!$D$30:$G$226,4,FALSE)</f>
        <v>Pozajmice i krediti od inostranih izvora</v>
      </c>
      <c r="C139" s="653"/>
      <c r="D139" s="653"/>
      <c r="E139" s="653"/>
      <c r="F139" s="653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52" t="str">
        <f>+VLOOKUP(LEFT($A140,LEN(A140)-1)*1,Master!$D$30:$G$226,4,FALSE)</f>
        <v>Primici od prodaje imovine</v>
      </c>
      <c r="C140" s="653"/>
      <c r="D140" s="653"/>
      <c r="E140" s="653"/>
      <c r="F140" s="653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pageSetUpPr fitToPage="1"/>
  </sheetPr>
  <dimension ref="A1:Y150"/>
  <sheetViews>
    <sheetView zoomScale="90" zoomScaleNormal="90" workbookViewId="0">
      <pane ySplit="1" topLeftCell="A2" activePane="bottomLeft" state="frozen"/>
      <selection activeCell="I24" sqref="I24"/>
      <selection pane="bottomLeft" activeCell="I21" sqref="I21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9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869</v>
      </c>
      <c r="H6" s="219" t="s">
        <v>870</v>
      </c>
      <c r="I6" s="219" t="s">
        <v>871</v>
      </c>
      <c r="J6" s="219" t="s">
        <v>872</v>
      </c>
      <c r="K6" s="219" t="s">
        <v>873</v>
      </c>
      <c r="L6" s="219" t="s">
        <v>874</v>
      </c>
      <c r="M6" s="219" t="s">
        <v>875</v>
      </c>
      <c r="N6" s="219" t="s">
        <v>876</v>
      </c>
      <c r="O6" s="219" t="s">
        <v>877</v>
      </c>
      <c r="P6" s="219" t="s">
        <v>878</v>
      </c>
      <c r="Q6" s="219" t="s">
        <v>879</v>
      </c>
      <c r="R6" s="219" t="s">
        <v>880</v>
      </c>
      <c r="S6" s="218"/>
      <c r="T6" s="218"/>
    </row>
    <row r="7" spans="1:23" ht="15" customHeight="1" thickBot="1">
      <c r="A7" s="129"/>
      <c r="B7" s="567" t="str">
        <f>+Master!G252</f>
        <v>Ostvarenje budžeta</v>
      </c>
      <c r="C7" s="568"/>
      <c r="D7" s="568"/>
      <c r="E7" s="568"/>
      <c r="F7" s="568"/>
      <c r="G7" s="576">
        <v>2025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tr">
        <f>+Master!G249</f>
        <v>BDP</v>
      </c>
      <c r="T7" s="221">
        <v>8124700000</v>
      </c>
    </row>
    <row r="8" spans="1:23" ht="16.5" customHeight="1">
      <c r="A8" s="129"/>
      <c r="B8" s="569"/>
      <c r="C8" s="570"/>
      <c r="D8" s="570"/>
      <c r="E8" s="570"/>
      <c r="F8" s="571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6" t="str">
        <f>+Master!G247</f>
        <v>Jan - Dec</v>
      </c>
      <c r="T8" s="580"/>
    </row>
    <row r="9" spans="1:23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7" t="str">
        <f>+VLOOKUP($A10,Master!$D$30:$G$226,4,FALSE)</f>
        <v>Prihodi budžeta</v>
      </c>
      <c r="C10" s="588"/>
      <c r="D10" s="588"/>
      <c r="E10" s="588"/>
      <c r="F10" s="588"/>
      <c r="G10" s="513">
        <f>G11+G19+G24+G25+G26+G27+G28</f>
        <v>156749922.07999998</v>
      </c>
      <c r="H10" s="513">
        <f t="shared" ref="H10:L10" si="1">+H11+H19+SUM(H24:H28)</f>
        <v>178348802.93000001</v>
      </c>
      <c r="I10" s="513">
        <f t="shared" si="1"/>
        <v>245354294.28999996</v>
      </c>
      <c r="J10" s="513">
        <f t="shared" si="1"/>
        <v>317119220.47000003</v>
      </c>
      <c r="K10" s="513">
        <f t="shared" si="1"/>
        <v>199482224.05999997</v>
      </c>
      <c r="L10" s="513">
        <f t="shared" si="1"/>
        <v>225904199.02999997</v>
      </c>
      <c r="M10" s="513">
        <f t="shared" ref="M10:R10" si="2">+M11+M19+SUM(M24:M28)</f>
        <v>256808586.52000001</v>
      </c>
      <c r="N10" s="513">
        <f t="shared" si="2"/>
        <v>260029283.83000001</v>
      </c>
      <c r="O10" s="513">
        <f t="shared" si="2"/>
        <v>261847763.21000001</v>
      </c>
      <c r="P10" s="513">
        <f t="shared" si="2"/>
        <v>245582563.78999999</v>
      </c>
      <c r="Q10" s="513">
        <f t="shared" si="2"/>
        <v>0</v>
      </c>
      <c r="R10" s="513">
        <f t="shared" si="2"/>
        <v>0</v>
      </c>
      <c r="S10" s="514">
        <f>+SUM(G10:R10)</f>
        <v>2347226860.21</v>
      </c>
      <c r="T10" s="515">
        <f>+S10/$T$7*100</f>
        <v>28.890012679975875</v>
      </c>
    </row>
    <row r="11" spans="1:23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516">
        <f t="shared" ref="G11:I11" si="3">+SUM(G12:G18)</f>
        <v>132702629.50999999</v>
      </c>
      <c r="H11" s="516">
        <f t="shared" si="3"/>
        <v>134657233.55000001</v>
      </c>
      <c r="I11" s="516">
        <f t="shared" si="3"/>
        <v>202518041.17999998</v>
      </c>
      <c r="J11" s="516">
        <f>+SUM(J12:J18)</f>
        <v>265707637.32000002</v>
      </c>
      <c r="K11" s="516">
        <f>+SUM(K12:K18)</f>
        <v>157978153.23999998</v>
      </c>
      <c r="L11" s="516">
        <f>+SUM(L12:L18)</f>
        <v>177871216.63999999</v>
      </c>
      <c r="M11" s="516">
        <f t="shared" ref="M11:R11" si="4">+SUM(M12:M18)</f>
        <v>202252135.63</v>
      </c>
      <c r="N11" s="516">
        <f t="shared" si="4"/>
        <v>208690353.47999999</v>
      </c>
      <c r="O11" s="516">
        <f t="shared" si="4"/>
        <v>211153557.13</v>
      </c>
      <c r="P11" s="516">
        <f t="shared" si="4"/>
        <v>193702062.08000001</v>
      </c>
      <c r="Q11" s="516">
        <f t="shared" si="4"/>
        <v>0</v>
      </c>
      <c r="R11" s="517">
        <f t="shared" si="4"/>
        <v>0</v>
      </c>
      <c r="S11" s="518">
        <f>+SUM(G11:R11)</f>
        <v>1887233019.7600002</v>
      </c>
      <c r="T11" s="519">
        <f t="shared" ref="T11:T66" si="5">+S11/$T$7*100</f>
        <v>23.228340981943951</v>
      </c>
    </row>
    <row r="12" spans="1:23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499">
        <v>3030555.43</v>
      </c>
      <c r="H12" s="499">
        <v>8431658.6199999992</v>
      </c>
      <c r="I12" s="499">
        <v>8822636.5500000007</v>
      </c>
      <c r="J12" s="499">
        <v>10595893.43</v>
      </c>
      <c r="K12" s="499">
        <v>7860769.3200000003</v>
      </c>
      <c r="L12" s="148">
        <v>7843776.29</v>
      </c>
      <c r="M12" s="148">
        <v>9900438.5999999996</v>
      </c>
      <c r="N12" s="148">
        <v>9648119.4199999999</v>
      </c>
      <c r="O12" s="148">
        <v>11794721.619999999</v>
      </c>
      <c r="P12" s="148">
        <v>7543936.3200000003</v>
      </c>
      <c r="Q12" s="148"/>
      <c r="R12" s="148"/>
      <c r="S12" s="227">
        <f>+SUM(G12:R12)</f>
        <v>85472505.599999994</v>
      </c>
      <c r="T12" s="436">
        <f t="shared" si="5"/>
        <v>1.052008143069898</v>
      </c>
    </row>
    <row r="13" spans="1:23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499">
        <v>4758743.22</v>
      </c>
      <c r="H13" s="499">
        <v>4374185.16</v>
      </c>
      <c r="I13" s="499">
        <v>69066545.549999997</v>
      </c>
      <c r="J13" s="499">
        <v>112838365.88</v>
      </c>
      <c r="K13" s="499">
        <v>8765336.6999999993</v>
      </c>
      <c r="L13" s="148">
        <v>10311268.779999999</v>
      </c>
      <c r="M13" s="148">
        <v>5773713.3300000001</v>
      </c>
      <c r="N13" s="148">
        <v>2926004.8</v>
      </c>
      <c r="O13" s="148">
        <v>3732962.04</v>
      </c>
      <c r="P13" s="148">
        <v>4156533.98</v>
      </c>
      <c r="Q13" s="148"/>
      <c r="R13" s="148"/>
      <c r="S13" s="227">
        <f t="shared" ref="S13:S65" si="6">+SUM(G13:R13)</f>
        <v>226703659.44</v>
      </c>
      <c r="T13" s="436">
        <f t="shared" si="5"/>
        <v>2.7903019119475179</v>
      </c>
      <c r="V13" s="276"/>
      <c r="W13" s="494"/>
    </row>
    <row r="14" spans="1:23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/>
      <c r="R14" s="148"/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499">
        <v>96606704.819999993</v>
      </c>
      <c r="H15" s="499">
        <v>90486320.040000007</v>
      </c>
      <c r="I15" s="499">
        <v>95190601.359999999</v>
      </c>
      <c r="J15" s="499">
        <v>101620940.56</v>
      </c>
      <c r="K15" s="499">
        <v>103302134.66</v>
      </c>
      <c r="L15" s="148">
        <v>114852175.14</v>
      </c>
      <c r="M15" s="148">
        <v>136015036.31999999</v>
      </c>
      <c r="N15" s="148">
        <v>142252517.13</v>
      </c>
      <c r="O15" s="148">
        <v>149853557.13</v>
      </c>
      <c r="P15" s="148">
        <v>134545730.12</v>
      </c>
      <c r="Q15" s="148"/>
      <c r="R15" s="148"/>
      <c r="S15" s="227">
        <f t="shared" si="6"/>
        <v>1164725717.2800002</v>
      </c>
      <c r="T15" s="436">
        <f t="shared" si="5"/>
        <v>14.33561506615629</v>
      </c>
      <c r="V15" s="276"/>
      <c r="W15" s="494"/>
    </row>
    <row r="16" spans="1:23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499">
        <v>23651764.850000001</v>
      </c>
      <c r="H16" s="499">
        <v>25416734.460000001</v>
      </c>
      <c r="I16" s="499">
        <v>22396675.600000001</v>
      </c>
      <c r="J16" s="499">
        <v>33254768.050000001</v>
      </c>
      <c r="K16" s="499">
        <v>31121619.41</v>
      </c>
      <c r="L16" s="148">
        <v>37020225.659999996</v>
      </c>
      <c r="M16" s="148">
        <v>41468885</v>
      </c>
      <c r="N16" s="148">
        <v>46239123.810000002</v>
      </c>
      <c r="O16" s="148">
        <v>38081379.990000002</v>
      </c>
      <c r="P16" s="148">
        <v>39650532.630000003</v>
      </c>
      <c r="Q16" s="148"/>
      <c r="R16" s="148"/>
      <c r="S16" s="227">
        <f t="shared" si="6"/>
        <v>338301709.45999998</v>
      </c>
      <c r="T16" s="436">
        <f t="shared" si="5"/>
        <v>4.1638670899848611</v>
      </c>
      <c r="V16" s="276"/>
      <c r="W16" s="494"/>
    </row>
    <row r="17" spans="1:23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499">
        <v>3527264.2</v>
      </c>
      <c r="H17" s="499">
        <v>4794688.67</v>
      </c>
      <c r="I17" s="499">
        <v>5839125.4400000004</v>
      </c>
      <c r="J17" s="499">
        <v>6146881</v>
      </c>
      <c r="K17" s="499">
        <v>5626244.9800000004</v>
      </c>
      <c r="L17" s="148">
        <v>6373571.0700000003</v>
      </c>
      <c r="M17" s="148">
        <v>7389935.04</v>
      </c>
      <c r="N17" s="148">
        <v>6176594.8899999997</v>
      </c>
      <c r="O17" s="148">
        <v>6435243.1500000004</v>
      </c>
      <c r="P17" s="148">
        <v>6274901.9400000004</v>
      </c>
      <c r="Q17" s="148"/>
      <c r="R17" s="148"/>
      <c r="S17" s="227">
        <f t="shared" si="6"/>
        <v>58584450.380000003</v>
      </c>
      <c r="T17" s="436">
        <f t="shared" si="5"/>
        <v>0.72106601326818232</v>
      </c>
      <c r="V17" s="276"/>
      <c r="W17" s="494"/>
    </row>
    <row r="18" spans="1:23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499">
        <v>1127596.99</v>
      </c>
      <c r="H18" s="499">
        <v>1153646.6000000001</v>
      </c>
      <c r="I18" s="499">
        <v>1202456.68</v>
      </c>
      <c r="J18" s="499">
        <v>1250788.3999999999</v>
      </c>
      <c r="K18" s="499">
        <v>1302048.17</v>
      </c>
      <c r="L18" s="148">
        <v>1470199.7</v>
      </c>
      <c r="M18" s="148">
        <v>1704127.34</v>
      </c>
      <c r="N18" s="148">
        <v>1447993.43</v>
      </c>
      <c r="O18" s="148">
        <v>1255693.2</v>
      </c>
      <c r="P18" s="148">
        <v>1530427.09</v>
      </c>
      <c r="Q18" s="148"/>
      <c r="R18" s="148"/>
      <c r="S18" s="227">
        <f t="shared" si="6"/>
        <v>13444977.6</v>
      </c>
      <c r="T18" s="436">
        <f t="shared" si="5"/>
        <v>0.16548275751720062</v>
      </c>
      <c r="V18" s="276"/>
      <c r="W18" s="494"/>
    </row>
    <row r="19" spans="1:23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520">
        <f t="shared" ref="G19:R19" si="7">SUM(G20:G23)</f>
        <v>16612975.690000001</v>
      </c>
      <c r="H19" s="520">
        <f t="shared" si="7"/>
        <v>35354452.780000001</v>
      </c>
      <c r="I19" s="520">
        <f t="shared" si="7"/>
        <v>32433143.130000003</v>
      </c>
      <c r="J19" s="520">
        <f t="shared" si="7"/>
        <v>33755127.57</v>
      </c>
      <c r="K19" s="520">
        <f t="shared" si="7"/>
        <v>31771983.16</v>
      </c>
      <c r="L19" s="520">
        <f t="shared" si="7"/>
        <v>34152040.779999994</v>
      </c>
      <c r="M19" s="520">
        <f t="shared" si="7"/>
        <v>34931492.049999997</v>
      </c>
      <c r="N19" s="520">
        <f t="shared" si="7"/>
        <v>36620901.300000004</v>
      </c>
      <c r="O19" s="520">
        <f t="shared" si="7"/>
        <v>35020872.800000004</v>
      </c>
      <c r="P19" s="520">
        <f t="shared" si="7"/>
        <v>34596670.239999995</v>
      </c>
      <c r="Q19" s="520">
        <f t="shared" si="7"/>
        <v>0</v>
      </c>
      <c r="R19" s="520">
        <f t="shared" si="7"/>
        <v>0</v>
      </c>
      <c r="S19" s="521">
        <f t="shared" si="6"/>
        <v>325249659.5</v>
      </c>
      <c r="T19" s="522">
        <f t="shared" si="5"/>
        <v>4.0032205435277604</v>
      </c>
      <c r="V19" s="276"/>
      <c r="W19" s="494"/>
    </row>
    <row r="20" spans="1:23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499">
        <v>14262452.49</v>
      </c>
      <c r="H20" s="499">
        <v>29554149.210000001</v>
      </c>
      <c r="I20" s="499">
        <v>27476313.780000001</v>
      </c>
      <c r="J20" s="499">
        <v>28513630.079999998</v>
      </c>
      <c r="K20" s="499">
        <v>27075161.030000001</v>
      </c>
      <c r="L20" s="148">
        <v>28518289.399999999</v>
      </c>
      <c r="M20" s="148">
        <v>29314001.120000001</v>
      </c>
      <c r="N20" s="148">
        <v>30908485.440000001</v>
      </c>
      <c r="O20" s="148">
        <v>29269872.190000001</v>
      </c>
      <c r="P20" s="148">
        <v>28683629.949999999</v>
      </c>
      <c r="Q20" s="148"/>
      <c r="R20" s="148"/>
      <c r="S20" s="227">
        <f>+SUM(G20:R20)</f>
        <v>273575984.69</v>
      </c>
      <c r="T20" s="436">
        <f t="shared" si="5"/>
        <v>3.3672133702167462</v>
      </c>
      <c r="V20" s="276"/>
      <c r="W20" s="494"/>
    </row>
    <row r="21" spans="1:23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499">
        <v>314658.88</v>
      </c>
      <c r="H21" s="499">
        <v>1154569.93</v>
      </c>
      <c r="I21" s="499">
        <v>583561.47</v>
      </c>
      <c r="J21" s="499">
        <v>524440.96</v>
      </c>
      <c r="K21" s="499">
        <v>499269.08</v>
      </c>
      <c r="L21" s="148">
        <v>572757.14</v>
      </c>
      <c r="M21" s="148">
        <v>514025.99</v>
      </c>
      <c r="N21" s="148">
        <v>478138.37</v>
      </c>
      <c r="O21" s="148">
        <v>536571.03</v>
      </c>
      <c r="P21" s="148">
        <v>591623.41</v>
      </c>
      <c r="Q21" s="148"/>
      <c r="R21" s="148"/>
      <c r="S21" s="227">
        <f t="shared" si="6"/>
        <v>5769616.2600000007</v>
      </c>
      <c r="T21" s="436">
        <f t="shared" si="5"/>
        <v>7.1013283690474743E-2</v>
      </c>
      <c r="V21" s="276"/>
      <c r="W21" s="494"/>
    </row>
    <row r="22" spans="1:23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499">
        <v>1216722.56</v>
      </c>
      <c r="H22" s="499">
        <v>2764148.03</v>
      </c>
      <c r="I22" s="499">
        <v>2567338.7400000002</v>
      </c>
      <c r="J22" s="499">
        <v>2726994.09</v>
      </c>
      <c r="K22" s="499">
        <v>2429549.14</v>
      </c>
      <c r="L22" s="148">
        <v>2974122.76</v>
      </c>
      <c r="M22" s="148">
        <v>2992596.32</v>
      </c>
      <c r="N22" s="148">
        <v>3041994</v>
      </c>
      <c r="O22" s="148">
        <v>3032409.41</v>
      </c>
      <c r="P22" s="148">
        <v>3092583.31</v>
      </c>
      <c r="Q22" s="148"/>
      <c r="R22" s="148"/>
      <c r="S22" s="227">
        <f t="shared" si="6"/>
        <v>26838458.359999999</v>
      </c>
      <c r="T22" s="436">
        <f t="shared" si="5"/>
        <v>0.33033168436988442</v>
      </c>
    </row>
    <row r="23" spans="1:23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499">
        <v>819141.76</v>
      </c>
      <c r="H23" s="499">
        <v>1881585.61</v>
      </c>
      <c r="I23" s="499">
        <v>1805929.14</v>
      </c>
      <c r="J23" s="499">
        <v>1990062.44</v>
      </c>
      <c r="K23" s="499">
        <v>1768003.91</v>
      </c>
      <c r="L23" s="148">
        <v>2086871.48</v>
      </c>
      <c r="M23" s="148">
        <v>2110868.62</v>
      </c>
      <c r="N23" s="148">
        <v>2192283.4900000002</v>
      </c>
      <c r="O23" s="148">
        <v>2182020.17</v>
      </c>
      <c r="P23" s="148">
        <v>2228833.5699999998</v>
      </c>
      <c r="Q23" s="148"/>
      <c r="R23" s="148"/>
      <c r="S23" s="227">
        <f t="shared" si="6"/>
        <v>19065600.190000001</v>
      </c>
      <c r="T23" s="436">
        <f t="shared" si="5"/>
        <v>0.23466220525065543</v>
      </c>
      <c r="V23" s="495"/>
      <c r="W23" s="494"/>
    </row>
    <row r="24" spans="1:23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v>876568.74</v>
      </c>
      <c r="H24" s="160">
        <v>1052557.3699999999</v>
      </c>
      <c r="I24" s="160">
        <v>1107384.3999999999</v>
      </c>
      <c r="J24" s="160">
        <v>1282834.46</v>
      </c>
      <c r="K24" s="160">
        <v>1223227.82</v>
      </c>
      <c r="L24" s="523">
        <v>1517861.18</v>
      </c>
      <c r="M24" s="523">
        <v>1891582.1</v>
      </c>
      <c r="N24" s="523">
        <v>1783600.39</v>
      </c>
      <c r="O24" s="523">
        <v>1687187.64</v>
      </c>
      <c r="P24" s="523">
        <v>1626186.0899999999</v>
      </c>
      <c r="Q24" s="523"/>
      <c r="R24" s="523"/>
      <c r="S24" s="521">
        <f t="shared" si="6"/>
        <v>14048990.190000001</v>
      </c>
      <c r="T24" s="522">
        <f t="shared" si="5"/>
        <v>0.17291703312122295</v>
      </c>
    </row>
    <row r="25" spans="1:23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v>4273770.1400000006</v>
      </c>
      <c r="H25" s="160">
        <v>3496530.8</v>
      </c>
      <c r="I25" s="160">
        <v>4383671.12</v>
      </c>
      <c r="J25" s="160">
        <v>7314217.7100000009</v>
      </c>
      <c r="K25" s="160">
        <v>4743652.47</v>
      </c>
      <c r="L25" s="523">
        <v>7205854.8599999994</v>
      </c>
      <c r="M25" s="523">
        <v>6884049.8699999992</v>
      </c>
      <c r="N25" s="523">
        <v>6686850.2999999998</v>
      </c>
      <c r="O25" s="523">
        <v>7408352.6699999999</v>
      </c>
      <c r="P25" s="523">
        <v>7790053.5899999999</v>
      </c>
      <c r="Q25" s="523"/>
      <c r="R25" s="523"/>
      <c r="S25" s="521">
        <f t="shared" si="6"/>
        <v>60187003.530000001</v>
      </c>
      <c r="T25" s="522">
        <f t="shared" si="5"/>
        <v>0.74079047263283571</v>
      </c>
    </row>
    <row r="26" spans="1:23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v>2283978</v>
      </c>
      <c r="H26" s="160">
        <v>2935178.32</v>
      </c>
      <c r="I26" s="160">
        <v>2894196.9999999995</v>
      </c>
      <c r="J26" s="160">
        <v>8456385.3900000006</v>
      </c>
      <c r="K26" s="160">
        <v>3041738.58</v>
      </c>
      <c r="L26" s="523">
        <v>4108450.7699999996</v>
      </c>
      <c r="M26" s="523">
        <v>7215066.8300000001</v>
      </c>
      <c r="N26" s="523">
        <v>3897204.77</v>
      </c>
      <c r="O26" s="523">
        <v>4929136.25</v>
      </c>
      <c r="P26" s="523">
        <v>3391417.58</v>
      </c>
      <c r="Q26" s="523"/>
      <c r="R26" s="523"/>
      <c r="S26" s="521">
        <f t="shared" si="6"/>
        <v>43152753.490000002</v>
      </c>
      <c r="T26" s="522">
        <f t="shared" si="5"/>
        <v>0.53113042315408565</v>
      </c>
    </row>
    <row r="27" spans="1:23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/>
      <c r="R27" s="523"/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599" t="str">
        <f>+VLOOKUP($A28,Master!$D$30:$G$226,4,FALSE)</f>
        <v>Donacije i transferi</v>
      </c>
      <c r="C28" s="600"/>
      <c r="D28" s="600"/>
      <c r="E28" s="600"/>
      <c r="F28" s="600"/>
      <c r="G28" s="160">
        <v>0</v>
      </c>
      <c r="H28" s="160">
        <v>852850.11</v>
      </c>
      <c r="I28" s="160">
        <v>2017857.46</v>
      </c>
      <c r="J28" s="160">
        <v>603018.02</v>
      </c>
      <c r="K28" s="160">
        <v>723468.79</v>
      </c>
      <c r="L28" s="523">
        <v>1048774.8</v>
      </c>
      <c r="M28" s="523">
        <v>3634260.04</v>
      </c>
      <c r="N28" s="523">
        <v>2350373.59</v>
      </c>
      <c r="O28" s="523">
        <v>1648656.72</v>
      </c>
      <c r="P28" s="523">
        <v>4476174.21</v>
      </c>
      <c r="Q28" s="523"/>
      <c r="R28" s="523"/>
      <c r="S28" s="521">
        <f t="shared" si="6"/>
        <v>17355433.739999998</v>
      </c>
      <c r="T28" s="524">
        <f t="shared" si="5"/>
        <v>0.21361322559602197</v>
      </c>
    </row>
    <row r="29" spans="1:23" ht="13.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>+G30+G40+G46+SUM(G47:G51)</f>
        <v>154389738.06999996</v>
      </c>
      <c r="H29" s="136">
        <f t="shared" ref="H29:L29" si="8">+H30+H40+H46+SUM(H47:H51)</f>
        <v>212755586.39000002</v>
      </c>
      <c r="I29" s="136">
        <f t="shared" si="8"/>
        <v>278522412.41000003</v>
      </c>
      <c r="J29" s="136">
        <f t="shared" si="8"/>
        <v>284497390.84000009</v>
      </c>
      <c r="K29" s="136">
        <f t="shared" si="8"/>
        <v>236034285.69999999</v>
      </c>
      <c r="L29" s="136">
        <f t="shared" si="8"/>
        <v>267312862.52000001</v>
      </c>
      <c r="M29" s="136">
        <f t="shared" ref="M29:R29" si="9">+M30+M40+M46+SUM(M47:M51)</f>
        <v>242635952.81999999</v>
      </c>
      <c r="N29" s="136">
        <f t="shared" si="9"/>
        <v>235444763.40000004</v>
      </c>
      <c r="O29" s="136">
        <f t="shared" si="9"/>
        <v>276560186.03000003</v>
      </c>
      <c r="P29" s="136">
        <f t="shared" si="9"/>
        <v>277867972.86999995</v>
      </c>
      <c r="Q29" s="136">
        <f t="shared" si="9"/>
        <v>0</v>
      </c>
      <c r="R29" s="136">
        <f t="shared" si="9"/>
        <v>0</v>
      </c>
      <c r="S29" s="525">
        <f t="shared" si="6"/>
        <v>2466021151.0500002</v>
      </c>
      <c r="T29" s="526">
        <f t="shared" si="5"/>
        <v>30.352150246162939</v>
      </c>
    </row>
    <row r="30" spans="1:23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172">
        <f t="shared" ref="G30" si="10">+SUM(G31:G39)</f>
        <v>62043543.54999999</v>
      </c>
      <c r="H30" s="172">
        <f t="shared" ref="H30:L30" si="11">+SUM(H31:H39)</f>
        <v>75176540.300000027</v>
      </c>
      <c r="I30" s="172">
        <f t="shared" si="11"/>
        <v>110899642.14</v>
      </c>
      <c r="J30" s="172">
        <f t="shared" si="11"/>
        <v>122536129.20000005</v>
      </c>
      <c r="K30" s="172">
        <f t="shared" si="11"/>
        <v>91192668.769999981</v>
      </c>
      <c r="L30" s="172">
        <f t="shared" si="11"/>
        <v>96477427.670000002</v>
      </c>
      <c r="M30" s="172">
        <f t="shared" ref="M30:R30" si="12">+SUM(M31:M39)</f>
        <v>91814467.61999999</v>
      </c>
      <c r="N30" s="172">
        <f t="shared" si="12"/>
        <v>83399516.770000026</v>
      </c>
      <c r="O30" s="172">
        <f t="shared" si="12"/>
        <v>103632617.54000004</v>
      </c>
      <c r="P30" s="172">
        <f t="shared" si="12"/>
        <v>111463855.80999996</v>
      </c>
      <c r="Q30" s="172">
        <f t="shared" si="12"/>
        <v>0</v>
      </c>
      <c r="R30" s="231">
        <f t="shared" si="12"/>
        <v>0</v>
      </c>
      <c r="S30" s="527">
        <f t="shared" si="6"/>
        <v>948636409.37</v>
      </c>
      <c r="T30" s="519">
        <f t="shared" si="5"/>
        <v>11.675956150627099</v>
      </c>
      <c r="U30" s="472"/>
    </row>
    <row r="31" spans="1:23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499">
        <v>55836509.87999998</v>
      </c>
      <c r="H31" s="499">
        <v>57530041.020000026</v>
      </c>
      <c r="I31" s="499">
        <v>56241192.140000008</v>
      </c>
      <c r="J31" s="499">
        <v>57955580.230000041</v>
      </c>
      <c r="K31" s="499">
        <v>57929792.419999994</v>
      </c>
      <c r="L31" s="499">
        <v>57841844.710000008</v>
      </c>
      <c r="M31" s="499">
        <v>56105175.639999986</v>
      </c>
      <c r="N31" s="499">
        <v>55953900.340000011</v>
      </c>
      <c r="O31" s="499">
        <v>55657158.51000002</v>
      </c>
      <c r="P31" s="499">
        <v>58250569.069999978</v>
      </c>
      <c r="Q31" s="499"/>
      <c r="R31" s="148"/>
      <c r="S31" s="227">
        <f t="shared" si="6"/>
        <v>569301763.96000004</v>
      </c>
      <c r="T31" s="436">
        <f t="shared" si="5"/>
        <v>7.0070496628798606</v>
      </c>
      <c r="U31" s="472"/>
    </row>
    <row r="32" spans="1:23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499">
        <v>31766.52</v>
      </c>
      <c r="H32" s="499">
        <v>1842166.1700000016</v>
      </c>
      <c r="I32" s="499">
        <v>1859578.6300000004</v>
      </c>
      <c r="J32" s="499">
        <v>2512992.9100000006</v>
      </c>
      <c r="K32" s="499">
        <v>1594579.5199999996</v>
      </c>
      <c r="L32" s="499">
        <v>2658566.0099999998</v>
      </c>
      <c r="M32" s="499">
        <v>1633324.49</v>
      </c>
      <c r="N32" s="499">
        <v>2785504.1199999992</v>
      </c>
      <c r="O32" s="499">
        <v>1966705.3199999996</v>
      </c>
      <c r="P32" s="499">
        <v>2922121.669999999</v>
      </c>
      <c r="Q32" s="499"/>
      <c r="R32" s="148"/>
      <c r="S32" s="227">
        <f t="shared" si="6"/>
        <v>19807305.359999999</v>
      </c>
      <c r="T32" s="436">
        <f t="shared" si="5"/>
        <v>0.24379122133740325</v>
      </c>
      <c r="U32" s="472"/>
    </row>
    <row r="33" spans="1:23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499">
        <v>39625.339999999997</v>
      </c>
      <c r="H33" s="499">
        <v>1487088.8500000003</v>
      </c>
      <c r="I33" s="499">
        <v>4592010.7299999995</v>
      </c>
      <c r="J33" s="499">
        <v>3866754.6</v>
      </c>
      <c r="K33" s="499">
        <v>2644436.0699999998</v>
      </c>
      <c r="L33" s="499">
        <v>2839973.1600000006</v>
      </c>
      <c r="M33" s="499">
        <v>3117960.62</v>
      </c>
      <c r="N33" s="499">
        <v>3610133.7300000004</v>
      </c>
      <c r="O33" s="499">
        <v>5631680.8300000001</v>
      </c>
      <c r="P33" s="499">
        <v>2823163.0100000002</v>
      </c>
      <c r="Q33" s="499"/>
      <c r="R33" s="148"/>
      <c r="S33" s="227">
        <f t="shared" si="6"/>
        <v>30652826.940000001</v>
      </c>
      <c r="T33" s="436">
        <f t="shared" si="5"/>
        <v>0.3772794926581905</v>
      </c>
      <c r="U33" s="472"/>
    </row>
    <row r="34" spans="1:23" s="334" customFormat="1">
      <c r="A34" s="333">
        <v>414</v>
      </c>
      <c r="B34" s="615" t="str">
        <f>+VLOOKUP($A34,Master!$D$30:$G$226,4,FALSE)</f>
        <v>Rashodi za usluge</v>
      </c>
      <c r="C34" s="616"/>
      <c r="D34" s="616"/>
      <c r="E34" s="616"/>
      <c r="F34" s="616"/>
      <c r="G34" s="499">
        <v>1245697.8400000001</v>
      </c>
      <c r="H34" s="499">
        <v>3160849.0199999991</v>
      </c>
      <c r="I34" s="499">
        <v>5714884.3200000012</v>
      </c>
      <c r="J34" s="499">
        <v>8510798.9799999986</v>
      </c>
      <c r="K34" s="499">
        <v>6665776.4999999991</v>
      </c>
      <c r="L34" s="499">
        <v>7563043.5499999989</v>
      </c>
      <c r="M34" s="499">
        <v>7217755.9199999999</v>
      </c>
      <c r="N34" s="499">
        <v>5746686.1100000003</v>
      </c>
      <c r="O34" s="499">
        <v>8401475.9600000009</v>
      </c>
      <c r="P34" s="499">
        <v>9134655</v>
      </c>
      <c r="Q34" s="499"/>
      <c r="R34" s="148"/>
      <c r="S34" s="227">
        <f t="shared" si="6"/>
        <v>63361623.199999996</v>
      </c>
      <c r="T34" s="436">
        <f t="shared" si="5"/>
        <v>0.77986415744581328</v>
      </c>
      <c r="U34" s="472"/>
    </row>
    <row r="35" spans="1:23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499">
        <v>1721.01</v>
      </c>
      <c r="H35" s="499">
        <v>948846.4600000002</v>
      </c>
      <c r="I35" s="499">
        <v>3236889.07</v>
      </c>
      <c r="J35" s="499">
        <v>2562919.08</v>
      </c>
      <c r="K35" s="499">
        <v>2312541.1300000004</v>
      </c>
      <c r="L35" s="499">
        <v>3214980.1100000013</v>
      </c>
      <c r="M35" s="499">
        <v>2619371.9699999997</v>
      </c>
      <c r="N35" s="499">
        <v>2796550.34</v>
      </c>
      <c r="O35" s="499">
        <v>1842795.7999999998</v>
      </c>
      <c r="P35" s="499">
        <v>3430466.1300000004</v>
      </c>
      <c r="Q35" s="499"/>
      <c r="R35" s="148"/>
      <c r="S35" s="227">
        <f t="shared" si="6"/>
        <v>22967081.100000001</v>
      </c>
      <c r="T35" s="436">
        <f t="shared" si="5"/>
        <v>0.28268220488141105</v>
      </c>
      <c r="U35" s="472"/>
    </row>
    <row r="36" spans="1:23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499">
        <v>3788619.5500000003</v>
      </c>
      <c r="H36" s="499">
        <v>3320549.1300000004</v>
      </c>
      <c r="I36" s="499">
        <v>24471807.800000001</v>
      </c>
      <c r="J36" s="499">
        <v>33272514.919999998</v>
      </c>
      <c r="K36" s="499">
        <v>10340576.27</v>
      </c>
      <c r="L36" s="499">
        <v>5428174.1699999999</v>
      </c>
      <c r="M36" s="499">
        <v>4924646.78</v>
      </c>
      <c r="N36" s="499">
        <v>2716052.2899999996</v>
      </c>
      <c r="O36" s="499">
        <v>23271613.460000005</v>
      </c>
      <c r="P36" s="499">
        <v>15439495.569999998</v>
      </c>
      <c r="Q36" s="499"/>
      <c r="R36" s="148"/>
      <c r="S36" s="227">
        <f>+SUM(G36:R36)</f>
        <v>126974049.94000001</v>
      </c>
      <c r="T36" s="436">
        <f t="shared" si="5"/>
        <v>1.5628152416704617</v>
      </c>
      <c r="U36" s="472"/>
    </row>
    <row r="37" spans="1:23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499">
        <v>17739.240000000002</v>
      </c>
      <c r="H37" s="499">
        <v>658913.61</v>
      </c>
      <c r="I37" s="499">
        <v>1423673.45</v>
      </c>
      <c r="J37" s="499">
        <v>1026043.09</v>
      </c>
      <c r="K37" s="499">
        <v>804963.71999999986</v>
      </c>
      <c r="L37" s="499">
        <v>1422017.38</v>
      </c>
      <c r="M37" s="499">
        <v>1142860.7</v>
      </c>
      <c r="N37" s="499">
        <v>749974.72999999975</v>
      </c>
      <c r="O37" s="499">
        <v>1352660.5799999998</v>
      </c>
      <c r="P37" s="499">
        <v>1141838.8899999999</v>
      </c>
      <c r="Q37" s="499"/>
      <c r="R37" s="148"/>
      <c r="S37" s="227">
        <f t="shared" si="6"/>
        <v>9740685.3899999987</v>
      </c>
      <c r="T37" s="436">
        <f t="shared" si="5"/>
        <v>0.11988978534592046</v>
      </c>
      <c r="U37" s="472"/>
    </row>
    <row r="38" spans="1:23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499">
        <v>651862.92999999993</v>
      </c>
      <c r="H38" s="499">
        <v>4133251.890000002</v>
      </c>
      <c r="I38" s="499">
        <v>6084455.6400000006</v>
      </c>
      <c r="J38" s="499">
        <v>6925339.3099999987</v>
      </c>
      <c r="K38" s="499">
        <v>4645561.2299999995</v>
      </c>
      <c r="L38" s="499">
        <v>5186790.0599999987</v>
      </c>
      <c r="M38" s="499">
        <v>6248831.4699999951</v>
      </c>
      <c r="N38" s="499">
        <v>4290997.3299999936</v>
      </c>
      <c r="O38" s="499">
        <v>1662216.29</v>
      </c>
      <c r="P38" s="499">
        <v>9523418.4199999999</v>
      </c>
      <c r="Q38" s="499"/>
      <c r="R38" s="148"/>
      <c r="S38" s="227">
        <f t="shared" si="6"/>
        <v>49352724.569999993</v>
      </c>
      <c r="T38" s="436">
        <f t="shared" si="5"/>
        <v>0.60744057712900157</v>
      </c>
      <c r="U38" s="472"/>
    </row>
    <row r="39" spans="1:23">
      <c r="A39" s="135">
        <v>419</v>
      </c>
      <c r="B39" s="597" t="str">
        <f>+VLOOKUP($A39,Master!$D$30:$G$226,4,FALSE)</f>
        <v>Ostali izdaci</v>
      </c>
      <c r="C39" s="598"/>
      <c r="D39" s="598"/>
      <c r="E39" s="598"/>
      <c r="F39" s="598"/>
      <c r="G39" s="499">
        <v>430001.24</v>
      </c>
      <c r="H39" s="499">
        <v>2094834.1499999992</v>
      </c>
      <c r="I39" s="499">
        <v>7275150.3600000003</v>
      </c>
      <c r="J39" s="499">
        <v>5903186.0799999991</v>
      </c>
      <c r="K39" s="499">
        <v>4254441.9099999992</v>
      </c>
      <c r="L39" s="499">
        <v>10322038.519999998</v>
      </c>
      <c r="M39" s="499">
        <v>8804540.0299999975</v>
      </c>
      <c r="N39" s="499">
        <v>4749717.7800000012</v>
      </c>
      <c r="O39" s="499">
        <v>3846310.7899999996</v>
      </c>
      <c r="P39" s="499">
        <v>8798128.0500000007</v>
      </c>
      <c r="Q39" s="499"/>
      <c r="R39" s="148"/>
      <c r="S39" s="227">
        <f t="shared" si="6"/>
        <v>56478348.909999996</v>
      </c>
      <c r="T39" s="436">
        <f t="shared" si="5"/>
        <v>0.69514380727903791</v>
      </c>
      <c r="U39" s="472"/>
    </row>
    <row r="40" spans="1:23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+SUM(G41:G45)</f>
        <v>82167964.539999992</v>
      </c>
      <c r="H40" s="178">
        <f t="shared" ref="H40:L40" si="13">+SUM(H41:H45)</f>
        <v>94350241.819999978</v>
      </c>
      <c r="I40" s="178">
        <f t="shared" si="13"/>
        <v>92707595.590000004</v>
      </c>
      <c r="J40" s="178">
        <f t="shared" si="13"/>
        <v>90295472.180000007</v>
      </c>
      <c r="K40" s="178">
        <f t="shared" si="13"/>
        <v>90667904.409999996</v>
      </c>
      <c r="L40" s="178">
        <f t="shared" si="13"/>
        <v>93416914.150000006</v>
      </c>
      <c r="M40" s="178">
        <f t="shared" ref="M40:R40" si="14">+SUM(M41:M45)</f>
        <v>92683631.179999992</v>
      </c>
      <c r="N40" s="178">
        <f t="shared" si="14"/>
        <v>94391978.5</v>
      </c>
      <c r="O40" s="178">
        <f t="shared" si="14"/>
        <v>93158567.469999999</v>
      </c>
      <c r="P40" s="178">
        <f t="shared" si="14"/>
        <v>96402993.62999998</v>
      </c>
      <c r="Q40" s="178">
        <f t="shared" si="14"/>
        <v>0</v>
      </c>
      <c r="R40" s="178">
        <f t="shared" si="14"/>
        <v>0</v>
      </c>
      <c r="S40" s="528">
        <f t="shared" si="6"/>
        <v>920243263.46999991</v>
      </c>
      <c r="T40" s="529">
        <f t="shared" si="5"/>
        <v>11.326489143845309</v>
      </c>
      <c r="U40" s="472"/>
    </row>
    <row r="41" spans="1:23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499">
        <v>19199401.200000003</v>
      </c>
      <c r="H41" s="499">
        <v>22395140.600000005</v>
      </c>
      <c r="I41" s="499">
        <v>21236015.860000007</v>
      </c>
      <c r="J41" s="499">
        <v>19874612.219999999</v>
      </c>
      <c r="K41" s="499">
        <v>19544794.680000003</v>
      </c>
      <c r="L41" s="499">
        <v>20328527.629999995</v>
      </c>
      <c r="M41" s="499">
        <v>20317695.200000003</v>
      </c>
      <c r="N41" s="499">
        <v>21306570.510000002</v>
      </c>
      <c r="O41" s="499">
        <v>19728465.5</v>
      </c>
      <c r="P41" s="499">
        <v>22440561.820000004</v>
      </c>
      <c r="Q41" s="499"/>
      <c r="R41" s="148"/>
      <c r="S41" s="227">
        <f t="shared" si="6"/>
        <v>206371785.22000003</v>
      </c>
      <c r="T41" s="436">
        <f t="shared" si="5"/>
        <v>2.5400542200942811</v>
      </c>
      <c r="U41" s="472"/>
    </row>
    <row r="42" spans="1:23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499">
        <v>37260</v>
      </c>
      <c r="H42" s="499">
        <v>2145915.9300000002</v>
      </c>
      <c r="I42" s="499">
        <v>2167887.46</v>
      </c>
      <c r="J42" s="499">
        <v>2142786.8400000003</v>
      </c>
      <c r="K42" s="499">
        <v>2091283.2200000002</v>
      </c>
      <c r="L42" s="499">
        <v>2092533.03</v>
      </c>
      <c r="M42" s="499">
        <v>2074198.53</v>
      </c>
      <c r="N42" s="499">
        <v>2056772.54</v>
      </c>
      <c r="O42" s="499">
        <v>2096311.3499999999</v>
      </c>
      <c r="P42" s="499">
        <v>2028607.22</v>
      </c>
      <c r="Q42" s="499"/>
      <c r="R42" s="148"/>
      <c r="S42" s="227">
        <f t="shared" si="6"/>
        <v>18933556.120000001</v>
      </c>
      <c r="T42" s="436">
        <f t="shared" si="5"/>
        <v>0.23303698745799845</v>
      </c>
      <c r="U42" s="472"/>
    </row>
    <row r="43" spans="1:23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499">
        <v>62931303.339999989</v>
      </c>
      <c r="H43" s="499">
        <v>65497529.849999979</v>
      </c>
      <c r="I43" s="499">
        <v>65458140.899999999</v>
      </c>
      <c r="J43" s="499">
        <v>65623487.379999995</v>
      </c>
      <c r="K43" s="499">
        <v>65646943.669999987</v>
      </c>
      <c r="L43" s="499">
        <v>66986411.460000001</v>
      </c>
      <c r="M43" s="499">
        <v>66789126.960000001</v>
      </c>
      <c r="N43" s="499">
        <v>66911161.070000008</v>
      </c>
      <c r="O43" s="499">
        <v>67160706.239999995</v>
      </c>
      <c r="P43" s="499">
        <v>67815727.029999971</v>
      </c>
      <c r="Q43" s="499"/>
      <c r="R43" s="148"/>
      <c r="S43" s="227">
        <f t="shared" si="6"/>
        <v>660820537.89999986</v>
      </c>
      <c r="T43" s="436">
        <f t="shared" si="5"/>
        <v>8.1334761640429782</v>
      </c>
      <c r="U43" s="472"/>
    </row>
    <row r="44" spans="1:23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499">
        <v>0</v>
      </c>
      <c r="H44" s="499">
        <v>2943314.7199999997</v>
      </c>
      <c r="I44" s="499">
        <v>1831980.9999999998</v>
      </c>
      <c r="J44" s="499">
        <v>1453855.4</v>
      </c>
      <c r="K44" s="499">
        <v>1873268.4400000004</v>
      </c>
      <c r="L44" s="499">
        <v>2688499.0299999993</v>
      </c>
      <c r="M44" s="499">
        <v>2207282.3800000004</v>
      </c>
      <c r="N44" s="499">
        <v>2543110.1900000004</v>
      </c>
      <c r="O44" s="499">
        <v>2548955.6000000006</v>
      </c>
      <c r="P44" s="499">
        <v>2451167.8299999996</v>
      </c>
      <c r="Q44" s="499"/>
      <c r="R44" s="148"/>
      <c r="S44" s="227">
        <f t="shared" si="6"/>
        <v>20541434.59</v>
      </c>
      <c r="T44" s="436">
        <f t="shared" si="5"/>
        <v>0.25282699164276834</v>
      </c>
      <c r="U44" s="472"/>
    </row>
    <row r="45" spans="1:23" s="334" customFormat="1">
      <c r="A45" s="333">
        <v>425</v>
      </c>
      <c r="B45" s="617" t="str">
        <f>+VLOOKUP($A45,Master!$D$30:$G$226,4,FALSE)</f>
        <v>Ostala prava iz zdravstvenog osiguranja</v>
      </c>
      <c r="C45" s="618"/>
      <c r="D45" s="618"/>
      <c r="E45" s="618"/>
      <c r="F45" s="618"/>
      <c r="G45" s="499">
        <v>0</v>
      </c>
      <c r="H45" s="499">
        <v>1368340.72</v>
      </c>
      <c r="I45" s="499">
        <v>2013570.3699999996</v>
      </c>
      <c r="J45" s="499">
        <v>1200730.3399999996</v>
      </c>
      <c r="K45" s="499">
        <v>1511614.4000000001</v>
      </c>
      <c r="L45" s="499">
        <v>1320942.9999999995</v>
      </c>
      <c r="M45" s="499">
        <v>1295328.1100000001</v>
      </c>
      <c r="N45" s="499">
        <v>1574364.1899999997</v>
      </c>
      <c r="O45" s="499">
        <v>1624128.78</v>
      </c>
      <c r="P45" s="499">
        <v>1666929.7299999997</v>
      </c>
      <c r="Q45" s="499"/>
      <c r="R45" s="148"/>
      <c r="S45" s="227">
        <f t="shared" si="6"/>
        <v>13575949.639999999</v>
      </c>
      <c r="T45" s="436">
        <f t="shared" si="5"/>
        <v>0.16709478060728394</v>
      </c>
      <c r="U45" s="472"/>
    </row>
    <row r="46" spans="1:23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v>4939745.53</v>
      </c>
      <c r="H46" s="160">
        <v>29118491.300000001</v>
      </c>
      <c r="I46" s="160">
        <v>48389791.060000002</v>
      </c>
      <c r="J46" s="160">
        <v>36213658.170000002</v>
      </c>
      <c r="K46" s="160">
        <v>42197619.030000001</v>
      </c>
      <c r="L46" s="160">
        <v>42288285.969999999</v>
      </c>
      <c r="M46" s="160">
        <v>33395582.619999997</v>
      </c>
      <c r="N46" s="160">
        <v>32294980.560000002</v>
      </c>
      <c r="O46" s="160">
        <v>40483162.599999994</v>
      </c>
      <c r="P46" s="160">
        <v>41566269.539999999</v>
      </c>
      <c r="Q46" s="160"/>
      <c r="R46" s="160"/>
      <c r="S46" s="521">
        <f t="shared" si="6"/>
        <v>350887586.38000005</v>
      </c>
      <c r="T46" s="522">
        <f t="shared" si="5"/>
        <v>4.3187759102489949</v>
      </c>
      <c r="U46" s="472"/>
    </row>
    <row r="47" spans="1:23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v>125800.66000000002</v>
      </c>
      <c r="H47" s="160">
        <v>11702685.83</v>
      </c>
      <c r="I47" s="160">
        <v>20240491.23</v>
      </c>
      <c r="J47" s="160">
        <v>33567503.510000005</v>
      </c>
      <c r="K47" s="160">
        <v>10208587.779999999</v>
      </c>
      <c r="L47" s="160">
        <v>33636049.24000001</v>
      </c>
      <c r="M47" s="160">
        <v>21211124.43</v>
      </c>
      <c r="N47" s="160">
        <v>24618371.049999997</v>
      </c>
      <c r="O47" s="160">
        <v>32853554.209999997</v>
      </c>
      <c r="P47" s="160">
        <v>26343479.410000004</v>
      </c>
      <c r="Q47" s="160"/>
      <c r="R47" s="160"/>
      <c r="S47" s="521">
        <f t="shared" si="6"/>
        <v>214507647.35000002</v>
      </c>
      <c r="T47" s="522">
        <f t="shared" si="5"/>
        <v>2.6401916052285013</v>
      </c>
      <c r="U47" s="472"/>
      <c r="V47" s="292"/>
      <c r="W47" s="292"/>
    </row>
    <row r="48" spans="1:23">
      <c r="A48" s="135">
        <v>451</v>
      </c>
      <c r="B48" s="619" t="str">
        <f>+VLOOKUP($A48,Master!$D$30:$G$226,4,FALSE)</f>
        <v>Pozajmice i krediti</v>
      </c>
      <c r="C48" s="620"/>
      <c r="D48" s="620"/>
      <c r="E48" s="620"/>
      <c r="F48" s="620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/>
      <c r="R48" s="148"/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24" t="str">
        <f>+VLOOKUP($A49,Master!$D$30:$G$226,4,FALSE)</f>
        <v>Rezerve</v>
      </c>
      <c r="C49" s="625"/>
      <c r="D49" s="625"/>
      <c r="E49" s="625"/>
      <c r="F49" s="625"/>
      <c r="G49" s="499">
        <v>0</v>
      </c>
      <c r="H49" s="499">
        <v>209850</v>
      </c>
      <c r="I49" s="499">
        <v>4097639.84</v>
      </c>
      <c r="J49" s="499">
        <v>60894.409999999996</v>
      </c>
      <c r="K49" s="499">
        <v>22681.05</v>
      </c>
      <c r="L49" s="499">
        <v>196045.28999999995</v>
      </c>
      <c r="M49" s="499">
        <v>28857.670000000002</v>
      </c>
      <c r="N49" s="499">
        <v>2000</v>
      </c>
      <c r="O49" s="499">
        <v>53111.649999999994</v>
      </c>
      <c r="P49" s="499">
        <v>22666.7</v>
      </c>
      <c r="Q49" s="499"/>
      <c r="R49" s="148"/>
      <c r="S49" s="227">
        <f t="shared" si="6"/>
        <v>4693746.6100000003</v>
      </c>
      <c r="T49" s="436">
        <f t="shared" si="5"/>
        <v>5.7771322141125216E-2</v>
      </c>
      <c r="U49" s="472"/>
    </row>
    <row r="50" spans="1:21" ht="13.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499">
        <v>4062322.96</v>
      </c>
      <c r="H50" s="499">
        <v>0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0</v>
      </c>
      <c r="O50" s="499">
        <v>0</v>
      </c>
      <c r="P50" s="499">
        <v>0</v>
      </c>
      <c r="Q50" s="499"/>
      <c r="R50" s="148"/>
      <c r="S50" s="227">
        <f t="shared" si="6"/>
        <v>4062322.96</v>
      </c>
      <c r="T50" s="436">
        <f t="shared" si="5"/>
        <v>4.9999667187711538E-2</v>
      </c>
      <c r="U50" s="472"/>
    </row>
    <row r="51" spans="1:21" ht="13.5" thickBot="1">
      <c r="A51" s="129">
        <v>4630</v>
      </c>
      <c r="B51" s="626" t="str">
        <f>+VLOOKUP($A51,Master!$D$30:$G$226,4,TRUE)</f>
        <v>Otplata obaveza iz prethodnog perioda</v>
      </c>
      <c r="C51" s="627"/>
      <c r="D51" s="627"/>
      <c r="E51" s="627"/>
      <c r="F51" s="627"/>
      <c r="G51" s="430">
        <v>1050360.83</v>
      </c>
      <c r="H51" s="430">
        <v>2197777.1399999997</v>
      </c>
      <c r="I51" s="430">
        <v>2187252.5500000003</v>
      </c>
      <c r="J51" s="430">
        <v>1823733.3699999996</v>
      </c>
      <c r="K51" s="430">
        <v>1744824.6599999997</v>
      </c>
      <c r="L51" s="430">
        <v>1298140.1999999997</v>
      </c>
      <c r="M51" s="430">
        <v>3502289.3000000017</v>
      </c>
      <c r="N51" s="430">
        <v>737916.52</v>
      </c>
      <c r="O51" s="430">
        <v>6379172.5600000015</v>
      </c>
      <c r="P51" s="430">
        <v>2068707.7800000005</v>
      </c>
      <c r="Q51" s="430"/>
      <c r="R51" s="430"/>
      <c r="S51" s="398">
        <f>+SUM(G51:R51)</f>
        <v>22990174.910000004</v>
      </c>
      <c r="T51" s="440">
        <f t="shared" si="5"/>
        <v>0.2829664468841927</v>
      </c>
      <c r="U51" s="472"/>
    </row>
    <row r="52" spans="1:21" ht="13.5" thickBot="1">
      <c r="A52" s="61">
        <v>1005</v>
      </c>
      <c r="B52" s="628" t="str">
        <f>+VLOOKUP($A52,Master!$D$30:$G$228,4,FALSE)</f>
        <v>Neto povećanje obaveza</v>
      </c>
      <c r="C52" s="629"/>
      <c r="D52" s="629"/>
      <c r="E52" s="629"/>
      <c r="F52" s="629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/>
      <c r="R52" s="486"/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 t="shared" ref="G53:R53" si="15">+G10-G29</f>
        <v>2360184.0100000203</v>
      </c>
      <c r="H53" s="136">
        <f t="shared" si="15"/>
        <v>-34406783.460000008</v>
      </c>
      <c r="I53" s="136">
        <f t="shared" si="15"/>
        <v>-33168118.120000064</v>
      </c>
      <c r="J53" s="136">
        <f t="shared" si="15"/>
        <v>32621829.629999936</v>
      </c>
      <c r="K53" s="136">
        <f t="shared" si="15"/>
        <v>-36552061.640000015</v>
      </c>
      <c r="L53" s="136">
        <f t="shared" si="15"/>
        <v>-41408663.490000039</v>
      </c>
      <c r="M53" s="136">
        <f t="shared" si="15"/>
        <v>14172633.700000018</v>
      </c>
      <c r="N53" s="136">
        <f t="shared" si="15"/>
        <v>24584520.429999977</v>
      </c>
      <c r="O53" s="136">
        <f t="shared" si="15"/>
        <v>-14712422.820000023</v>
      </c>
      <c r="P53" s="136">
        <f t="shared" si="15"/>
        <v>-32285409.079999954</v>
      </c>
      <c r="Q53" s="136">
        <f t="shared" si="15"/>
        <v>0</v>
      </c>
      <c r="R53" s="136">
        <f t="shared" si="15"/>
        <v>0</v>
      </c>
      <c r="S53" s="530">
        <f>SUM(G53:R53)</f>
        <v>-118794290.84000015</v>
      </c>
      <c r="T53" s="531">
        <f t="shared" si="5"/>
        <v>-1.462137566187061</v>
      </c>
    </row>
    <row r="54" spans="1:21" ht="13.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90">
        <f t="shared" ref="G54:R54" si="16">+G53+G36</f>
        <v>6148803.560000021</v>
      </c>
      <c r="H54" s="190">
        <f t="shared" si="16"/>
        <v>-31086234.330000009</v>
      </c>
      <c r="I54" s="190">
        <f t="shared" si="16"/>
        <v>-8696310.3200000636</v>
      </c>
      <c r="J54" s="190">
        <f t="shared" si="16"/>
        <v>65894344.549999937</v>
      </c>
      <c r="K54" s="190">
        <f t="shared" si="16"/>
        <v>-26211485.370000016</v>
      </c>
      <c r="L54" s="190">
        <f t="shared" si="16"/>
        <v>-35980489.320000038</v>
      </c>
      <c r="M54" s="190">
        <f t="shared" si="16"/>
        <v>19097280.480000019</v>
      </c>
      <c r="N54" s="190">
        <f t="shared" si="16"/>
        <v>27300572.719999976</v>
      </c>
      <c r="O54" s="190">
        <f t="shared" si="16"/>
        <v>8559190.639999982</v>
      </c>
      <c r="P54" s="190">
        <f t="shared" si="16"/>
        <v>-16845913.509999953</v>
      </c>
      <c r="Q54" s="190">
        <f t="shared" si="16"/>
        <v>0</v>
      </c>
      <c r="R54" s="190">
        <f t="shared" si="16"/>
        <v>0</v>
      </c>
      <c r="S54" s="530">
        <f t="shared" si="6"/>
        <v>8179759.0999998599</v>
      </c>
      <c r="T54" s="531">
        <f t="shared" si="5"/>
        <v>0.10067767548340074</v>
      </c>
    </row>
    <row r="55" spans="1:21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178">
        <f t="shared" ref="G55" si="17">+SUM(G56:G57)</f>
        <v>34620662.689999998</v>
      </c>
      <c r="H55" s="178">
        <f t="shared" ref="H55:L55" si="18">+SUM(H56:H57)</f>
        <v>8280354.3399999999</v>
      </c>
      <c r="I55" s="178">
        <f t="shared" si="18"/>
        <v>35822753.07</v>
      </c>
      <c r="J55" s="160">
        <f t="shared" si="18"/>
        <v>507364176.06000006</v>
      </c>
      <c r="K55" s="178">
        <f t="shared" si="18"/>
        <v>49335423.139999993</v>
      </c>
      <c r="L55" s="178">
        <f t="shared" si="18"/>
        <v>38233496.119999997</v>
      </c>
      <c r="M55" s="178">
        <f t="shared" ref="M55:Q55" si="19">+SUM(M56:M57)</f>
        <v>34467856.200000003</v>
      </c>
      <c r="N55" s="178">
        <f t="shared" si="19"/>
        <v>7549624.8600000003</v>
      </c>
      <c r="O55" s="178">
        <f t="shared" si="19"/>
        <v>26105146.839999996</v>
      </c>
      <c r="P55" s="178">
        <f t="shared" si="19"/>
        <v>7069854.0099999998</v>
      </c>
      <c r="Q55" s="178">
        <f t="shared" si="19"/>
        <v>0</v>
      </c>
      <c r="R55" s="178">
        <f>+SUM(R56:R57)</f>
        <v>0</v>
      </c>
      <c r="S55" s="532">
        <f t="shared" si="6"/>
        <v>748849347.33000016</v>
      </c>
      <c r="T55" s="533">
        <f t="shared" si="5"/>
        <v>9.216947669821657</v>
      </c>
    </row>
    <row r="56" spans="1:21">
      <c r="A56" s="129">
        <v>4611</v>
      </c>
      <c r="B56" s="581" t="str">
        <f>+VLOOKUP($A56,Master!$D$30:$G$226,4,FALSE)</f>
        <v>Otplata hartija od vrijednosti i kredita rezidentima</v>
      </c>
      <c r="C56" s="582"/>
      <c r="D56" s="582"/>
      <c r="E56" s="582"/>
      <c r="F56" s="582"/>
      <c r="G56" s="554">
        <v>1984895.29</v>
      </c>
      <c r="H56" s="554">
        <v>1705490.1300000001</v>
      </c>
      <c r="I56" s="554">
        <v>4420486.6500000004</v>
      </c>
      <c r="J56" s="554">
        <v>2049822.2300000002</v>
      </c>
      <c r="K56" s="554">
        <v>2795674.8899999997</v>
      </c>
      <c r="L56" s="554">
        <v>15431758.250000002</v>
      </c>
      <c r="M56" s="554">
        <v>1723907.95</v>
      </c>
      <c r="N56" s="554">
        <v>1755694.74</v>
      </c>
      <c r="O56" s="554">
        <v>4555783.9000000004</v>
      </c>
      <c r="P56" s="554">
        <v>1755147.06</v>
      </c>
      <c r="Q56" s="554"/>
      <c r="R56" s="196"/>
      <c r="S56" s="235">
        <f t="shared" si="6"/>
        <v>38178661.090000004</v>
      </c>
      <c r="T56" s="444">
        <f t="shared" si="5"/>
        <v>0.46990856388543578</v>
      </c>
    </row>
    <row r="57" spans="1:21" ht="13.5" thickBot="1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554">
        <v>32635767.399999999</v>
      </c>
      <c r="H57" s="554">
        <v>6574864.21</v>
      </c>
      <c r="I57" s="554">
        <v>31402266.420000002</v>
      </c>
      <c r="J57" s="554">
        <v>505314353.83000004</v>
      </c>
      <c r="K57" s="554">
        <v>46539748.249999993</v>
      </c>
      <c r="L57" s="554">
        <v>22801737.869999997</v>
      </c>
      <c r="M57" s="554">
        <v>32743948.25</v>
      </c>
      <c r="N57" s="554">
        <v>5793930.1200000001</v>
      </c>
      <c r="O57" s="554">
        <v>21549362.939999998</v>
      </c>
      <c r="P57" s="554">
        <v>5314706.95</v>
      </c>
      <c r="Q57" s="554"/>
      <c r="R57" s="554"/>
      <c r="S57" s="235">
        <f>+SUM(G57:R57)</f>
        <v>710670686.24000001</v>
      </c>
      <c r="T57" s="444">
        <f t="shared" si="5"/>
        <v>8.7470391059362189</v>
      </c>
    </row>
    <row r="58" spans="1:21" ht="13.5" thickBot="1">
      <c r="A58" s="129">
        <v>4418</v>
      </c>
      <c r="B58" s="603" t="str">
        <f>+VLOOKUP($A58,Master!$D$30:$G$226,4,FALSE)</f>
        <v>Izdaci za kupovinu hartija od vrijednosti</v>
      </c>
      <c r="C58" s="604"/>
      <c r="D58" s="604"/>
      <c r="E58" s="604"/>
      <c r="F58" s="604"/>
      <c r="G58" s="432">
        <v>0</v>
      </c>
      <c r="H58" s="432">
        <v>0</v>
      </c>
      <c r="I58" s="432">
        <v>1042170.92</v>
      </c>
      <c r="J58" s="432">
        <v>0</v>
      </c>
      <c r="K58" s="432">
        <v>0</v>
      </c>
      <c r="L58" s="432">
        <v>360695.5</v>
      </c>
      <c r="M58" s="432">
        <v>82691.12</v>
      </c>
      <c r="N58" s="432">
        <v>0</v>
      </c>
      <c r="O58" s="432">
        <v>0</v>
      </c>
      <c r="P58" s="432">
        <v>0</v>
      </c>
      <c r="Q58" s="432"/>
      <c r="R58" s="432"/>
      <c r="S58" s="532">
        <f>SUM(G58:R58)</f>
        <v>1485557.54</v>
      </c>
      <c r="T58" s="534">
        <f t="shared" si="5"/>
        <v>1.8284460226223737E-2</v>
      </c>
    </row>
    <row r="59" spans="1:21" ht="13.5" thickBot="1">
      <c r="A59" s="135">
        <v>451</v>
      </c>
      <c r="B59" s="603" t="str">
        <f>+VLOOKUP($A59,Master!$D$30:$G$226,4,FALSE)</f>
        <v>Pozajmice i krediti</v>
      </c>
      <c r="C59" s="604"/>
      <c r="D59" s="604"/>
      <c r="E59" s="604"/>
      <c r="F59" s="604"/>
      <c r="G59" s="499">
        <v>0</v>
      </c>
      <c r="H59" s="499">
        <v>1478222</v>
      </c>
      <c r="I59" s="499">
        <v>1456725.62</v>
      </c>
      <c r="J59" s="499">
        <v>792552.3</v>
      </c>
      <c r="K59" s="499">
        <v>768533.87</v>
      </c>
      <c r="L59" s="499">
        <v>776984.56</v>
      </c>
      <c r="M59" s="499">
        <v>287960.95</v>
      </c>
      <c r="N59" s="499">
        <v>11164.5</v>
      </c>
      <c r="O59" s="499">
        <v>1103772.82</v>
      </c>
      <c r="P59" s="499">
        <v>1401425.2</v>
      </c>
      <c r="Q59" s="499"/>
      <c r="R59" s="432"/>
      <c r="S59" s="532">
        <f>SUM(G59:R59)</f>
        <v>8077341.8200000003</v>
      </c>
      <c r="T59" s="534">
        <f t="shared" si="5"/>
        <v>9.9417108570162602E-2</v>
      </c>
    </row>
    <row r="60" spans="1:21" ht="13.5" thickBot="1">
      <c r="A60" s="129">
        <v>1002</v>
      </c>
      <c r="B60" s="585" t="str">
        <f>+VLOOKUP($A60,Master!$D$30:$G$226,4,FALSE)</f>
        <v>Nedostajuća sredstva</v>
      </c>
      <c r="C60" s="586"/>
      <c r="D60" s="586"/>
      <c r="E60" s="586"/>
      <c r="F60" s="586"/>
      <c r="G60" s="202">
        <f>+G53-G55-G58-G59</f>
        <v>-32260478.679999977</v>
      </c>
      <c r="H60" s="202">
        <f t="shared" ref="H60:S60" si="20">+H53-H55-H58-H59</f>
        <v>-44165359.800000012</v>
      </c>
      <c r="I60" s="202">
        <f t="shared" si="20"/>
        <v>-71489767.730000064</v>
      </c>
      <c r="J60" s="202">
        <f t="shared" si="20"/>
        <v>-475534898.73000014</v>
      </c>
      <c r="K60" s="202">
        <f t="shared" si="20"/>
        <v>-86656018.650000006</v>
      </c>
      <c r="L60" s="202">
        <f t="shared" si="20"/>
        <v>-80779839.670000046</v>
      </c>
      <c r="M60" s="202">
        <f t="shared" si="20"/>
        <v>-20665874.569999985</v>
      </c>
      <c r="N60" s="202">
        <f t="shared" si="20"/>
        <v>17023731.069999978</v>
      </c>
      <c r="O60" s="202">
        <f t="shared" si="20"/>
        <v>-41921342.480000019</v>
      </c>
      <c r="P60" s="202">
        <f t="shared" si="20"/>
        <v>-40756688.289999954</v>
      </c>
      <c r="Q60" s="202">
        <f t="shared" si="20"/>
        <v>0</v>
      </c>
      <c r="R60" s="202">
        <f t="shared" si="20"/>
        <v>0</v>
      </c>
      <c r="S60" s="532">
        <f t="shared" si="20"/>
        <v>-877206537.53000033</v>
      </c>
      <c r="T60" s="535">
        <f t="shared" si="5"/>
        <v>-10.796786804805105</v>
      </c>
    </row>
    <row r="61" spans="1:21" ht="13.5" thickBot="1">
      <c r="A61" s="129">
        <v>1003</v>
      </c>
      <c r="B61" s="587" t="str">
        <f>+VLOOKUP($A61,Master!$D$30:$G$226,4,FALSE)</f>
        <v>Finansiranje</v>
      </c>
      <c r="C61" s="588"/>
      <c r="D61" s="588"/>
      <c r="E61" s="588"/>
      <c r="F61" s="588"/>
      <c r="G61" s="136">
        <f>+SUM(G62:G66)</f>
        <v>32260478.679999977</v>
      </c>
      <c r="H61" s="136">
        <f t="shared" ref="H61:L61" si="21">+SUM(H62:H66)</f>
        <v>44165359.800000012</v>
      </c>
      <c r="I61" s="136">
        <f t="shared" si="21"/>
        <v>71489767.730000064</v>
      </c>
      <c r="J61" s="136">
        <f t="shared" si="21"/>
        <v>475534898.73000014</v>
      </c>
      <c r="K61" s="136">
        <f t="shared" si="21"/>
        <v>86656018.650000006</v>
      </c>
      <c r="L61" s="136">
        <f t="shared" si="21"/>
        <v>80779839.670000046</v>
      </c>
      <c r="M61" s="136">
        <f t="shared" ref="M61:R61" si="22">+SUM(M62:M66)</f>
        <v>20665874.569999985</v>
      </c>
      <c r="N61" s="136">
        <f t="shared" si="22"/>
        <v>-17023731.069999978</v>
      </c>
      <c r="O61" s="136">
        <f t="shared" si="22"/>
        <v>41921342.480000019</v>
      </c>
      <c r="P61" s="136">
        <f t="shared" si="22"/>
        <v>40756688.289999954</v>
      </c>
      <c r="Q61" s="136">
        <f t="shared" si="22"/>
        <v>0</v>
      </c>
      <c r="R61" s="136">
        <f t="shared" si="22"/>
        <v>0</v>
      </c>
      <c r="S61" s="536">
        <f t="shared" si="6"/>
        <v>877206537.53000021</v>
      </c>
      <c r="T61" s="537">
        <f t="shared" si="5"/>
        <v>10.796786804805103</v>
      </c>
    </row>
    <row r="62" spans="1:21">
      <c r="A62" s="129">
        <v>7511</v>
      </c>
      <c r="B62" s="581" t="str">
        <f>+VLOOKUP($A62,Master!$D$30:$G$226,4,FALSE)</f>
        <v>Pozajmice i krediti od domaćih izvora</v>
      </c>
      <c r="C62" s="582"/>
      <c r="D62" s="582"/>
      <c r="E62" s="582"/>
      <c r="F62" s="582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6127675</v>
      </c>
      <c r="M62" s="555">
        <v>0</v>
      </c>
      <c r="N62" s="554">
        <v>0</v>
      </c>
      <c r="O62" s="554">
        <v>0</v>
      </c>
      <c r="P62" s="554">
        <v>0</v>
      </c>
      <c r="Q62" s="554"/>
      <c r="R62" s="196"/>
      <c r="S62" s="235">
        <f t="shared" si="6"/>
        <v>6127675</v>
      </c>
      <c r="T62" s="444">
        <f t="shared" si="5"/>
        <v>7.5420323211933982E-2</v>
      </c>
    </row>
    <row r="63" spans="1:21">
      <c r="A63" s="129">
        <v>7512</v>
      </c>
      <c r="B63" s="565" t="str">
        <f>+VLOOKUP($A63,Master!$D$30:$G$226,4,FALSE)</f>
        <v>Pozajmice i krediti od inostranih izvora</v>
      </c>
      <c r="C63" s="566"/>
      <c r="D63" s="566"/>
      <c r="E63" s="566"/>
      <c r="F63" s="566"/>
      <c r="G63" s="554">
        <v>1824723.8699999999</v>
      </c>
      <c r="H63" s="554">
        <v>12400327.83</v>
      </c>
      <c r="I63" s="554">
        <v>3541669.7800000003</v>
      </c>
      <c r="J63" s="554">
        <v>875107403.84000003</v>
      </c>
      <c r="K63" s="554">
        <v>13247476.579999998</v>
      </c>
      <c r="L63" s="554">
        <v>17223432.43</v>
      </c>
      <c r="M63" s="555">
        <v>2262202.15</v>
      </c>
      <c r="N63" s="554">
        <v>5098569.58</v>
      </c>
      <c r="O63" s="554">
        <v>11385734.539999999</v>
      </c>
      <c r="P63" s="554">
        <v>8878787.9399999995</v>
      </c>
      <c r="Q63" s="554"/>
      <c r="R63" s="196"/>
      <c r="S63" s="235">
        <f t="shared" si="6"/>
        <v>950970328.54000008</v>
      </c>
      <c r="T63" s="444">
        <f t="shared" si="5"/>
        <v>11.704682370302905</v>
      </c>
    </row>
    <row r="64" spans="1:21">
      <c r="A64" s="129">
        <v>72</v>
      </c>
      <c r="B64" s="565" t="str">
        <f>+VLOOKUP($A64,Master!$D$30:$G$226,4,FALSE)</f>
        <v>Primici od prodaje imovine</v>
      </c>
      <c r="C64" s="566"/>
      <c r="D64" s="566"/>
      <c r="E64" s="566"/>
      <c r="F64" s="566"/>
      <c r="G64" s="554">
        <v>106186.26999999999</v>
      </c>
      <c r="H64" s="554">
        <v>433611.13</v>
      </c>
      <c r="I64" s="554">
        <v>56765.9</v>
      </c>
      <c r="J64" s="554">
        <v>120196.97999999998</v>
      </c>
      <c r="K64" s="554">
        <v>111116.87999999996</v>
      </c>
      <c r="L64" s="554">
        <v>96396.750000000015</v>
      </c>
      <c r="M64" s="555">
        <v>164141.29999999999</v>
      </c>
      <c r="N64" s="554">
        <v>213815.58</v>
      </c>
      <c r="O64" s="554">
        <v>103884.06</v>
      </c>
      <c r="P64" s="554">
        <v>186399.44000000003</v>
      </c>
      <c r="Q64" s="554"/>
      <c r="R64" s="196"/>
      <c r="S64" s="235">
        <f t="shared" si="6"/>
        <v>1592514.29</v>
      </c>
      <c r="T64" s="444">
        <f t="shared" si="5"/>
        <v>1.9600899602446858E-2</v>
      </c>
    </row>
    <row r="65" spans="1:20">
      <c r="A65" s="129">
        <v>73</v>
      </c>
      <c r="B65" s="599" t="s">
        <v>101</v>
      </c>
      <c r="C65" s="600"/>
      <c r="D65" s="600"/>
      <c r="E65" s="600"/>
      <c r="F65" s="600"/>
      <c r="G65" s="160">
        <v>2934144.88</v>
      </c>
      <c r="H65" s="160">
        <v>678005.91</v>
      </c>
      <c r="I65" s="160">
        <v>623345.78999999992</v>
      </c>
      <c r="J65" s="160">
        <v>1934833.07</v>
      </c>
      <c r="K65" s="160">
        <v>920177.48</v>
      </c>
      <c r="L65" s="160">
        <v>2464204.52</v>
      </c>
      <c r="M65" s="160">
        <v>3116777.48</v>
      </c>
      <c r="N65" s="160">
        <v>1161441.7</v>
      </c>
      <c r="O65" s="160">
        <v>577156.09</v>
      </c>
      <c r="P65" s="160">
        <v>2238256.6500000004</v>
      </c>
      <c r="Q65" s="160"/>
      <c r="R65" s="160"/>
      <c r="S65" s="228">
        <f t="shared" si="6"/>
        <v>16648343.57</v>
      </c>
      <c r="T65" s="437">
        <f t="shared" si="5"/>
        <v>0.20491025600945265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27395423.659999978</v>
      </c>
      <c r="H66" s="210">
        <f t="shared" ref="H66:L66" si="23">-H60-SUM(H62:H65)</f>
        <v>30653414.930000011</v>
      </c>
      <c r="I66" s="210">
        <f t="shared" si="23"/>
        <v>67267986.260000065</v>
      </c>
      <c r="J66" s="210">
        <f t="shared" si="23"/>
        <v>-401627535.15999997</v>
      </c>
      <c r="K66" s="210">
        <f t="shared" si="23"/>
        <v>72377247.710000008</v>
      </c>
      <c r="L66" s="210">
        <f t="shared" si="23"/>
        <v>54868130.970000044</v>
      </c>
      <c r="M66" s="210">
        <f t="shared" ref="M66:S66" si="24">-M60-SUM(M62:M65)</f>
        <v>15122753.639999986</v>
      </c>
      <c r="N66" s="210">
        <f t="shared" si="24"/>
        <v>-23497557.929999977</v>
      </c>
      <c r="O66" s="210">
        <f t="shared" si="24"/>
        <v>29854567.790000021</v>
      </c>
      <c r="P66" s="210">
        <f t="shared" si="24"/>
        <v>29453244.259999953</v>
      </c>
      <c r="Q66" s="210">
        <f t="shared" si="24"/>
        <v>0</v>
      </c>
      <c r="R66" s="210">
        <f t="shared" si="24"/>
        <v>0</v>
      </c>
      <c r="S66" s="238">
        <f t="shared" si="24"/>
        <v>-98132323.869999766</v>
      </c>
      <c r="T66" s="448">
        <f t="shared" si="5"/>
        <v>-1.2078270443216335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2025-01p</v>
      </c>
      <c r="H82" s="59" t="str">
        <f t="shared" si="25"/>
        <v>2025-02p</v>
      </c>
      <c r="I82" s="59" t="str">
        <f t="shared" si="25"/>
        <v>2025-03p</v>
      </c>
      <c r="J82" s="59" t="str">
        <f t="shared" si="25"/>
        <v>2025-04p</v>
      </c>
      <c r="K82" s="59" t="str">
        <f t="shared" si="25"/>
        <v>2025-05p</v>
      </c>
      <c r="L82" s="59" t="str">
        <f t="shared" si="25"/>
        <v>2025-06p</v>
      </c>
      <c r="M82" s="59" t="str">
        <f t="shared" si="25"/>
        <v>2025-07p</v>
      </c>
      <c r="N82" s="59" t="str">
        <f t="shared" si="25"/>
        <v>2025-08p</v>
      </c>
      <c r="O82" s="59" t="str">
        <f t="shared" si="25"/>
        <v>2025-09p</v>
      </c>
      <c r="P82" s="59" t="str">
        <f t="shared" si="25"/>
        <v>2025-10p</v>
      </c>
      <c r="Q82" s="59" t="str">
        <f t="shared" si="25"/>
        <v>2025-11p</v>
      </c>
      <c r="R82" s="59" t="str">
        <f t="shared" si="25"/>
        <v>2025-12p</v>
      </c>
    </row>
    <row r="83" spans="1:25" ht="15.75" customHeight="1" thickBot="1">
      <c r="B83" s="636" t="str">
        <f>+Master!G253</f>
        <v>Plan ostvarenja budžeta</v>
      </c>
      <c r="C83" s="637"/>
      <c r="D83" s="637"/>
      <c r="E83" s="637"/>
      <c r="F83" s="637"/>
      <c r="G83" s="621">
        <v>2025</v>
      </c>
      <c r="H83" s="622"/>
      <c r="I83" s="622"/>
      <c r="J83" s="622"/>
      <c r="K83" s="622"/>
      <c r="L83" s="622"/>
      <c r="M83" s="622"/>
      <c r="N83" s="622"/>
      <c r="O83" s="622"/>
      <c r="P83" s="622"/>
      <c r="Q83" s="622"/>
      <c r="R83" s="623"/>
      <c r="S83" s="96" t="str">
        <f>+S7</f>
        <v>BDP</v>
      </c>
      <c r="T83" s="221">
        <f>+T7</f>
        <v>8124700000</v>
      </c>
    </row>
    <row r="84" spans="1:25" ht="15.75" customHeight="1">
      <c r="B84" s="638"/>
      <c r="C84" s="639"/>
      <c r="D84" s="639"/>
      <c r="E84" s="639"/>
      <c r="F84" s="640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21" t="str">
        <f>+Master!G247</f>
        <v>Jan - Dec</v>
      </c>
      <c r="T84" s="623">
        <f>+T8</f>
        <v>0</v>
      </c>
    </row>
    <row r="85" spans="1:25" ht="13.5" thickBot="1">
      <c r="B85" s="641"/>
      <c r="C85" s="642"/>
      <c r="D85" s="642"/>
      <c r="E85" s="642"/>
      <c r="F85" s="643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30" t="str">
        <f>+VLOOKUP(LEFT($A86,LEN(A86)-1)*1,Master!$D$30:$G$226,4,FALSE)</f>
        <v>Prihodi budžeta</v>
      </c>
      <c r="C86" s="631"/>
      <c r="D86" s="631"/>
      <c r="E86" s="631"/>
      <c r="F86" s="631"/>
      <c r="G86" s="504">
        <v>156165361.56999996</v>
      </c>
      <c r="H86" s="504">
        <v>186465774.61270151</v>
      </c>
      <c r="I86" s="504">
        <v>250781153.76077548</v>
      </c>
      <c r="J86" s="504">
        <v>317134934.20958984</v>
      </c>
      <c r="K86" s="504">
        <v>208696974.08136445</v>
      </c>
      <c r="L86" s="504">
        <v>240317685.16175744</v>
      </c>
      <c r="M86" s="504">
        <v>244303914.76144812</v>
      </c>
      <c r="N86" s="504">
        <v>262837561.07319617</v>
      </c>
      <c r="O86" s="504">
        <v>253424978.7566644</v>
      </c>
      <c r="P86" s="504">
        <v>262167779.34604847</v>
      </c>
      <c r="Q86" s="504">
        <v>240706635.16073</v>
      </c>
      <c r="R86" s="504">
        <v>263070247.5857037</v>
      </c>
      <c r="S86" s="538">
        <f>+SUM(G86:R86)</f>
        <v>2886073000.0799794</v>
      </c>
      <c r="T86" s="539">
        <f>+S86/$T$83*100</f>
        <v>35.522210051817041</v>
      </c>
      <c r="U86" s="276"/>
    </row>
    <row r="87" spans="1:25">
      <c r="A87" s="105" t="str">
        <f t="shared" si="27"/>
        <v>711p</v>
      </c>
      <c r="B87" s="632" t="str">
        <f>+VLOOKUP(LEFT($A87,LEN(A87)-1)*1,Master!$D$30:$G$226,4,FALSE)</f>
        <v>Porezi</v>
      </c>
      <c r="C87" s="633"/>
      <c r="D87" s="633"/>
      <c r="E87" s="633"/>
      <c r="F87" s="633"/>
      <c r="G87" s="540">
        <v>132702629.50999999</v>
      </c>
      <c r="H87" s="540">
        <v>136856183.48622844</v>
      </c>
      <c r="I87" s="540">
        <v>201920347.83324856</v>
      </c>
      <c r="J87" s="540">
        <v>247314832.20223621</v>
      </c>
      <c r="K87" s="540">
        <v>158762845.03563526</v>
      </c>
      <c r="L87" s="540">
        <v>187364739.47822165</v>
      </c>
      <c r="M87" s="540">
        <v>189417204.71386531</v>
      </c>
      <c r="N87" s="540">
        <v>203488085.79363543</v>
      </c>
      <c r="O87" s="540">
        <v>197774192.28095666</v>
      </c>
      <c r="P87" s="540">
        <v>184622585.63486344</v>
      </c>
      <c r="Q87" s="540">
        <v>164727688.03347</v>
      </c>
      <c r="R87" s="541">
        <v>178627675.42838222</v>
      </c>
      <c r="S87" s="542">
        <f t="shared" ref="S87:S141" si="28">+SUM(G87:R87)</f>
        <v>2183579009.4307432</v>
      </c>
      <c r="T87" s="519">
        <f t="shared" ref="T87:T142" si="29">+S87/$T$83*100</f>
        <v>26.875810915242944</v>
      </c>
      <c r="U87" s="276"/>
    </row>
    <row r="88" spans="1:25">
      <c r="A88" s="105" t="str">
        <f t="shared" si="27"/>
        <v>7111p</v>
      </c>
      <c r="B88" s="634" t="str">
        <f>+VLOOKUP(LEFT($A88,LEN(A88)-1)*1,Master!$D$30:$G$229,4,FALSE)</f>
        <v>Porez na dohodak fizičkih lica</v>
      </c>
      <c r="C88" s="635"/>
      <c r="D88" s="635"/>
      <c r="E88" s="635"/>
      <c r="F88" s="635"/>
      <c r="G88" s="77">
        <v>3030555.43</v>
      </c>
      <c r="H88" s="77">
        <v>8130802.197536774</v>
      </c>
      <c r="I88" s="77">
        <v>8923400.7130561098</v>
      </c>
      <c r="J88" s="77">
        <v>10055739.886730701</v>
      </c>
      <c r="K88" s="77">
        <v>8682295.211686179</v>
      </c>
      <c r="L88" s="77">
        <v>8631219.9475545604</v>
      </c>
      <c r="M88" s="77">
        <v>8191795.9500511903</v>
      </c>
      <c r="N88" s="77">
        <v>9611353.9295238107</v>
      </c>
      <c r="O88" s="77">
        <v>9089054.5196827389</v>
      </c>
      <c r="P88" s="77">
        <v>9766273.4549816232</v>
      </c>
      <c r="Q88" s="77">
        <v>9540892.3657547906</v>
      </c>
      <c r="R88" s="77">
        <v>14670110.187131014</v>
      </c>
      <c r="S88" s="101">
        <f t="shared" si="28"/>
        <v>108323493.79368949</v>
      </c>
      <c r="T88" s="436">
        <f t="shared" si="29"/>
        <v>1.3332614594223724</v>
      </c>
      <c r="U88" s="276"/>
    </row>
    <row r="89" spans="1:25">
      <c r="A89" s="105" t="str">
        <f t="shared" si="27"/>
        <v>7112p</v>
      </c>
      <c r="B89" s="634" t="str">
        <f>+VLOOKUP(LEFT($A89,LEN(A89)-1)*1,Master!$D$30:$G$229,4,FALSE)</f>
        <v>Porez na dobit pravnih lica</v>
      </c>
      <c r="C89" s="635"/>
      <c r="D89" s="635"/>
      <c r="E89" s="635"/>
      <c r="F89" s="635"/>
      <c r="G89" s="77">
        <v>4758743.22</v>
      </c>
      <c r="H89" s="77">
        <v>4914823.2626296896</v>
      </c>
      <c r="I89" s="77">
        <v>72553471.511286497</v>
      </c>
      <c r="J89" s="77">
        <v>106836454.2244426</v>
      </c>
      <c r="K89" s="77">
        <v>3872785.1409548498</v>
      </c>
      <c r="L89" s="77">
        <v>5448872.5777699081</v>
      </c>
      <c r="M89" s="77">
        <v>3374680.5796844289</v>
      </c>
      <c r="N89" s="77">
        <v>3232098.1048411233</v>
      </c>
      <c r="O89" s="77">
        <v>3724755.3693248676</v>
      </c>
      <c r="P89" s="77">
        <v>2722374.4844172499</v>
      </c>
      <c r="Q89" s="77">
        <v>3855532.0109211099</v>
      </c>
      <c r="R89" s="77">
        <v>4568258.7547133695</v>
      </c>
      <c r="S89" s="101">
        <f t="shared" si="28"/>
        <v>219862849.24098569</v>
      </c>
      <c r="T89" s="436">
        <f t="shared" si="29"/>
        <v>2.7061042160447237</v>
      </c>
      <c r="U89" s="276"/>
    </row>
    <row r="90" spans="1:25">
      <c r="A90" s="105" t="str">
        <f t="shared" si="27"/>
        <v>7113p</v>
      </c>
      <c r="B90" s="634" t="str">
        <f>+VLOOKUP(LEFT($A90,LEN(A90)-1)*1,Master!$D$30:$G$229,4,FALSE)</f>
        <v>Porez na promet nepokretnosti</v>
      </c>
      <c r="C90" s="635"/>
      <c r="D90" s="635"/>
      <c r="E90" s="635"/>
      <c r="F90" s="635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  <c r="U90" s="276"/>
    </row>
    <row r="91" spans="1:25">
      <c r="A91" s="105" t="str">
        <f t="shared" si="27"/>
        <v>7114p</v>
      </c>
      <c r="B91" s="634" t="str">
        <f>+VLOOKUP(LEFT($A91,LEN(A91)-1)*1,Master!$D$30:$G$229,4,FALSE)</f>
        <v>Porez na dodatu vrijednost</v>
      </c>
      <c r="C91" s="635"/>
      <c r="D91" s="635"/>
      <c r="E91" s="635"/>
      <c r="F91" s="635"/>
      <c r="G91" s="77">
        <v>96606704.819999993</v>
      </c>
      <c r="H91" s="77">
        <v>94686429.308249339</v>
      </c>
      <c r="I91" s="77">
        <v>90983845.65021646</v>
      </c>
      <c r="J91" s="77">
        <v>95799152.256747037</v>
      </c>
      <c r="K91" s="77">
        <v>107408755.74085391</v>
      </c>
      <c r="L91" s="77">
        <v>126280000.17691053</v>
      </c>
      <c r="M91" s="77">
        <v>128361539.072551</v>
      </c>
      <c r="N91" s="77">
        <v>136238759.85345101</v>
      </c>
      <c r="O91" s="77">
        <v>134912099.00068101</v>
      </c>
      <c r="P91" s="77">
        <v>125537123.651255</v>
      </c>
      <c r="Q91" s="77">
        <v>115227526.402597</v>
      </c>
      <c r="R91" s="77">
        <v>120551064.06232101</v>
      </c>
      <c r="S91" s="101">
        <f t="shared" si="28"/>
        <v>1372592999.9958332</v>
      </c>
      <c r="T91" s="436">
        <f t="shared" si="29"/>
        <v>16.894076088911998</v>
      </c>
      <c r="U91" s="276"/>
    </row>
    <row r="92" spans="1:25">
      <c r="A92" s="105" t="str">
        <f t="shared" si="27"/>
        <v>7115p</v>
      </c>
      <c r="B92" s="634" t="str">
        <f>+VLOOKUP(LEFT($A92,LEN(A92)-1)*1,Master!$D$30:$G$229,4,FALSE)</f>
        <v>Akcize</v>
      </c>
      <c r="C92" s="635"/>
      <c r="D92" s="635"/>
      <c r="E92" s="635"/>
      <c r="F92" s="635"/>
      <c r="G92" s="77">
        <v>23651764.850000001</v>
      </c>
      <c r="H92" s="77">
        <v>24000000</v>
      </c>
      <c r="I92" s="77">
        <v>23000000</v>
      </c>
      <c r="J92" s="77">
        <v>28000000</v>
      </c>
      <c r="K92" s="77">
        <v>32000000</v>
      </c>
      <c r="L92" s="77">
        <v>40000000</v>
      </c>
      <c r="M92" s="77">
        <v>42000000</v>
      </c>
      <c r="N92" s="77">
        <v>47000000</v>
      </c>
      <c r="O92" s="77">
        <v>43000000</v>
      </c>
      <c r="P92" s="77">
        <v>40000000</v>
      </c>
      <c r="Q92" s="77">
        <v>29000000</v>
      </c>
      <c r="R92" s="77">
        <v>31848235.149999999</v>
      </c>
      <c r="S92" s="101">
        <f t="shared" si="28"/>
        <v>403500000</v>
      </c>
      <c r="T92" s="436">
        <f t="shared" si="29"/>
        <v>4.9663372186049948</v>
      </c>
      <c r="U92" s="276"/>
      <c r="W92" s="242"/>
      <c r="X92" s="242"/>
      <c r="Y92" s="242"/>
    </row>
    <row r="93" spans="1:25">
      <c r="A93" s="105" t="str">
        <f t="shared" si="27"/>
        <v>7116p</v>
      </c>
      <c r="B93" s="634" t="str">
        <f>+VLOOKUP(LEFT($A93,LEN(A93)-1)*1,Master!$D$30:$G$229,4,FALSE)</f>
        <v>Porez na međunarodnu trgovinu i transakcije</v>
      </c>
      <c r="C93" s="635"/>
      <c r="D93" s="635"/>
      <c r="E93" s="635"/>
      <c r="F93" s="635"/>
      <c r="G93" s="77">
        <v>3527264.2</v>
      </c>
      <c r="H93" s="77">
        <v>3959801.9366202727</v>
      </c>
      <c r="I93" s="77">
        <v>5206630.3006149847</v>
      </c>
      <c r="J93" s="77">
        <v>5016507.9766131351</v>
      </c>
      <c r="K93" s="77">
        <v>5327778.408901887</v>
      </c>
      <c r="L93" s="77">
        <v>5791471.9092387911</v>
      </c>
      <c r="M93" s="77">
        <v>6106528.2444638051</v>
      </c>
      <c r="N93" s="77">
        <v>6198763.4373714123</v>
      </c>
      <c r="O93" s="77">
        <v>5739734.4372862242</v>
      </c>
      <c r="P93" s="77">
        <v>5367439.8597435215</v>
      </c>
      <c r="Q93" s="77">
        <v>5883786.0595919928</v>
      </c>
      <c r="R93" s="77">
        <v>5867281.8477213243</v>
      </c>
      <c r="S93" s="101">
        <f t="shared" si="28"/>
        <v>63992988.618167341</v>
      </c>
      <c r="T93" s="436">
        <f t="shared" si="29"/>
        <v>0.78763509567328449</v>
      </c>
      <c r="U93" s="276"/>
    </row>
    <row r="94" spans="1:25">
      <c r="A94" s="105" t="str">
        <f t="shared" si="27"/>
        <v>7118p</v>
      </c>
      <c r="B94" s="634" t="str">
        <f>+VLOOKUP(LEFT($A94,LEN(A94)-1)*1,Master!$D$30:$G$229,4,FALSE)</f>
        <v>Ostali državni porezi</v>
      </c>
      <c r="C94" s="635"/>
      <c r="D94" s="635"/>
      <c r="E94" s="635"/>
      <c r="F94" s="635"/>
      <c r="G94" s="77">
        <v>1127596.99</v>
      </c>
      <c r="H94" s="77">
        <v>1164326.7811923751</v>
      </c>
      <c r="I94" s="77">
        <v>1252999.6580744842</v>
      </c>
      <c r="J94" s="77">
        <v>1606977.8577023186</v>
      </c>
      <c r="K94" s="77">
        <v>1471230.53323842</v>
      </c>
      <c r="L94" s="77">
        <v>1213174.8667478566</v>
      </c>
      <c r="M94" s="77">
        <v>1382660.8671149078</v>
      </c>
      <c r="N94" s="77">
        <v>1207110.468448082</v>
      </c>
      <c r="O94" s="77">
        <v>1308548.9539818142</v>
      </c>
      <c r="P94" s="77">
        <v>1229374.1844660435</v>
      </c>
      <c r="Q94" s="77">
        <v>1219951.1946050979</v>
      </c>
      <c r="R94" s="77">
        <v>1122725.4264954794</v>
      </c>
      <c r="S94" s="101">
        <f t="shared" si="28"/>
        <v>15306677.782066878</v>
      </c>
      <c r="T94" s="436">
        <f t="shared" si="29"/>
        <v>0.18839683658555859</v>
      </c>
      <c r="U94" s="276"/>
    </row>
    <row r="95" spans="1:25">
      <c r="A95" s="105" t="str">
        <f t="shared" si="27"/>
        <v>712p</v>
      </c>
      <c r="B95" s="644" t="str">
        <f>+VLOOKUP(LEFT($A95,LEN(A95)-1)*1,Master!$D$30:$G$229,4,FALSE)</f>
        <v>Doprinosi</v>
      </c>
      <c r="C95" s="645"/>
      <c r="D95" s="645"/>
      <c r="E95" s="645"/>
      <c r="F95" s="645"/>
      <c r="G95" s="543">
        <v>16612975.690000001</v>
      </c>
      <c r="H95" s="543">
        <v>37852524.42184677</v>
      </c>
      <c r="I95" s="544">
        <v>37594151.372717343</v>
      </c>
      <c r="J95" s="543">
        <v>36350588.706063576</v>
      </c>
      <c r="K95" s="543">
        <v>36620384.10097748</v>
      </c>
      <c r="L95" s="543">
        <v>37745306.491635233</v>
      </c>
      <c r="M95" s="543">
        <v>38491145.098489322</v>
      </c>
      <c r="N95" s="543">
        <v>37029246.606001906</v>
      </c>
      <c r="O95" s="543">
        <v>34518386.848863028</v>
      </c>
      <c r="P95" s="543">
        <v>34451717.199254267</v>
      </c>
      <c r="Q95" s="543">
        <v>34831552.405104607</v>
      </c>
      <c r="R95" s="545">
        <v>66953342.92623014</v>
      </c>
      <c r="S95" s="546">
        <f t="shared" si="28"/>
        <v>449051321.86718363</v>
      </c>
      <c r="T95" s="522">
        <f t="shared" si="29"/>
        <v>5.5269895733649692</v>
      </c>
      <c r="U95" s="276"/>
    </row>
    <row r="96" spans="1:25">
      <c r="A96" s="105" t="str">
        <f t="shared" si="27"/>
        <v>7121p</v>
      </c>
      <c r="B96" s="634" t="str">
        <f>+VLOOKUP(LEFT($A96,LEN(A96)-1)*1,Master!$D$30:$G$229,4,FALSE)</f>
        <v>Doprinosi za penzijsko i invalidsko osiguranje</v>
      </c>
      <c r="C96" s="635"/>
      <c r="D96" s="635"/>
      <c r="E96" s="635"/>
      <c r="F96" s="635"/>
      <c r="G96" s="77">
        <v>14262452.49</v>
      </c>
      <c r="H96" s="77">
        <v>33693463.497614197</v>
      </c>
      <c r="I96" s="77">
        <v>33632306.939369902</v>
      </c>
      <c r="J96" s="77">
        <v>32550005.135860398</v>
      </c>
      <c r="K96" s="77">
        <v>32911672.021327198</v>
      </c>
      <c r="L96" s="77">
        <v>33551536.6065332</v>
      </c>
      <c r="M96" s="77">
        <v>34400667.245599404</v>
      </c>
      <c r="N96" s="77">
        <v>32533685.049054399</v>
      </c>
      <c r="O96" s="77">
        <v>30697939.923086599</v>
      </c>
      <c r="P96" s="77">
        <v>30021604.530378401</v>
      </c>
      <c r="Q96" s="77">
        <v>30769763.73510927</v>
      </c>
      <c r="R96" s="77">
        <v>58313830.16746816</v>
      </c>
      <c r="S96" s="101">
        <f t="shared" si="28"/>
        <v>397338927.3414011</v>
      </c>
      <c r="T96" s="436">
        <f t="shared" si="29"/>
        <v>4.8905058321095067</v>
      </c>
      <c r="U96" s="276"/>
      <c r="V96" s="292"/>
    </row>
    <row r="97" spans="1:22">
      <c r="A97" s="105" t="str">
        <f t="shared" si="27"/>
        <v>7122p</v>
      </c>
      <c r="B97" s="634" t="str">
        <f>+VLOOKUP(LEFT($A97,LEN(A97)-1)*1,Master!$D$30:$G$229,4,FALSE)</f>
        <v>Doprinosi za zdravstveno osiguranje</v>
      </c>
      <c r="C97" s="635"/>
      <c r="D97" s="635"/>
      <c r="E97" s="635"/>
      <c r="F97" s="635"/>
      <c r="G97" s="77">
        <v>314658.88</v>
      </c>
      <c r="H97" s="77">
        <v>500023.86869410798</v>
      </c>
      <c r="I97" s="77">
        <v>500023.86869410798</v>
      </c>
      <c r="J97" s="77">
        <v>500023.86869410798</v>
      </c>
      <c r="K97" s="77">
        <v>585102.43738821615</v>
      </c>
      <c r="L97" s="77">
        <v>500023.86869410798</v>
      </c>
      <c r="M97" s="77">
        <v>500023.86869410798</v>
      </c>
      <c r="N97" s="77">
        <v>500023.86869410798</v>
      </c>
      <c r="O97" s="77">
        <v>500023.86869410798</v>
      </c>
      <c r="P97" s="77">
        <v>500023.86869410798</v>
      </c>
      <c r="Q97" s="77">
        <v>500023.86869410798</v>
      </c>
      <c r="R97" s="77">
        <v>600023.86869410798</v>
      </c>
      <c r="S97" s="101">
        <f t="shared" si="28"/>
        <v>6000000.0043292958</v>
      </c>
      <c r="T97" s="436">
        <f t="shared" si="29"/>
        <v>7.3848880627337563E-2</v>
      </c>
      <c r="U97" s="276"/>
    </row>
    <row r="98" spans="1:22">
      <c r="A98" s="105" t="str">
        <f t="shared" si="27"/>
        <v>7123p</v>
      </c>
      <c r="B98" s="634" t="str">
        <f>+VLOOKUP(LEFT($A98,LEN(A98)-1)*1,Master!$D$30:$G$229,4,FALSE)</f>
        <v>Doprinosi za osiguranje od nezaposlenosti</v>
      </c>
      <c r="C98" s="635"/>
      <c r="D98" s="635"/>
      <c r="E98" s="635"/>
      <c r="F98" s="635"/>
      <c r="G98" s="77">
        <v>1216722.56</v>
      </c>
      <c r="H98" s="77">
        <v>1942795.8693115544</v>
      </c>
      <c r="I98" s="77">
        <v>1806831.7959047167</v>
      </c>
      <c r="J98" s="77">
        <v>1856869.21673124</v>
      </c>
      <c r="K98" s="77">
        <v>1646859.62373312</v>
      </c>
      <c r="L98" s="77">
        <v>2083724.3671199933</v>
      </c>
      <c r="M98" s="77">
        <v>1921208.7370643199</v>
      </c>
      <c r="N98" s="77">
        <v>2372970.9052161444</v>
      </c>
      <c r="O98" s="77">
        <v>2112789.1518694106</v>
      </c>
      <c r="P98" s="77">
        <v>2212922.8121625958</v>
      </c>
      <c r="Q98" s="77">
        <v>2098566.5890894895</v>
      </c>
      <c r="R98" s="77">
        <v>4727738.3755188603</v>
      </c>
      <c r="S98" s="101">
        <f t="shared" si="28"/>
        <v>26000000.003721446</v>
      </c>
      <c r="T98" s="436">
        <f t="shared" si="29"/>
        <v>0.32001181586669591</v>
      </c>
      <c r="U98" s="276"/>
    </row>
    <row r="99" spans="1:22">
      <c r="A99" s="105" t="str">
        <f t="shared" si="27"/>
        <v>7124p</v>
      </c>
      <c r="B99" s="634" t="str">
        <f>+VLOOKUP(LEFT($A99,LEN(A99)-1)*1,Master!$D$30:$G$229,4,FALSE)</f>
        <v>Ostali doprinosi</v>
      </c>
      <c r="C99" s="635"/>
      <c r="D99" s="635"/>
      <c r="E99" s="635"/>
      <c r="F99" s="635"/>
      <c r="G99" s="77">
        <v>819141.76</v>
      </c>
      <c r="H99" s="77">
        <v>1716241.1862269118</v>
      </c>
      <c r="I99" s="77">
        <v>1654988.7687486098</v>
      </c>
      <c r="J99" s="77">
        <v>1443690.4847778305</v>
      </c>
      <c r="K99" s="77">
        <v>1476750.0185289488</v>
      </c>
      <c r="L99" s="77">
        <v>1610021.64928793</v>
      </c>
      <c r="M99" s="77">
        <v>1669245.2471314899</v>
      </c>
      <c r="N99" s="77">
        <v>1622566.7830372499</v>
      </c>
      <c r="O99" s="77">
        <v>1207633.9052129099</v>
      </c>
      <c r="P99" s="77">
        <v>1717165.9880191621</v>
      </c>
      <c r="Q99" s="77">
        <v>1463198.21221174</v>
      </c>
      <c r="R99" s="77">
        <v>3311750.51454901</v>
      </c>
      <c r="S99" s="101">
        <f t="shared" si="28"/>
        <v>19712394.517731793</v>
      </c>
      <c r="T99" s="436">
        <f t="shared" si="29"/>
        <v>0.24262304476142865</v>
      </c>
      <c r="U99" s="276"/>
    </row>
    <row r="100" spans="1:22">
      <c r="A100" s="105" t="str">
        <f t="shared" si="27"/>
        <v>713p</v>
      </c>
      <c r="B100" s="644" t="str">
        <f>+VLOOKUP(LEFT($A100,LEN(A100)-1)*1,Master!$D$30:$G$229,4,FALSE)</f>
        <v>Takse</v>
      </c>
      <c r="C100" s="645"/>
      <c r="D100" s="645"/>
      <c r="E100" s="645"/>
      <c r="F100" s="645"/>
      <c r="G100" s="510">
        <v>856323.95</v>
      </c>
      <c r="H100" s="510">
        <v>1153807.8904724922</v>
      </c>
      <c r="I100" s="510">
        <v>1218734.5012239015</v>
      </c>
      <c r="J100" s="510">
        <v>1399310.6778442736</v>
      </c>
      <c r="K100" s="510">
        <v>1175790.5158724259</v>
      </c>
      <c r="L100" s="510">
        <v>1413926.2298446554</v>
      </c>
      <c r="M100" s="510">
        <v>2048665.888410368</v>
      </c>
      <c r="N100" s="510">
        <v>2261701.9443485551</v>
      </c>
      <c r="O100" s="510">
        <v>1898315.1704538476</v>
      </c>
      <c r="P100" s="510">
        <v>1445137.6649783505</v>
      </c>
      <c r="Q100" s="510">
        <v>1242868.4327648836</v>
      </c>
      <c r="R100" s="510">
        <v>1675386.1561825529</v>
      </c>
      <c r="S100" s="546">
        <f t="shared" si="28"/>
        <v>17789969.022396307</v>
      </c>
      <c r="T100" s="522">
        <f t="shared" si="29"/>
        <v>0.21896154962517148</v>
      </c>
      <c r="U100" s="276"/>
    </row>
    <row r="101" spans="1:22">
      <c r="A101" s="105" t="str">
        <f t="shared" si="27"/>
        <v>714p</v>
      </c>
      <c r="B101" s="644" t="str">
        <f>+VLOOKUP(LEFT($A101,LEN(A101)-1)*1,Master!$D$30:$G$229,4,FALSE)</f>
        <v>Naknade</v>
      </c>
      <c r="C101" s="645"/>
      <c r="D101" s="645"/>
      <c r="E101" s="645"/>
      <c r="F101" s="645"/>
      <c r="G101" s="510">
        <v>4273770.1400000006</v>
      </c>
      <c r="H101" s="510">
        <v>5219057.8914465308</v>
      </c>
      <c r="I101" s="510">
        <v>5747442.1481512357</v>
      </c>
      <c r="J101" s="510">
        <v>5467405.0671003535</v>
      </c>
      <c r="K101" s="510">
        <v>5526576.2795401867</v>
      </c>
      <c r="L101" s="510">
        <v>6855033.0871420931</v>
      </c>
      <c r="M101" s="510">
        <v>7217262.9527941998</v>
      </c>
      <c r="N101" s="510">
        <v>7038788.2697913963</v>
      </c>
      <c r="O101" s="510">
        <v>7556507.1075738491</v>
      </c>
      <c r="P101" s="510">
        <v>6100843.3902709605</v>
      </c>
      <c r="Q101" s="510">
        <v>6257172.119905103</v>
      </c>
      <c r="R101" s="510">
        <v>6923249.0767233642</v>
      </c>
      <c r="S101" s="546">
        <f t="shared" si="28"/>
        <v>74183107.530439287</v>
      </c>
      <c r="T101" s="522">
        <f t="shared" si="29"/>
        <v>0.91305657477124424</v>
      </c>
      <c r="U101" s="276"/>
    </row>
    <row r="102" spans="1:22">
      <c r="A102" s="105" t="str">
        <f t="shared" si="27"/>
        <v>715p</v>
      </c>
      <c r="B102" s="644" t="str">
        <f>+VLOOKUP(LEFT($A102,LEN(A102)-1)*1,Master!$D$30:$G$229,4,FALSE)</f>
        <v>Ostali prihodi</v>
      </c>
      <c r="C102" s="645"/>
      <c r="D102" s="645"/>
      <c r="E102" s="645"/>
      <c r="F102" s="645"/>
      <c r="G102" s="510">
        <v>1719662.2799999998</v>
      </c>
      <c r="H102" s="510">
        <v>2384200.9227072466</v>
      </c>
      <c r="I102" s="510">
        <v>2300477.9054344208</v>
      </c>
      <c r="J102" s="510">
        <v>2449088.158567714</v>
      </c>
      <c r="K102" s="510">
        <v>2957668.7515613534</v>
      </c>
      <c r="L102" s="510">
        <v>2784970.4771360368</v>
      </c>
      <c r="M102" s="510">
        <v>3425926.7101111747</v>
      </c>
      <c r="N102" s="510">
        <v>8616029.0616411306</v>
      </c>
      <c r="O102" s="510">
        <v>7023867.9510392584</v>
      </c>
      <c r="P102" s="510">
        <v>7393786.0589036718</v>
      </c>
      <c r="Q102" s="510">
        <v>5493644.7717075925</v>
      </c>
      <c r="R102" s="510">
        <v>5720269.1804076433</v>
      </c>
      <c r="S102" s="546">
        <f t="shared" si="28"/>
        <v>52269592.229217246</v>
      </c>
      <c r="T102" s="522">
        <f t="shared" si="29"/>
        <v>0.64334181236497645</v>
      </c>
      <c r="U102" s="276"/>
    </row>
    <row r="103" spans="1:22">
      <c r="A103" s="105" t="str">
        <f t="shared" si="27"/>
        <v>73p</v>
      </c>
      <c r="B103" s="644" t="str">
        <f>+VLOOKUP(LEFT($A103,LEN(A103)-1)*1,Master!$D$30:$G$229,4,FALSE)</f>
        <v>Primici od otplate kredita i sredstva prenesena iz prethodne godine</v>
      </c>
      <c r="C103" s="645"/>
      <c r="D103" s="645"/>
      <c r="E103" s="645"/>
      <c r="F103" s="645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U103" s="276"/>
      <c r="V103" s="292"/>
    </row>
    <row r="104" spans="1:22" ht="13.5" thickBot="1">
      <c r="A104" s="105" t="str">
        <f t="shared" si="27"/>
        <v>74p</v>
      </c>
      <c r="B104" s="646" t="str">
        <f>+VLOOKUP(LEFT($A104,LEN(A104)-1)*1,Master!$D$30:$G$229,4,FALSE)</f>
        <v>Donacije i transferi</v>
      </c>
      <c r="C104" s="647"/>
      <c r="D104" s="647"/>
      <c r="E104" s="647"/>
      <c r="F104" s="647"/>
      <c r="G104" s="510">
        <v>0</v>
      </c>
      <c r="H104" s="510">
        <v>3000000</v>
      </c>
      <c r="I104" s="510">
        <v>2000000</v>
      </c>
      <c r="J104" s="510">
        <v>24153709.397777699</v>
      </c>
      <c r="K104" s="510">
        <v>3653709.39777778</v>
      </c>
      <c r="L104" s="510">
        <v>4153709.39777778</v>
      </c>
      <c r="M104" s="510">
        <v>3703709.39777778</v>
      </c>
      <c r="N104" s="510">
        <v>4403709.39777778</v>
      </c>
      <c r="O104" s="510">
        <v>4653709.39777778</v>
      </c>
      <c r="P104" s="510">
        <v>28153709.397777781</v>
      </c>
      <c r="Q104" s="510">
        <v>28153709.397777781</v>
      </c>
      <c r="R104" s="510">
        <v>3170324.8177777799</v>
      </c>
      <c r="S104" s="547">
        <f t="shared" si="28"/>
        <v>109199999.99999996</v>
      </c>
      <c r="T104" s="524">
        <f t="shared" si="29"/>
        <v>1.3440496264477453</v>
      </c>
      <c r="U104" s="276"/>
    </row>
    <row r="105" spans="1:22" ht="13.5" thickBot="1">
      <c r="A105" s="105" t="str">
        <f t="shared" si="27"/>
        <v>4p</v>
      </c>
      <c r="B105" s="630" t="str">
        <f>+VLOOKUP(LEFT($A105,LEN(A105)-1)*1,Master!$D$30:$G$229,4,FALSE)</f>
        <v>Izdaci budžeta</v>
      </c>
      <c r="C105" s="631"/>
      <c r="D105" s="631"/>
      <c r="E105" s="631"/>
      <c r="F105" s="631"/>
      <c r="G105" s="505">
        <f t="shared" ref="G105:R105" si="30">+G106+G116+G122+SUM(G123:G127)</f>
        <v>191850501.09999999</v>
      </c>
      <c r="H105" s="505">
        <f t="shared" si="30"/>
        <v>207927797.50999999</v>
      </c>
      <c r="I105" s="505">
        <f t="shared" si="30"/>
        <v>277008731.77999997</v>
      </c>
      <c r="J105" s="505">
        <f t="shared" si="30"/>
        <v>271880428.35000002</v>
      </c>
      <c r="K105" s="505">
        <f t="shared" si="30"/>
        <v>256531461.26999998</v>
      </c>
      <c r="L105" s="505">
        <f t="shared" si="30"/>
        <v>246434339.25</v>
      </c>
      <c r="M105" s="505">
        <f t="shared" si="30"/>
        <v>266915229.65000004</v>
      </c>
      <c r="N105" s="505">
        <f t="shared" si="30"/>
        <v>316160063.56999999</v>
      </c>
      <c r="O105" s="505">
        <f t="shared" si="30"/>
        <v>271901203.69999999</v>
      </c>
      <c r="P105" s="505">
        <f t="shared" si="30"/>
        <v>285828121.29000002</v>
      </c>
      <c r="Q105" s="505">
        <f t="shared" si="30"/>
        <v>286419476.34000003</v>
      </c>
      <c r="R105" s="505">
        <f t="shared" si="30"/>
        <v>285364087.87</v>
      </c>
      <c r="S105" s="548">
        <f>+SUM(G105:R105)</f>
        <v>3164221441.6799998</v>
      </c>
      <c r="T105" s="549">
        <f t="shared" si="29"/>
        <v>38.945701892746811</v>
      </c>
      <c r="U105" s="276"/>
    </row>
    <row r="106" spans="1:22">
      <c r="A106" s="105" t="str">
        <f t="shared" si="27"/>
        <v>41p</v>
      </c>
      <c r="B106" s="648" t="str">
        <f>+VLOOKUP(LEFT($A106,LEN(A106)-1)*1,Master!$D$30:$G$229,4,FALSE)</f>
        <v>Tekući izdaci</v>
      </c>
      <c r="C106" s="649"/>
      <c r="D106" s="649"/>
      <c r="E106" s="649"/>
      <c r="F106" s="649"/>
      <c r="G106" s="511">
        <f t="shared" ref="G106" si="31">+SUM(G107:G115)</f>
        <v>73899012.900000006</v>
      </c>
      <c r="H106" s="511">
        <f t="shared" ref="H106:R106" si="32">+SUM(H107:H115)</f>
        <v>76519007.039999977</v>
      </c>
      <c r="I106" s="511">
        <f t="shared" si="32"/>
        <v>113798834.45999998</v>
      </c>
      <c r="J106" s="511">
        <f t="shared" si="32"/>
        <v>121182353.83000003</v>
      </c>
      <c r="K106" s="511">
        <f t="shared" si="32"/>
        <v>98021414.909999996</v>
      </c>
      <c r="L106" s="511">
        <f t="shared" si="32"/>
        <v>98591845.979999989</v>
      </c>
      <c r="M106" s="511">
        <f t="shared" si="32"/>
        <v>91078475.690000027</v>
      </c>
      <c r="N106" s="511">
        <f t="shared" si="32"/>
        <v>128306150.55999999</v>
      </c>
      <c r="O106" s="511">
        <f t="shared" si="32"/>
        <v>109940184.04000001</v>
      </c>
      <c r="P106" s="511">
        <f t="shared" si="32"/>
        <v>123887194.72000001</v>
      </c>
      <c r="Q106" s="511">
        <f t="shared" si="32"/>
        <v>123145561.94000001</v>
      </c>
      <c r="R106" s="512">
        <f t="shared" si="32"/>
        <v>103445277.06999999</v>
      </c>
      <c r="S106" s="542">
        <f t="shared" si="28"/>
        <v>1261815313.1399999</v>
      </c>
      <c r="T106" s="519">
        <f t="shared" si="29"/>
        <v>15.53060806109764</v>
      </c>
      <c r="U106" s="276"/>
      <c r="V106" s="275"/>
    </row>
    <row r="107" spans="1:22">
      <c r="A107" s="105" t="str">
        <f t="shared" si="27"/>
        <v>411p</v>
      </c>
      <c r="B107" s="634" t="str">
        <f>+VLOOKUP(LEFT($A107,LEN(A107)-1)*1,Master!$D$30:$G$229,4,FALSE)</f>
        <v>Bruto zarade i doprinosi na teret poslodavca</v>
      </c>
      <c r="C107" s="635"/>
      <c r="D107" s="635"/>
      <c r="E107" s="635"/>
      <c r="F107" s="635"/>
      <c r="G107" s="77">
        <v>54740563.130000018</v>
      </c>
      <c r="H107" s="77">
        <v>58682980.979999974</v>
      </c>
      <c r="I107" s="77">
        <v>56764031.079999998</v>
      </c>
      <c r="J107" s="77">
        <v>57444656.570000015</v>
      </c>
      <c r="K107" s="77">
        <v>57919124.770000003</v>
      </c>
      <c r="L107" s="77">
        <v>57898328.379999988</v>
      </c>
      <c r="M107" s="77">
        <v>56113640.890000015</v>
      </c>
      <c r="N107" s="77">
        <v>67404412.189999983</v>
      </c>
      <c r="O107" s="77">
        <v>57198032.290000014</v>
      </c>
      <c r="P107" s="77">
        <v>71633621.799999997</v>
      </c>
      <c r="Q107" s="77">
        <v>70481093.040000007</v>
      </c>
      <c r="R107" s="77">
        <v>48093301.420000009</v>
      </c>
      <c r="S107" s="101">
        <f t="shared" si="28"/>
        <v>714373786.53999996</v>
      </c>
      <c r="T107" s="436">
        <f t="shared" si="29"/>
        <v>8.7926174079042916</v>
      </c>
      <c r="U107" s="276"/>
    </row>
    <row r="108" spans="1:22">
      <c r="A108" s="105" t="str">
        <f t="shared" si="27"/>
        <v>412p</v>
      </c>
      <c r="B108" s="634" t="str">
        <f>+VLOOKUP(LEFT($A108,LEN(A108)-1)*1,Master!$D$30:$G$229,4,FALSE)</f>
        <v>Ostala lična primanja</v>
      </c>
      <c r="C108" s="635"/>
      <c r="D108" s="635"/>
      <c r="E108" s="635"/>
      <c r="F108" s="635"/>
      <c r="G108" s="77">
        <v>1310785.99</v>
      </c>
      <c r="H108" s="77">
        <v>1349281.21</v>
      </c>
      <c r="I108" s="77">
        <v>1992150.0900000003</v>
      </c>
      <c r="J108" s="77">
        <v>2081222.35</v>
      </c>
      <c r="K108" s="77">
        <v>2134029.5100000002</v>
      </c>
      <c r="L108" s="77">
        <v>2114169.5899999994</v>
      </c>
      <c r="M108" s="77">
        <v>2190687.5999999996</v>
      </c>
      <c r="N108" s="77">
        <v>3267790.1700000023</v>
      </c>
      <c r="O108" s="77">
        <v>2502701.1100000003</v>
      </c>
      <c r="P108" s="77">
        <v>2600813.6500000008</v>
      </c>
      <c r="Q108" s="77">
        <v>2577314.4900000002</v>
      </c>
      <c r="R108" s="77">
        <v>2409220.79</v>
      </c>
      <c r="S108" s="101">
        <f t="shared" si="28"/>
        <v>26530166.550000004</v>
      </c>
      <c r="T108" s="436">
        <f t="shared" si="29"/>
        <v>0.32653718352677641</v>
      </c>
      <c r="U108" s="276"/>
    </row>
    <row r="109" spans="1:22">
      <c r="A109" s="105" t="str">
        <f t="shared" si="27"/>
        <v>413p</v>
      </c>
      <c r="B109" s="634" t="str">
        <f>+VLOOKUP(LEFT($A109,LEN(A109)-1)*1,Master!$D$30:$G$229,4,FALSE)</f>
        <v>Rashodi za materijal</v>
      </c>
      <c r="C109" s="635"/>
      <c r="D109" s="635"/>
      <c r="E109" s="635"/>
      <c r="F109" s="635"/>
      <c r="G109" s="77">
        <v>1513718.3000000005</v>
      </c>
      <c r="H109" s="77">
        <v>1797627.1500000004</v>
      </c>
      <c r="I109" s="77">
        <v>4827844.37</v>
      </c>
      <c r="J109" s="77">
        <v>4553517.620000001</v>
      </c>
      <c r="K109" s="77">
        <v>3783604.2300000009</v>
      </c>
      <c r="L109" s="77">
        <v>3300641.6800000011</v>
      </c>
      <c r="M109" s="77">
        <v>3702728.7500000023</v>
      </c>
      <c r="N109" s="77">
        <v>7623708.0300000003</v>
      </c>
      <c r="O109" s="77">
        <v>4652342.3299999973</v>
      </c>
      <c r="P109" s="77">
        <v>4654790.7199999969</v>
      </c>
      <c r="Q109" s="77">
        <v>5055380.1099999975</v>
      </c>
      <c r="R109" s="77">
        <v>5146580.28</v>
      </c>
      <c r="S109" s="101">
        <f t="shared" si="28"/>
        <v>50612483.57</v>
      </c>
      <c r="T109" s="436">
        <f t="shared" si="29"/>
        <v>0.62294587578618288</v>
      </c>
      <c r="U109" s="276"/>
    </row>
    <row r="110" spans="1:22">
      <c r="A110" s="105" t="str">
        <f t="shared" si="27"/>
        <v>414p</v>
      </c>
      <c r="B110" s="634" t="str">
        <f>+VLOOKUP(LEFT($A110,LEN(A110)-1)*1,Master!$D$30:$G$229,4,FALSE)</f>
        <v>Rashodi za usluge</v>
      </c>
      <c r="C110" s="635"/>
      <c r="D110" s="635"/>
      <c r="E110" s="635"/>
      <c r="F110" s="635"/>
      <c r="G110" s="77">
        <v>3056018.6500000004</v>
      </c>
      <c r="H110" s="77">
        <v>2625955.9100000011</v>
      </c>
      <c r="I110" s="77">
        <v>9527791.25</v>
      </c>
      <c r="J110" s="77">
        <v>8092225.6700000009</v>
      </c>
      <c r="K110" s="77">
        <v>5872326.9600000009</v>
      </c>
      <c r="L110" s="77">
        <v>8880916.2100000009</v>
      </c>
      <c r="M110" s="77">
        <v>7488395.9199999999</v>
      </c>
      <c r="N110" s="77">
        <v>10619318.450000003</v>
      </c>
      <c r="O110" s="77">
        <v>9806600.110000005</v>
      </c>
      <c r="P110" s="77">
        <v>9700594.1500000041</v>
      </c>
      <c r="Q110" s="77">
        <v>9755744.1000000034</v>
      </c>
      <c r="R110" s="77">
        <v>13071654.640000006</v>
      </c>
      <c r="S110" s="101">
        <f t="shared" si="28"/>
        <v>98497542.020000026</v>
      </c>
      <c r="T110" s="436">
        <f t="shared" si="29"/>
        <v>1.2123222029121079</v>
      </c>
      <c r="U110" s="276"/>
    </row>
    <row r="111" spans="1:22">
      <c r="A111" s="105" t="str">
        <f t="shared" si="27"/>
        <v>415p</v>
      </c>
      <c r="B111" s="634" t="str">
        <f>+VLOOKUP(LEFT($A111,LEN(A111)-1)*1,Master!$D$30:$G$229,4,FALSE)</f>
        <v>Rashodi za tekuće održavanje</v>
      </c>
      <c r="C111" s="635"/>
      <c r="D111" s="635"/>
      <c r="E111" s="635"/>
      <c r="F111" s="635"/>
      <c r="G111" s="77">
        <v>2125329.88</v>
      </c>
      <c r="H111" s="77">
        <v>1894844.4099999997</v>
      </c>
      <c r="I111" s="77">
        <v>1539250.36</v>
      </c>
      <c r="J111" s="77">
        <v>2443414.79</v>
      </c>
      <c r="K111" s="77">
        <v>3185703.97</v>
      </c>
      <c r="L111" s="77">
        <v>2941751.4800000004</v>
      </c>
      <c r="M111" s="77">
        <v>3000937.5999999992</v>
      </c>
      <c r="N111" s="77">
        <v>4897068.71</v>
      </c>
      <c r="O111" s="77">
        <v>4694097.96</v>
      </c>
      <c r="P111" s="77">
        <v>4674452.66</v>
      </c>
      <c r="Q111" s="77">
        <v>4714537.42</v>
      </c>
      <c r="R111" s="77">
        <v>4723052.0699999994</v>
      </c>
      <c r="S111" s="101">
        <f t="shared" si="28"/>
        <v>40834441.310000002</v>
      </c>
      <c r="T111" s="436">
        <f t="shared" si="29"/>
        <v>0.50259629660172078</v>
      </c>
      <c r="U111" s="276"/>
    </row>
    <row r="112" spans="1:22">
      <c r="A112" s="105" t="str">
        <f t="shared" si="27"/>
        <v>416p</v>
      </c>
      <c r="B112" s="634" t="str">
        <f>+VLOOKUP(LEFT($A112,LEN(A112)-1)*1,Master!$D$30:$G$229,4,FALSE)</f>
        <v>Kamate</v>
      </c>
      <c r="C112" s="635"/>
      <c r="D112" s="635"/>
      <c r="E112" s="635"/>
      <c r="F112" s="635"/>
      <c r="G112" s="77">
        <v>3791323.42</v>
      </c>
      <c r="H112" s="77">
        <v>3323278.74</v>
      </c>
      <c r="I112" s="77">
        <v>24437291.91</v>
      </c>
      <c r="J112" s="77">
        <v>33305080.140000001</v>
      </c>
      <c r="K112" s="77">
        <v>10217951.199999999</v>
      </c>
      <c r="L112" s="77">
        <v>5629662.4399999995</v>
      </c>
      <c r="M112" s="77">
        <v>4848196.1800000006</v>
      </c>
      <c r="N112" s="77">
        <v>14492145.559999999</v>
      </c>
      <c r="O112" s="77">
        <v>14492145.559999999</v>
      </c>
      <c r="P112" s="77">
        <v>14492145.559999999</v>
      </c>
      <c r="Q112" s="77">
        <v>14492145.559999999</v>
      </c>
      <c r="R112" s="77">
        <v>14490645.719999999</v>
      </c>
      <c r="S112" s="101">
        <f t="shared" si="28"/>
        <v>158012011.99000001</v>
      </c>
      <c r="T112" s="436">
        <f t="shared" si="29"/>
        <v>1.9448350337858629</v>
      </c>
      <c r="U112" s="276"/>
    </row>
    <row r="113" spans="1:21">
      <c r="A113" s="105" t="str">
        <f t="shared" si="27"/>
        <v>417p</v>
      </c>
      <c r="B113" s="634" t="str">
        <f>+VLOOKUP(LEFT($A113,LEN(A113)-1)*1,Master!$D$30:$G$229,4,FALSE)</f>
        <v>Renta</v>
      </c>
      <c r="C113" s="635"/>
      <c r="D113" s="635"/>
      <c r="E113" s="635"/>
      <c r="F113" s="635"/>
      <c r="G113" s="77">
        <v>1029107.9699999999</v>
      </c>
      <c r="H113" s="77">
        <v>1022679.6100000001</v>
      </c>
      <c r="I113" s="77">
        <v>1093120.0200000007</v>
      </c>
      <c r="J113" s="77">
        <v>1106490.6200000006</v>
      </c>
      <c r="K113" s="77">
        <v>1044686.16</v>
      </c>
      <c r="L113" s="77">
        <v>1058107.29</v>
      </c>
      <c r="M113" s="77">
        <v>1025082.5599999999</v>
      </c>
      <c r="N113" s="77">
        <v>1361970.1999999997</v>
      </c>
      <c r="O113" s="77">
        <v>1326158.4899999998</v>
      </c>
      <c r="P113" s="77">
        <v>1138981.2899999996</v>
      </c>
      <c r="Q113" s="77">
        <v>1110150.2199999997</v>
      </c>
      <c r="R113" s="77">
        <v>1031644.0999999994</v>
      </c>
      <c r="S113" s="101">
        <f t="shared" si="28"/>
        <v>13348178.529999999</v>
      </c>
      <c r="T113" s="436">
        <f t="shared" si="29"/>
        <v>0.1642913403571824</v>
      </c>
      <c r="U113" s="276"/>
    </row>
    <row r="114" spans="1:21">
      <c r="A114" s="105" t="str">
        <f t="shared" si="27"/>
        <v>418p</v>
      </c>
      <c r="B114" s="634" t="str">
        <f>+VLOOKUP(LEFT($A114,LEN(A114)-1)*1,Master!$D$30:$G$229,4,FALSE)</f>
        <v>Subvencije</v>
      </c>
      <c r="C114" s="635"/>
      <c r="D114" s="635"/>
      <c r="E114" s="635"/>
      <c r="F114" s="635"/>
      <c r="G114" s="77">
        <v>3923337.52</v>
      </c>
      <c r="H114" s="77">
        <v>2411250</v>
      </c>
      <c r="I114" s="77">
        <v>5901966.2799999993</v>
      </c>
      <c r="J114" s="77">
        <v>5865018.6399999997</v>
      </c>
      <c r="K114" s="77">
        <v>6219007.0999999996</v>
      </c>
      <c r="L114" s="77">
        <v>5525954.71</v>
      </c>
      <c r="M114" s="77">
        <v>5355770.79</v>
      </c>
      <c r="N114" s="77">
        <v>8596998.2300000004</v>
      </c>
      <c r="O114" s="77">
        <v>6721963.5600000015</v>
      </c>
      <c r="P114" s="77">
        <v>6721963.5600000015</v>
      </c>
      <c r="Q114" s="77">
        <v>6721963.5600000015</v>
      </c>
      <c r="R114" s="77">
        <v>6721963.5799999991</v>
      </c>
      <c r="S114" s="101">
        <f t="shared" si="28"/>
        <v>70687157.530000001</v>
      </c>
      <c r="T114" s="436">
        <f t="shared" si="29"/>
        <v>0.87002790909202798</v>
      </c>
      <c r="U114" s="276"/>
    </row>
    <row r="115" spans="1:21">
      <c r="A115" s="105" t="str">
        <f t="shared" si="27"/>
        <v>419p</v>
      </c>
      <c r="B115" s="634" t="str">
        <f>+VLOOKUP(LEFT($A115,LEN(A115)-1)*1,Master!$D$30:$G$229,4,FALSE)</f>
        <v>Ostali izdaci</v>
      </c>
      <c r="C115" s="635"/>
      <c r="D115" s="635"/>
      <c r="E115" s="635"/>
      <c r="F115" s="635"/>
      <c r="G115" s="77">
        <v>2408828.0399999986</v>
      </c>
      <c r="H115" s="77">
        <v>3411109.0299999993</v>
      </c>
      <c r="I115" s="77">
        <v>7715389.0999999978</v>
      </c>
      <c r="J115" s="77">
        <v>6290727.4299999988</v>
      </c>
      <c r="K115" s="77">
        <v>7644981.0099999988</v>
      </c>
      <c r="L115" s="77">
        <v>11242314.199999999</v>
      </c>
      <c r="M115" s="77">
        <v>7353035.3999999985</v>
      </c>
      <c r="N115" s="77">
        <v>10042739.019999998</v>
      </c>
      <c r="O115" s="77">
        <v>8546142.6299999971</v>
      </c>
      <c r="P115" s="77">
        <v>8269831.3299999973</v>
      </c>
      <c r="Q115" s="77">
        <v>8237233.4399999985</v>
      </c>
      <c r="R115" s="77">
        <v>7757214.4699999988</v>
      </c>
      <c r="S115" s="101">
        <f t="shared" si="28"/>
        <v>88919545.099999964</v>
      </c>
      <c r="T115" s="436">
        <f t="shared" si="29"/>
        <v>1.0944348111314874</v>
      </c>
      <c r="U115" s="276"/>
    </row>
    <row r="116" spans="1:21">
      <c r="A116" s="105" t="str">
        <f t="shared" si="27"/>
        <v>42p</v>
      </c>
      <c r="B116" s="654" t="str">
        <f>+VLOOKUP(LEFT($A116,LEN(A116)-1)*1,Master!$D$30:$G$229,4,FALSE)</f>
        <v>Transferi za socijalnu zaštitu</v>
      </c>
      <c r="C116" s="655"/>
      <c r="D116" s="655"/>
      <c r="E116" s="655"/>
      <c r="F116" s="655"/>
      <c r="G116" s="507">
        <f t="shared" ref="G116:R116" si="33">+SUM(G117:G121)</f>
        <v>86392001.530000001</v>
      </c>
      <c r="H116" s="507">
        <f t="shared" si="33"/>
        <v>93735058.950000003</v>
      </c>
      <c r="I116" s="507">
        <f t="shared" si="33"/>
        <v>92633322.390000015</v>
      </c>
      <c r="J116" s="507">
        <f t="shared" si="33"/>
        <v>90975550.370000005</v>
      </c>
      <c r="K116" s="507">
        <f t="shared" si="33"/>
        <v>90385627.5</v>
      </c>
      <c r="L116" s="507">
        <f t="shared" si="33"/>
        <v>93674809.960000008</v>
      </c>
      <c r="M116" s="507">
        <f t="shared" si="33"/>
        <v>93162509.829999998</v>
      </c>
      <c r="N116" s="507">
        <f t="shared" si="33"/>
        <v>95987426.800000012</v>
      </c>
      <c r="O116" s="507">
        <f t="shared" si="33"/>
        <v>81019219.200000003</v>
      </c>
      <c r="P116" s="507">
        <f t="shared" si="33"/>
        <v>85339625.640000015</v>
      </c>
      <c r="Q116" s="507">
        <f t="shared" si="33"/>
        <v>85314680.13000001</v>
      </c>
      <c r="R116" s="507">
        <f t="shared" si="33"/>
        <v>77037176.379999995</v>
      </c>
      <c r="S116" s="546">
        <f t="shared" si="28"/>
        <v>1065657008.6800002</v>
      </c>
      <c r="T116" s="522">
        <f t="shared" si="29"/>
        <v>13.116262861151798</v>
      </c>
      <c r="U116" s="276"/>
    </row>
    <row r="117" spans="1:21">
      <c r="A117" s="105" t="str">
        <f t="shared" si="27"/>
        <v>421p</v>
      </c>
      <c r="B117" s="634" t="str">
        <f>+VLOOKUP(LEFT($A117,LEN(A117)-1)*1,Master!$D$30:$G$229,4,FALSE)</f>
        <v>Prava iz oblasti socijalne zaštite</v>
      </c>
      <c r="C117" s="635"/>
      <c r="D117" s="635"/>
      <c r="E117" s="635"/>
      <c r="F117" s="635"/>
      <c r="G117" s="499">
        <v>19200151.200000003</v>
      </c>
      <c r="H117" s="499">
        <v>22395857.720000003</v>
      </c>
      <c r="I117" s="499">
        <v>21236495.860000003</v>
      </c>
      <c r="J117" s="499">
        <v>19875975.959999997</v>
      </c>
      <c r="K117" s="499">
        <v>19561222.140000001</v>
      </c>
      <c r="L117" s="499">
        <v>20310976.43</v>
      </c>
      <c r="M117" s="499">
        <v>20317695.199999999</v>
      </c>
      <c r="N117" s="499">
        <v>22053719.830000002</v>
      </c>
      <c r="O117" s="499">
        <v>15726325.110000001</v>
      </c>
      <c r="P117" s="499">
        <v>15726325.110000001</v>
      </c>
      <c r="Q117" s="499">
        <v>15701379.6</v>
      </c>
      <c r="R117" s="499">
        <v>9423875.8399999999</v>
      </c>
      <c r="S117" s="101">
        <f t="shared" si="28"/>
        <v>221530000.00000003</v>
      </c>
      <c r="T117" s="436">
        <f t="shared" si="29"/>
        <v>2.7266237522616223</v>
      </c>
      <c r="U117" s="276"/>
    </row>
    <row r="118" spans="1:21">
      <c r="A118" s="105" t="str">
        <f t="shared" si="27"/>
        <v>422p</v>
      </c>
      <c r="B118" s="634" t="str">
        <f>+VLOOKUP(LEFT($A118,LEN(A118)-1)*1,Master!$D$30:$G$229,4,FALSE)</f>
        <v>Sredstva za tehnološke viškove</v>
      </c>
      <c r="C118" s="635"/>
      <c r="D118" s="635"/>
      <c r="E118" s="635"/>
      <c r="F118" s="635"/>
      <c r="G118" s="499">
        <v>2213718.63</v>
      </c>
      <c r="H118" s="499">
        <v>2165427.89</v>
      </c>
      <c r="I118" s="499">
        <v>2163156.12</v>
      </c>
      <c r="J118" s="499">
        <v>2158505.1</v>
      </c>
      <c r="K118" s="499">
        <v>2057419.81</v>
      </c>
      <c r="L118" s="499">
        <v>2084407.9800000002</v>
      </c>
      <c r="M118" s="499">
        <v>2096069.3900000001</v>
      </c>
      <c r="N118" s="499">
        <v>2344604.0299999998</v>
      </c>
      <c r="O118" s="499">
        <v>2344604.0299999998</v>
      </c>
      <c r="P118" s="499">
        <v>2344604.0299999998</v>
      </c>
      <c r="Q118" s="499">
        <v>2344604.0299999998</v>
      </c>
      <c r="R118" s="499">
        <v>344604</v>
      </c>
      <c r="S118" s="101">
        <f t="shared" si="28"/>
        <v>24661725.040000007</v>
      </c>
      <c r="T118" s="436">
        <f t="shared" si="29"/>
        <v>0.30354013120484458</v>
      </c>
      <c r="U118" s="276"/>
    </row>
    <row r="119" spans="1:21">
      <c r="A119" s="105" t="str">
        <f t="shared" si="27"/>
        <v>423p</v>
      </c>
      <c r="B119" s="634" t="str">
        <f>+VLOOKUP(LEFT($A119,LEN(A119)-1)*1,Master!$D$30:$G$229,4,FALSE)</f>
        <v>Prava iz oblasti penzijskog i invalidskog osiguranja</v>
      </c>
      <c r="C119" s="635"/>
      <c r="D119" s="635"/>
      <c r="E119" s="635"/>
      <c r="F119" s="635"/>
      <c r="G119" s="499">
        <v>63002630.410000004</v>
      </c>
      <c r="H119" s="499">
        <v>65519895.829999998</v>
      </c>
      <c r="I119" s="499">
        <v>65511585.650000006</v>
      </c>
      <c r="J119" s="499">
        <v>65613396.360000007</v>
      </c>
      <c r="K119" s="499">
        <v>65712452.989999995</v>
      </c>
      <c r="L119" s="499">
        <v>66973578.530000001</v>
      </c>
      <c r="M119" s="499">
        <v>66835126.730000004</v>
      </c>
      <c r="N119" s="499">
        <v>67927729.870000005</v>
      </c>
      <c r="O119" s="499">
        <v>59286916.989999995</v>
      </c>
      <c r="P119" s="499">
        <v>63607323.430000007</v>
      </c>
      <c r="Q119" s="499">
        <v>63607323.430000007</v>
      </c>
      <c r="R119" s="499">
        <v>63607323.419999994</v>
      </c>
      <c r="S119" s="101">
        <f t="shared" si="28"/>
        <v>777205283.63999999</v>
      </c>
      <c r="T119" s="436">
        <f t="shared" si="29"/>
        <v>9.5659566955087563</v>
      </c>
      <c r="U119" s="276"/>
    </row>
    <row r="120" spans="1:21">
      <c r="A120" s="105" t="str">
        <f t="shared" si="27"/>
        <v>424p</v>
      </c>
      <c r="B120" s="634" t="str">
        <f>+VLOOKUP(LEFT($A120,LEN(A120)-1)*1,Master!$D$30:$G$229,4,FALSE)</f>
        <v>Ostala prava iz oblasti zdravstvene zaštite</v>
      </c>
      <c r="C120" s="635"/>
      <c r="D120" s="635"/>
      <c r="E120" s="635"/>
      <c r="F120" s="635"/>
      <c r="G120" s="499">
        <v>1296116.4099999999</v>
      </c>
      <c r="H120" s="499">
        <v>2368371.2599999998</v>
      </c>
      <c r="I120" s="499">
        <v>1988435.53</v>
      </c>
      <c r="J120" s="499">
        <v>1904853.6400000001</v>
      </c>
      <c r="K120" s="499">
        <v>1750586.83</v>
      </c>
      <c r="L120" s="499">
        <v>2838301.37</v>
      </c>
      <c r="M120" s="499">
        <v>2255237.94</v>
      </c>
      <c r="N120" s="499">
        <v>2231619.4</v>
      </c>
      <c r="O120" s="499">
        <v>2231619.4</v>
      </c>
      <c r="P120" s="499">
        <v>2231619.4</v>
      </c>
      <c r="Q120" s="499">
        <v>2231619.4</v>
      </c>
      <c r="R120" s="499">
        <v>2231619.42</v>
      </c>
      <c r="S120" s="101">
        <f t="shared" si="28"/>
        <v>25559999.999999993</v>
      </c>
      <c r="T120" s="436">
        <f t="shared" si="29"/>
        <v>0.31459623124546132</v>
      </c>
      <c r="U120" s="276"/>
    </row>
    <row r="121" spans="1:21">
      <c r="A121" s="105" t="str">
        <f t="shared" si="27"/>
        <v>425p</v>
      </c>
      <c r="B121" s="634" t="str">
        <f>+VLOOKUP(LEFT($A121,LEN(A121)-1)*1,Master!$D$30:$G$229,4,FALSE)</f>
        <v>Ostala prava iz zdravstvenog osiguranja</v>
      </c>
      <c r="C121" s="635"/>
      <c r="D121" s="635"/>
      <c r="E121" s="635"/>
      <c r="F121" s="635"/>
      <c r="G121" s="499">
        <v>679384.88</v>
      </c>
      <c r="H121" s="499">
        <v>1285506.25</v>
      </c>
      <c r="I121" s="499">
        <v>1733649.23</v>
      </c>
      <c r="J121" s="499">
        <v>1422819.31</v>
      </c>
      <c r="K121" s="499">
        <v>1303945.73</v>
      </c>
      <c r="L121" s="499">
        <v>1467545.6500000001</v>
      </c>
      <c r="M121" s="499">
        <v>1658380.57</v>
      </c>
      <c r="N121" s="499">
        <v>1429753.6700000002</v>
      </c>
      <c r="O121" s="499">
        <v>1429753.6700000002</v>
      </c>
      <c r="P121" s="499">
        <v>1429753.6700000002</v>
      </c>
      <c r="Q121" s="499">
        <v>1429753.6700000002</v>
      </c>
      <c r="R121" s="499">
        <v>1429753.7000000002</v>
      </c>
      <c r="S121" s="101">
        <f t="shared" si="28"/>
        <v>16700000</v>
      </c>
      <c r="T121" s="436">
        <f t="shared" si="29"/>
        <v>0.20554605093111131</v>
      </c>
      <c r="U121" s="276"/>
    </row>
    <row r="122" spans="1:21">
      <c r="A122" s="105" t="str">
        <f t="shared" si="27"/>
        <v>43p</v>
      </c>
      <c r="B122" s="650" t="str">
        <f>+VLOOKUP(LEFT($A122,LEN(A122)-1)*1,Master!$D$30:$G$229,4,FALSE)</f>
        <v xml:space="preserve">Transferi institucijama, pojedincima, nevladinom i javnom sektoru </v>
      </c>
      <c r="C122" s="651"/>
      <c r="D122" s="651"/>
      <c r="E122" s="651"/>
      <c r="F122" s="651"/>
      <c r="G122" s="510">
        <v>22312747.940000001</v>
      </c>
      <c r="H122" s="510">
        <v>25330454.930000003</v>
      </c>
      <c r="I122" s="510">
        <v>41879641.159999996</v>
      </c>
      <c r="J122" s="510">
        <v>37225153.310000002</v>
      </c>
      <c r="K122" s="510">
        <v>43353495.059999995</v>
      </c>
      <c r="L122" s="510">
        <v>37033961.009999998</v>
      </c>
      <c r="M122" s="510">
        <v>50964091.189999998</v>
      </c>
      <c r="N122" s="510">
        <v>46548353.63000001</v>
      </c>
      <c r="O122" s="510">
        <v>45860047.220000006</v>
      </c>
      <c r="P122" s="510">
        <v>42366884.090000004</v>
      </c>
      <c r="Q122" s="510">
        <v>38851862.540000007</v>
      </c>
      <c r="R122" s="510">
        <v>24159617.740000006</v>
      </c>
      <c r="S122" s="546">
        <f>+SUM(G122:R122)</f>
        <v>455886309.82000011</v>
      </c>
      <c r="T122" s="522">
        <f t="shared" si="29"/>
        <v>5.6111156082070739</v>
      </c>
      <c r="U122" s="276"/>
    </row>
    <row r="123" spans="1:21">
      <c r="A123" s="105" t="str">
        <f t="shared" si="27"/>
        <v>44p</v>
      </c>
      <c r="B123" s="650" t="str">
        <f>+VLOOKUP(LEFT($A123,LEN(A123)-1)*1,Master!$D$30:$G$229,4,FALSE)</f>
        <v>Kapitalni izdaci</v>
      </c>
      <c r="C123" s="651"/>
      <c r="D123" s="651"/>
      <c r="E123" s="651"/>
      <c r="F123" s="651"/>
      <c r="G123" s="510">
        <v>3130331.0900000003</v>
      </c>
      <c r="H123" s="510">
        <v>9035018.9500000011</v>
      </c>
      <c r="I123" s="510">
        <v>22771028</v>
      </c>
      <c r="J123" s="510">
        <v>20600392.410000008</v>
      </c>
      <c r="K123" s="510">
        <v>22919618.569999997</v>
      </c>
      <c r="L123" s="510">
        <v>14816455.689999998</v>
      </c>
      <c r="M123" s="510">
        <v>27754058.619999997</v>
      </c>
      <c r="N123" s="510">
        <v>43169262.220000006</v>
      </c>
      <c r="O123" s="510">
        <v>33287648.420000002</v>
      </c>
      <c r="P123" s="510">
        <v>30627538.580000013</v>
      </c>
      <c r="Q123" s="510">
        <v>35294592.410000019</v>
      </c>
      <c r="R123" s="510">
        <v>76097863.920000017</v>
      </c>
      <c r="S123" s="546">
        <f>+SUM(G123:R123)</f>
        <v>339503808.88</v>
      </c>
      <c r="T123" s="522">
        <f t="shared" si="29"/>
        <v>4.1786627060691472</v>
      </c>
      <c r="U123" s="276"/>
    </row>
    <row r="124" spans="1:21">
      <c r="A124" s="105" t="str">
        <f t="shared" si="27"/>
        <v>451p</v>
      </c>
      <c r="B124" s="652" t="str">
        <f>+VLOOKUP(LEFT($A124,LEN(A124)-1)*1,Master!$D$30:$G$229,4,FALSE)</f>
        <v>Pozajmice i krediti</v>
      </c>
      <c r="C124" s="653"/>
      <c r="D124" s="653"/>
      <c r="E124" s="653"/>
      <c r="F124" s="653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76"/>
    </row>
    <row r="125" spans="1:21">
      <c r="A125" s="105" t="str">
        <f t="shared" si="27"/>
        <v>47p</v>
      </c>
      <c r="B125" s="652" t="str">
        <f>+VLOOKUP(LEFT($A125,LEN(A125)-1)*1,Master!$D$30:$G$229,4,FALSE)</f>
        <v>Rezerve</v>
      </c>
      <c r="C125" s="653"/>
      <c r="D125" s="653"/>
      <c r="E125" s="653"/>
      <c r="F125" s="653"/>
      <c r="G125" s="501">
        <v>0</v>
      </c>
      <c r="H125" s="501">
        <v>1209850</v>
      </c>
      <c r="I125" s="501">
        <v>3097639.84</v>
      </c>
      <c r="J125" s="501">
        <v>60929.33</v>
      </c>
      <c r="K125" s="501">
        <v>23004.35</v>
      </c>
      <c r="L125" s="501">
        <v>203203.49</v>
      </c>
      <c r="M125" s="501">
        <v>24767.07</v>
      </c>
      <c r="N125" s="501">
        <v>1232013.7</v>
      </c>
      <c r="O125" s="501">
        <v>452013.7</v>
      </c>
      <c r="P125" s="501">
        <v>2452013.7000000002</v>
      </c>
      <c r="Q125" s="501">
        <v>2452013.7000000002</v>
      </c>
      <c r="R125" s="501">
        <v>2576498.7200000002</v>
      </c>
      <c r="S125" s="101">
        <f t="shared" si="28"/>
        <v>13783947.6</v>
      </c>
      <c r="T125" s="436">
        <f t="shared" si="29"/>
        <v>0.1696548500252317</v>
      </c>
      <c r="U125" s="276"/>
    </row>
    <row r="126" spans="1:21">
      <c r="A126" s="105" t="str">
        <f t="shared" si="27"/>
        <v>462p</v>
      </c>
      <c r="B126" s="652" t="str">
        <f>+VLOOKUP(LEFT($A126,LEN(A126)-1)*1,Master!$D$30:$G$229,4,FALSE)</f>
        <v>Otplata garancija</v>
      </c>
      <c r="C126" s="653"/>
      <c r="D126" s="653"/>
      <c r="E126" s="653"/>
      <c r="F126" s="653"/>
      <c r="G126" s="499">
        <v>4100000</v>
      </c>
      <c r="H126" s="499">
        <v>0</v>
      </c>
      <c r="I126" s="499">
        <v>0.4</v>
      </c>
      <c r="J126" s="499">
        <v>0.4</v>
      </c>
      <c r="K126" s="499">
        <v>0.4</v>
      </c>
      <c r="L126" s="499">
        <v>0.4</v>
      </c>
      <c r="M126" s="499">
        <v>0.4</v>
      </c>
      <c r="N126" s="499">
        <v>0.4</v>
      </c>
      <c r="O126" s="499">
        <v>0.4</v>
      </c>
      <c r="P126" s="499">
        <v>0.4</v>
      </c>
      <c r="Q126" s="499">
        <v>0.4</v>
      </c>
      <c r="R126" s="499">
        <v>0.4</v>
      </c>
      <c r="S126" s="101">
        <f t="shared" si="28"/>
        <v>4100003.9999999991</v>
      </c>
      <c r="T126" s="436">
        <f t="shared" si="29"/>
        <v>5.0463450958189209E-2</v>
      </c>
      <c r="U126" s="276"/>
    </row>
    <row r="127" spans="1:21">
      <c r="A127" s="106" t="str">
        <f t="shared" si="27"/>
        <v>4630p</v>
      </c>
      <c r="B127" s="652" t="str">
        <f>+VLOOKUP(LEFT($A127,LEN(A127)-1)*1,Master!$D$30:$G$229,4,FALSE)</f>
        <v>Otplata obaveza iz prethodnog perioda</v>
      </c>
      <c r="C127" s="653"/>
      <c r="D127" s="653"/>
      <c r="E127" s="653"/>
      <c r="F127" s="653"/>
      <c r="G127" s="502">
        <v>2016407.64</v>
      </c>
      <c r="H127" s="501">
        <v>2098407.64</v>
      </c>
      <c r="I127" s="501">
        <v>2828265.53</v>
      </c>
      <c r="J127" s="501">
        <v>1836048.7</v>
      </c>
      <c r="K127" s="501">
        <v>1828300.48</v>
      </c>
      <c r="L127" s="501">
        <v>2114062.7200000002</v>
      </c>
      <c r="M127" s="501">
        <v>3931326.85</v>
      </c>
      <c r="N127" s="501">
        <v>916856.26000000047</v>
      </c>
      <c r="O127" s="501">
        <v>1342090.7200000007</v>
      </c>
      <c r="P127" s="501">
        <v>1154864.1600000006</v>
      </c>
      <c r="Q127" s="501">
        <v>1360765.2200000007</v>
      </c>
      <c r="R127" s="501">
        <v>2047653.6400000004</v>
      </c>
      <c r="S127" s="92">
        <f>+SUM(G127:R127)</f>
        <v>23475049.560000002</v>
      </c>
      <c r="T127" s="444">
        <f t="shared" si="29"/>
        <v>0.28893435523773187</v>
      </c>
      <c r="U127" s="276"/>
    </row>
    <row r="128" spans="1:21" ht="13.5" thickBot="1">
      <c r="A128" s="105" t="str">
        <f t="shared" si="27"/>
        <v>1005p</v>
      </c>
      <c r="B128" s="652" t="str">
        <f>+VLOOKUP(LEFT($A128,LEN(A128)-1)*1,Master!$D$30:$G$229,4,FALSE)</f>
        <v>Neto povećanje obaveza</v>
      </c>
      <c r="C128" s="653"/>
      <c r="D128" s="653"/>
      <c r="E128" s="653"/>
      <c r="F128" s="653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76"/>
    </row>
    <row r="129" spans="1:22" ht="13.5" thickBot="1">
      <c r="A129" s="106" t="str">
        <f t="shared" si="27"/>
        <v>1000p</v>
      </c>
      <c r="B129" s="660" t="str">
        <f>+VLOOKUP(LEFT($A129,LEN(A129)-1)*1,Master!$D$30:$G$226,4,FALSE)</f>
        <v>Suficit / deficit</v>
      </c>
      <c r="C129" s="661"/>
      <c r="D129" s="661"/>
      <c r="E129" s="661"/>
      <c r="F129" s="661"/>
      <c r="G129" s="504">
        <f t="shared" ref="G129:R129" si="34">+G86-G105</f>
        <v>-35685139.530000031</v>
      </c>
      <c r="H129" s="505">
        <f t="shared" si="34"/>
        <v>-21462022.897298485</v>
      </c>
      <c r="I129" s="504">
        <f t="shared" si="34"/>
        <v>-26227578.019224495</v>
      </c>
      <c r="J129" s="504">
        <f t="shared" si="34"/>
        <v>45254505.859589815</v>
      </c>
      <c r="K129" s="504">
        <f t="shared" si="34"/>
        <v>-47834487.188635528</v>
      </c>
      <c r="L129" s="504">
        <f t="shared" si="34"/>
        <v>-6116654.0882425606</v>
      </c>
      <c r="M129" s="504">
        <f t="shared" si="34"/>
        <v>-22611314.888551921</v>
      </c>
      <c r="N129" s="504">
        <f t="shared" si="34"/>
        <v>-53322502.49680382</v>
      </c>
      <c r="O129" s="504">
        <f t="shared" si="34"/>
        <v>-18476224.943335593</v>
      </c>
      <c r="P129" s="504">
        <f t="shared" si="34"/>
        <v>-23660341.943951547</v>
      </c>
      <c r="Q129" s="504">
        <f t="shared" si="34"/>
        <v>-45712841.179270029</v>
      </c>
      <c r="R129" s="504">
        <f t="shared" si="34"/>
        <v>-22293840.284296304</v>
      </c>
      <c r="S129" s="550">
        <f t="shared" si="28"/>
        <v>-278148441.60002053</v>
      </c>
      <c r="T129" s="531">
        <f t="shared" si="29"/>
        <v>-3.4234918409297639</v>
      </c>
      <c r="U129" s="276"/>
    </row>
    <row r="130" spans="1:22" ht="13.5" thickBot="1">
      <c r="A130" s="106" t="str">
        <f t="shared" si="27"/>
        <v>1001p</v>
      </c>
      <c r="B130" s="662" t="str">
        <f>+VLOOKUP(LEFT($A130,LEN(A130)-1)*1,Master!$D$30:$G$226,4,FALSE)</f>
        <v>Primarni suficit/deficit</v>
      </c>
      <c r="C130" s="663"/>
      <c r="D130" s="663"/>
      <c r="E130" s="663"/>
      <c r="F130" s="663"/>
      <c r="G130" s="506">
        <f>+G129+G112</f>
        <v>-31893816.110000029</v>
      </c>
      <c r="H130" s="506">
        <f t="shared" ref="H130:R130" si="35">+H129+H112</f>
        <v>-18138744.157298483</v>
      </c>
      <c r="I130" s="506">
        <f t="shared" si="35"/>
        <v>-1790286.1092244945</v>
      </c>
      <c r="J130" s="506">
        <f t="shared" si="35"/>
        <v>78559585.999589816</v>
      </c>
      <c r="K130" s="506">
        <f t="shared" si="35"/>
        <v>-37616535.988635525</v>
      </c>
      <c r="L130" s="506">
        <f t="shared" si="35"/>
        <v>-486991.64824256115</v>
      </c>
      <c r="M130" s="506">
        <f t="shared" si="35"/>
        <v>-17763118.708551921</v>
      </c>
      <c r="N130" s="506">
        <f t="shared" si="35"/>
        <v>-38830356.936803818</v>
      </c>
      <c r="O130" s="506">
        <f t="shared" si="35"/>
        <v>-3984079.3833355941</v>
      </c>
      <c r="P130" s="506">
        <f t="shared" si="35"/>
        <v>-9168196.3839515485</v>
      </c>
      <c r="Q130" s="506">
        <f t="shared" si="35"/>
        <v>-31220695.61927003</v>
      </c>
      <c r="R130" s="506">
        <f t="shared" si="35"/>
        <v>-7803194.5642963052</v>
      </c>
      <c r="S130" s="550">
        <f t="shared" si="28"/>
        <v>-120136429.61002049</v>
      </c>
      <c r="T130" s="531">
        <f t="shared" si="29"/>
        <v>-1.4786568071439006</v>
      </c>
      <c r="U130" s="276"/>
    </row>
    <row r="131" spans="1:22">
      <c r="A131" s="106" t="str">
        <f t="shared" si="27"/>
        <v>46p</v>
      </c>
      <c r="B131" s="654" t="str">
        <f>+VLOOKUP(LEFT($A131,LEN(A131)-1)*1,Master!$D$30:$G$226,4,FALSE)</f>
        <v>Otplata dugova</v>
      </c>
      <c r="C131" s="655"/>
      <c r="D131" s="655"/>
      <c r="E131" s="655"/>
      <c r="F131" s="655"/>
      <c r="G131" s="507">
        <v>34623384.329999998</v>
      </c>
      <c r="H131" s="507">
        <v>8283075.9799999995</v>
      </c>
      <c r="I131" s="507">
        <v>26500975.739999998</v>
      </c>
      <c r="J131" s="507">
        <v>516680510.11000001</v>
      </c>
      <c r="K131" s="507">
        <v>49356649.140000001</v>
      </c>
      <c r="L131" s="507">
        <v>31468035.539999999</v>
      </c>
      <c r="M131" s="508">
        <v>49327078.370000005</v>
      </c>
      <c r="N131" s="507">
        <v>27550149.000000004</v>
      </c>
      <c r="O131" s="507">
        <v>26364355.75</v>
      </c>
      <c r="P131" s="507">
        <v>15224048.299999999</v>
      </c>
      <c r="Q131" s="507">
        <v>8450028.0999999996</v>
      </c>
      <c r="R131" s="507">
        <v>27083355.399999999</v>
      </c>
      <c r="S131" s="551">
        <f t="shared" si="28"/>
        <v>820911645.75999987</v>
      </c>
      <c r="T131" s="533">
        <f t="shared" si="29"/>
        <v>10.103901014929781</v>
      </c>
      <c r="U131" s="276"/>
      <c r="V131" s="494"/>
    </row>
    <row r="132" spans="1:22">
      <c r="A132" s="106" t="str">
        <f t="shared" si="27"/>
        <v>4611p</v>
      </c>
      <c r="B132" s="658" t="str">
        <f>+VLOOKUP(LEFT($A132,LEN(A132)-1)*1,Master!$D$30:$G$226,4,FALSE)</f>
        <v>Otplata hartija od vrijednosti i kredita rezidentima</v>
      </c>
      <c r="C132" s="659"/>
      <c r="D132" s="659"/>
      <c r="E132" s="659"/>
      <c r="F132" s="659"/>
      <c r="G132" s="502">
        <v>1987616.93</v>
      </c>
      <c r="H132" s="502">
        <v>1708211.7699999998</v>
      </c>
      <c r="I132" s="502">
        <v>4420663.5200000005</v>
      </c>
      <c r="J132" s="502">
        <v>2044202.0799999998</v>
      </c>
      <c r="K132" s="502">
        <v>2816900.89</v>
      </c>
      <c r="L132" s="502">
        <v>15431758.25</v>
      </c>
      <c r="M132" s="503">
        <v>1723907.95</v>
      </c>
      <c r="N132" s="503">
        <v>1752462.0999999999</v>
      </c>
      <c r="O132" s="503">
        <v>4555783.9000000004</v>
      </c>
      <c r="P132" s="503">
        <v>1747992.7799999998</v>
      </c>
      <c r="Q132" s="503">
        <v>2865405.01</v>
      </c>
      <c r="R132" s="503">
        <v>15726739.58</v>
      </c>
      <c r="S132" s="92">
        <f t="shared" si="28"/>
        <v>56781644.759999998</v>
      </c>
      <c r="T132" s="444">
        <f t="shared" si="29"/>
        <v>0.69887681711324723</v>
      </c>
      <c r="U132" s="276"/>
    </row>
    <row r="133" spans="1:22" ht="13.5" thickBot="1">
      <c r="A133" s="106" t="str">
        <f t="shared" si="27"/>
        <v>4612p</v>
      </c>
      <c r="B133" s="652" t="str">
        <f>+VLOOKUP(LEFT($A133,LEN(A133)-1)*1,Master!$D$30:$G$226,4,FALSE)</f>
        <v>Otplata hartija od vrijednosti i kredita nerezidentima</v>
      </c>
      <c r="C133" s="653"/>
      <c r="D133" s="653"/>
      <c r="E133" s="653"/>
      <c r="F133" s="653"/>
      <c r="G133" s="502">
        <v>32635767.399999999</v>
      </c>
      <c r="H133" s="502">
        <v>6574864.21</v>
      </c>
      <c r="I133" s="502">
        <v>22080312.219999999</v>
      </c>
      <c r="J133" s="502">
        <v>514636308.03000003</v>
      </c>
      <c r="K133" s="502">
        <v>46539748.25</v>
      </c>
      <c r="L133" s="502">
        <v>16036277.290000001</v>
      </c>
      <c r="M133" s="503">
        <v>47603170.420000002</v>
      </c>
      <c r="N133" s="503">
        <v>25797686.900000002</v>
      </c>
      <c r="O133" s="503">
        <v>21808571.850000001</v>
      </c>
      <c r="P133" s="503">
        <v>13476055.52</v>
      </c>
      <c r="Q133" s="503">
        <v>5584623.0899999999</v>
      </c>
      <c r="R133" s="503">
        <v>11356615.819999998</v>
      </c>
      <c r="S133" s="92">
        <f t="shared" si="28"/>
        <v>764130001</v>
      </c>
      <c r="T133" s="444">
        <f t="shared" si="29"/>
        <v>9.4050241978165339</v>
      </c>
      <c r="U133" s="276"/>
    </row>
    <row r="134" spans="1:22" ht="13.5" thickBot="1">
      <c r="A134" s="106" t="str">
        <f t="shared" si="27"/>
        <v>4418p</v>
      </c>
      <c r="B134" s="630" t="str">
        <f>+VLOOKUP(LEFT($A134,LEN(A134)-1)*1,Master!$D$30:$G$226,4,FALSE)</f>
        <v>Izdaci za kupovinu hartija od vrijednosti</v>
      </c>
      <c r="C134" s="631"/>
      <c r="D134" s="631"/>
      <c r="E134" s="631"/>
      <c r="F134" s="631"/>
      <c r="G134" s="504">
        <v>0</v>
      </c>
      <c r="H134" s="504">
        <v>0</v>
      </c>
      <c r="I134" s="504">
        <v>3413000</v>
      </c>
      <c r="J134" s="504">
        <v>3413000</v>
      </c>
      <c r="K134" s="504">
        <v>3413000</v>
      </c>
      <c r="L134" s="504">
        <v>3413000</v>
      </c>
      <c r="M134" s="504">
        <v>3413000</v>
      </c>
      <c r="N134" s="504">
        <v>3427386.85</v>
      </c>
      <c r="O134" s="504">
        <v>3427386.85</v>
      </c>
      <c r="P134" s="504">
        <v>3427386.85</v>
      </c>
      <c r="Q134" s="504">
        <v>3427386.85</v>
      </c>
      <c r="R134" s="504">
        <v>3427386.84</v>
      </c>
      <c r="S134" s="550">
        <f t="shared" si="28"/>
        <v>34201934.24000001</v>
      </c>
      <c r="T134" s="531">
        <f t="shared" si="29"/>
        <v>0.42096242618188995</v>
      </c>
      <c r="U134" s="276"/>
      <c r="V134" s="494"/>
    </row>
    <row r="135" spans="1:22" ht="13.5" thickBot="1">
      <c r="A135" s="106" t="s">
        <v>856</v>
      </c>
      <c r="B135" s="630" t="s">
        <v>113</v>
      </c>
      <c r="C135" s="631"/>
      <c r="D135" s="631"/>
      <c r="E135" s="631"/>
      <c r="F135" s="631"/>
      <c r="G135" s="500">
        <v>0</v>
      </c>
      <c r="H135" s="500">
        <v>1500000</v>
      </c>
      <c r="I135" s="500">
        <v>780000</v>
      </c>
      <c r="J135" s="500">
        <v>780000</v>
      </c>
      <c r="K135" s="500">
        <v>660000</v>
      </c>
      <c r="L135" s="500">
        <v>660000</v>
      </c>
      <c r="M135" s="500">
        <v>0</v>
      </c>
      <c r="N135" s="500">
        <v>192001.6</v>
      </c>
      <c r="O135" s="500">
        <v>1056001.5999999999</v>
      </c>
      <c r="P135" s="500">
        <v>624001.6</v>
      </c>
      <c r="Q135" s="500">
        <v>624001.6</v>
      </c>
      <c r="R135" s="500">
        <v>624001.6</v>
      </c>
      <c r="S135" s="550">
        <f t="shared" si="28"/>
        <v>7500007.9999999981</v>
      </c>
      <c r="T135" s="531">
        <f t="shared" si="29"/>
        <v>9.2311199182739029E-2</v>
      </c>
      <c r="U135" s="276"/>
    </row>
    <row r="136" spans="1:22" ht="13.5" thickBot="1">
      <c r="A136" s="106" t="str">
        <f>+CONCATENATE(A60,"p")</f>
        <v>1002p</v>
      </c>
      <c r="B136" s="656" t="str">
        <f>+VLOOKUP(LEFT($A136,LEN(A136)-1)*1,Master!$D$30:$G$226,4,FALSE)</f>
        <v>Nedostajuća sredstva</v>
      </c>
      <c r="C136" s="657"/>
      <c r="D136" s="657"/>
      <c r="E136" s="657"/>
      <c r="F136" s="657"/>
      <c r="G136" s="509">
        <f>+G129-G131-G134-G135</f>
        <v>-70308523.860000029</v>
      </c>
      <c r="H136" s="509">
        <f t="shared" ref="H136:R136" si="36">+H129-H131-H134-H135</f>
        <v>-31245098.877298485</v>
      </c>
      <c r="I136" s="509">
        <f t="shared" si="36"/>
        <v>-56921553.759224489</v>
      </c>
      <c r="J136" s="509">
        <f t="shared" si="36"/>
        <v>-475619004.2504102</v>
      </c>
      <c r="K136" s="509">
        <f t="shared" si="36"/>
        <v>-101264136.32863553</v>
      </c>
      <c r="L136" s="509">
        <f t="shared" si="36"/>
        <v>-41657689.62824256</v>
      </c>
      <c r="M136" s="509">
        <f t="shared" si="36"/>
        <v>-75351393.258551925</v>
      </c>
      <c r="N136" s="509">
        <f t="shared" si="36"/>
        <v>-84492039.946803808</v>
      </c>
      <c r="O136" s="509">
        <f t="shared" si="36"/>
        <v>-49323969.143335596</v>
      </c>
      <c r="P136" s="509">
        <f t="shared" si="36"/>
        <v>-42935778.693951547</v>
      </c>
      <c r="Q136" s="509">
        <f t="shared" si="36"/>
        <v>-58214257.729270034</v>
      </c>
      <c r="R136" s="509">
        <f t="shared" si="36"/>
        <v>-53428584.1242963</v>
      </c>
      <c r="S136" s="552">
        <f t="shared" si="28"/>
        <v>-1140762029.6000204</v>
      </c>
      <c r="T136" s="535">
        <f t="shared" si="29"/>
        <v>-14.040666481224173</v>
      </c>
      <c r="U136" s="276"/>
    </row>
    <row r="137" spans="1:22" ht="13.5" thickBot="1">
      <c r="A137" s="106" t="str">
        <f>+CONCATENATE(A61,"p")</f>
        <v>1003p</v>
      </c>
      <c r="B137" s="630" t="str">
        <f>+VLOOKUP(LEFT($A137,LEN(A137)-1)*1,Master!$D$30:$G$226,4,FALSE)</f>
        <v>Finansiranje</v>
      </c>
      <c r="C137" s="631"/>
      <c r="D137" s="631"/>
      <c r="E137" s="631"/>
      <c r="F137" s="631"/>
      <c r="G137" s="504">
        <f t="shared" ref="G137" si="37">+SUM(G138:G142)</f>
        <v>70308523.860000029</v>
      </c>
      <c r="H137" s="504">
        <f t="shared" ref="H137:R137" si="38">+SUM(H138:H142)</f>
        <v>31245098.877298485</v>
      </c>
      <c r="I137" s="504">
        <f t="shared" si="38"/>
        <v>56921553.759224534</v>
      </c>
      <c r="J137" s="504">
        <f t="shared" si="38"/>
        <v>475619004.2504102</v>
      </c>
      <c r="K137" s="504">
        <f t="shared" si="38"/>
        <v>101264136.32863553</v>
      </c>
      <c r="L137" s="504">
        <f t="shared" si="38"/>
        <v>41657689.62824256</v>
      </c>
      <c r="M137" s="504">
        <f t="shared" si="38"/>
        <v>75351393.258551925</v>
      </c>
      <c r="N137" s="504">
        <f t="shared" si="38"/>
        <v>84492039.946803808</v>
      </c>
      <c r="O137" s="504">
        <f t="shared" si="38"/>
        <v>49323969.143335596</v>
      </c>
      <c r="P137" s="504">
        <f t="shared" si="38"/>
        <v>42935778.693951547</v>
      </c>
      <c r="Q137" s="504">
        <f t="shared" si="38"/>
        <v>58214257.729270034</v>
      </c>
      <c r="R137" s="504">
        <f t="shared" si="38"/>
        <v>53428584.1242963</v>
      </c>
      <c r="S137" s="553">
        <f t="shared" si="28"/>
        <v>1140762029.6000204</v>
      </c>
      <c r="T137" s="537">
        <f t="shared" si="29"/>
        <v>14.040666481224173</v>
      </c>
      <c r="U137" s="276"/>
    </row>
    <row r="138" spans="1:22">
      <c r="A138" s="106" t="str">
        <f>+CONCATENATE(A62,"p")</f>
        <v>7511p</v>
      </c>
      <c r="B138" s="658" t="str">
        <f>+VLOOKUP(LEFT($A138,LEN(A138)-1)*1,Master!$D$30:$G$226,4,FALSE)</f>
        <v>Pozajmice i krediti od domaćih izvora</v>
      </c>
      <c r="C138" s="659"/>
      <c r="D138" s="659"/>
      <c r="E138" s="659"/>
      <c r="F138" s="659"/>
      <c r="G138" s="502">
        <v>0</v>
      </c>
      <c r="H138" s="502">
        <v>0</v>
      </c>
      <c r="I138" s="502">
        <v>0</v>
      </c>
      <c r="J138" s="502">
        <v>50000000</v>
      </c>
      <c r="K138" s="502">
        <v>0</v>
      </c>
      <c r="L138" s="502">
        <v>0</v>
      </c>
      <c r="M138" s="502">
        <v>0</v>
      </c>
      <c r="N138" s="502">
        <v>0</v>
      </c>
      <c r="O138" s="502">
        <v>65000000</v>
      </c>
      <c r="P138" s="502">
        <v>0</v>
      </c>
      <c r="Q138" s="502">
        <v>0</v>
      </c>
      <c r="R138" s="502">
        <v>0</v>
      </c>
      <c r="S138" s="92">
        <f t="shared" si="28"/>
        <v>115000000</v>
      </c>
      <c r="T138" s="444">
        <f t="shared" si="29"/>
        <v>1.4154368776693294</v>
      </c>
      <c r="U138" s="276"/>
    </row>
    <row r="139" spans="1:22">
      <c r="A139" s="106" t="str">
        <f>+CONCATENATE(A63,"p")</f>
        <v>7512p</v>
      </c>
      <c r="B139" s="652" t="str">
        <f>+VLOOKUP(LEFT($A139,LEN(A139)-1)*1,Master!$D$30:$G$226,4,FALSE)</f>
        <v>Pozajmice i krediti od inostranih izvora</v>
      </c>
      <c r="C139" s="653"/>
      <c r="D139" s="653"/>
      <c r="E139" s="653"/>
      <c r="F139" s="653"/>
      <c r="G139" s="502">
        <v>0</v>
      </c>
      <c r="H139" s="502">
        <v>0</v>
      </c>
      <c r="I139" s="502">
        <v>700000000</v>
      </c>
      <c r="J139" s="502">
        <v>0</v>
      </c>
      <c r="K139" s="502">
        <v>0</v>
      </c>
      <c r="L139" s="502">
        <v>0</v>
      </c>
      <c r="M139" s="502">
        <v>0</v>
      </c>
      <c r="N139" s="502">
        <v>0</v>
      </c>
      <c r="O139" s="502">
        <v>70014118.590000004</v>
      </c>
      <c r="P139" s="502">
        <v>0</v>
      </c>
      <c r="Q139" s="502">
        <v>0</v>
      </c>
      <c r="R139" s="502">
        <v>0</v>
      </c>
      <c r="S139" s="92">
        <f t="shared" si="28"/>
        <v>770014118.59000003</v>
      </c>
      <c r="T139" s="444">
        <f t="shared" si="29"/>
        <v>9.4774467806811327</v>
      </c>
      <c r="U139" s="276"/>
    </row>
    <row r="140" spans="1:22">
      <c r="A140" s="106" t="str">
        <f>+CONCATENATE(A64,"p")</f>
        <v>72p</v>
      </c>
      <c r="B140" s="652" t="str">
        <f>+VLOOKUP(LEFT($A140,LEN(A140)-1)*1,Master!$D$30:$G$226,4,FALSE)</f>
        <v>Primici od prodaje imovine</v>
      </c>
      <c r="C140" s="653"/>
      <c r="D140" s="653"/>
      <c r="E140" s="653"/>
      <c r="F140" s="653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7.3848880574051964E-2</v>
      </c>
      <c r="U140" s="276"/>
    </row>
    <row r="141" spans="1:22">
      <c r="A141" s="106" t="s">
        <v>855</v>
      </c>
      <c r="B141" s="558" t="s">
        <v>101</v>
      </c>
      <c r="C141" s="559"/>
      <c r="D141" s="559"/>
      <c r="E141" s="559"/>
      <c r="F141" s="559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28"/>
        <v>9747904</v>
      </c>
      <c r="T141" s="444">
        <f t="shared" si="29"/>
        <v>0.11997863305722056</v>
      </c>
      <c r="U141" s="276"/>
    </row>
    <row r="142" spans="1:22" ht="13.5" thickBot="1">
      <c r="A142" s="106" t="str">
        <f t="shared" ref="A142" si="39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69727001.523485318</v>
      </c>
      <c r="H142" s="86">
        <f t="shared" ref="H142:R142" si="40">-H136-SUM(H138:H141)</f>
        <v>30299125.764182776</v>
      </c>
      <c r="I142" s="86">
        <f t="shared" si="40"/>
        <v>-643881593.75007653</v>
      </c>
      <c r="J142" s="86">
        <f t="shared" si="40"/>
        <v>424707332.95849049</v>
      </c>
      <c r="K142" s="86">
        <f t="shared" si="40"/>
        <v>99810917.518458486</v>
      </c>
      <c r="L142" s="86">
        <f t="shared" si="40"/>
        <v>39626759.035546698</v>
      </c>
      <c r="M142" s="86">
        <f t="shared" si="40"/>
        <v>74692673.3942945</v>
      </c>
      <c r="N142" s="86">
        <f>-N136-SUM(N138:N141)</f>
        <v>82464586.98167555</v>
      </c>
      <c r="O142" s="86">
        <f>-O136-SUM(O138:O141)</f>
        <v>-86406586.256374434</v>
      </c>
      <c r="P142" s="86">
        <f t="shared" si="40"/>
        <v>42172592.004191622</v>
      </c>
      <c r="Q142" s="86">
        <f t="shared" si="40"/>
        <v>56010665.2535538</v>
      </c>
      <c r="R142" s="86">
        <f t="shared" si="40"/>
        <v>50776532.582592227</v>
      </c>
      <c r="S142" s="94">
        <f>+SUM(G142:R142)</f>
        <v>240000007.01002049</v>
      </c>
      <c r="T142" s="448">
        <f t="shared" si="29"/>
        <v>2.9539553092424398</v>
      </c>
      <c r="U142" s="276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QXOCZ7Bcce9iltUXgTv3IIVNRWEilKSBwgXQdxtgDiRSER0KJuWjysFm9tv467cQh++pW9Bl7J7pOBeTFJ94mA==" saltValue="T7k0eaXA9rbx6lNZIXrH7A==" spinCount="100000" sheet="1" objects="1" scenarios="1"/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horizontalDpi="4294967294" verticalDpi="4294967294" r:id="rId1"/>
  <ignoredErrors>
    <ignoredError sqref="G40:H40 G55:H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67" t="str">
        <f>+Master!G252</f>
        <v>Ostvarenje budžeta</v>
      </c>
      <c r="C7" s="568"/>
      <c r="D7" s="568"/>
      <c r="E7" s="568"/>
      <c r="F7" s="568"/>
      <c r="G7" s="576">
        <v>2023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tr">
        <f>+Master!G249</f>
        <v>BDP</v>
      </c>
      <c r="T7" s="221">
        <v>6963615000</v>
      </c>
    </row>
    <row r="8" spans="1:24" ht="16.5" customHeight="1">
      <c r="A8" s="129"/>
      <c r="B8" s="569"/>
      <c r="C8" s="570"/>
      <c r="D8" s="570"/>
      <c r="E8" s="570"/>
      <c r="F8" s="571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6" t="str">
        <f>+Master!G247</f>
        <v>Jan - Dec</v>
      </c>
      <c r="T8" s="580"/>
    </row>
    <row r="9" spans="1:24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7" t="str">
        <f>+VLOOKUP($A10,Master!$D$30:$G$226,4,FALSE)</f>
        <v>Prihodi budžeta</v>
      </c>
      <c r="C10" s="588"/>
      <c r="D10" s="588"/>
      <c r="E10" s="588"/>
      <c r="F10" s="588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601" t="str">
        <f>+VLOOKUP($A28,Master!$D$30:$G$226,4,FALSE)</f>
        <v>Donacije i transferi</v>
      </c>
      <c r="C28" s="602"/>
      <c r="D28" s="602"/>
      <c r="E28" s="602"/>
      <c r="F28" s="602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15" t="str">
        <f>+VLOOKUP($A34,Master!$D$30:$G$226,4,FALSE)</f>
        <v>Rashodi za usluge</v>
      </c>
      <c r="C34" s="616"/>
      <c r="D34" s="616"/>
      <c r="E34" s="616"/>
      <c r="F34" s="616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97" t="str">
        <f>+VLOOKUP($A39,Master!$D$30:$G$226,4,FALSE)</f>
        <v>Ostali izdaci</v>
      </c>
      <c r="C39" s="598"/>
      <c r="D39" s="598"/>
      <c r="E39" s="598"/>
      <c r="F39" s="598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17" t="str">
        <f>+VLOOKUP($A45,Master!$D$30:$G$226,4,FALSE)</f>
        <v>Ostala prava iz zdravstvenog osiguranja</v>
      </c>
      <c r="C45" s="618"/>
      <c r="D45" s="618"/>
      <c r="E45" s="618"/>
      <c r="F45" s="618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19" t="str">
        <f>+VLOOKUP($A48,Master!$D$30:$G$226,4,FALSE)</f>
        <v>Pozajmice i krediti</v>
      </c>
      <c r="C48" s="620"/>
      <c r="D48" s="620"/>
      <c r="E48" s="620"/>
      <c r="F48" s="620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24" t="str">
        <f>+VLOOKUP($A49,Master!$D$30:$G$226,4,FALSE)</f>
        <v>Rezerve</v>
      </c>
      <c r="C49" s="625"/>
      <c r="D49" s="625"/>
      <c r="E49" s="625"/>
      <c r="F49" s="625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26" t="str">
        <f>+VLOOKUP($A51,Master!$D$30:$G$226,4,TRUE)</f>
        <v>Otplata obaveza iz prethodnog perioda</v>
      </c>
      <c r="C51" s="627"/>
      <c r="D51" s="627"/>
      <c r="E51" s="627"/>
      <c r="F51" s="627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28" t="str">
        <f>+VLOOKUP($A52,Master!$D$30:$G$228,4,FALSE)</f>
        <v>Neto povećanje obaveza</v>
      </c>
      <c r="C52" s="629"/>
      <c r="D52" s="629"/>
      <c r="E52" s="629"/>
      <c r="F52" s="629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581" t="str">
        <f>+VLOOKUP($A56,Master!$D$30:$G$226,4,FALSE)</f>
        <v>Otplata hartija od vrijednosti i kredita rezidentima</v>
      </c>
      <c r="C56" s="582"/>
      <c r="D56" s="582"/>
      <c r="E56" s="582"/>
      <c r="F56" s="582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603" t="str">
        <f>+VLOOKUP($A58,Master!$D$30:$G$226,4,FALSE)</f>
        <v>Izdaci za kupovinu hartija od vrijednosti</v>
      </c>
      <c r="C58" s="604"/>
      <c r="D58" s="604"/>
      <c r="E58" s="604"/>
      <c r="F58" s="604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603" t="str">
        <f>+VLOOKUP($A59,Master!$D$30:$G$226,4,FALSE)</f>
        <v>Pozajmice i krediti</v>
      </c>
      <c r="C59" s="604"/>
      <c r="D59" s="604"/>
      <c r="E59" s="604"/>
      <c r="F59" s="604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585" t="str">
        <f>+VLOOKUP($A60,Master!$D$30:$G$226,4,FALSE)</f>
        <v>Nedostajuća sredstva</v>
      </c>
      <c r="C60" s="586"/>
      <c r="D60" s="586"/>
      <c r="E60" s="586"/>
      <c r="F60" s="586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87" t="str">
        <f>+VLOOKUP($A61,Master!$D$30:$G$226,4,FALSE)</f>
        <v>Finansiranje</v>
      </c>
      <c r="C61" s="588"/>
      <c r="D61" s="588"/>
      <c r="E61" s="588"/>
      <c r="F61" s="588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581" t="str">
        <f>+VLOOKUP($A62,Master!$D$30:$G$226,4,FALSE)</f>
        <v>Pozajmice i krediti od domaćih izvora</v>
      </c>
      <c r="C62" s="582"/>
      <c r="D62" s="582"/>
      <c r="E62" s="582"/>
      <c r="F62" s="582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65" t="str">
        <f>+VLOOKUP($A63,Master!$D$30:$G$226,4,FALSE)</f>
        <v>Pozajmice i krediti od inostranih izvora</v>
      </c>
      <c r="C63" s="566"/>
      <c r="D63" s="566"/>
      <c r="E63" s="566"/>
      <c r="F63" s="566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65" t="str">
        <f>+VLOOKUP($A64,Master!$D$30:$G$226,4,FALSE)</f>
        <v>Primici od prodaje imovine</v>
      </c>
      <c r="C64" s="566"/>
      <c r="D64" s="566"/>
      <c r="E64" s="566"/>
      <c r="F64" s="566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65" t="s">
        <v>101</v>
      </c>
      <c r="C65" s="566"/>
      <c r="D65" s="566"/>
      <c r="E65" s="566"/>
      <c r="F65" s="566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6" t="str">
        <f>+Master!G253</f>
        <v>Plan ostvarenja budžeta</v>
      </c>
      <c r="C83" s="637"/>
      <c r="D83" s="637"/>
      <c r="E83" s="637"/>
      <c r="F83" s="637"/>
      <c r="G83" s="621">
        <v>2023</v>
      </c>
      <c r="H83" s="622"/>
      <c r="I83" s="622"/>
      <c r="J83" s="622"/>
      <c r="K83" s="622"/>
      <c r="L83" s="622"/>
      <c r="M83" s="622"/>
      <c r="N83" s="622"/>
      <c r="O83" s="622"/>
      <c r="P83" s="622"/>
      <c r="Q83" s="622"/>
      <c r="R83" s="623"/>
      <c r="S83" s="96" t="str">
        <f>+S7</f>
        <v>BDP</v>
      </c>
      <c r="T83" s="97">
        <v>6624340418</v>
      </c>
    </row>
    <row r="84" spans="1:26" ht="15.75" customHeight="1">
      <c r="B84" s="638"/>
      <c r="C84" s="639"/>
      <c r="D84" s="639"/>
      <c r="E84" s="639"/>
      <c r="F84" s="640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21" t="str">
        <f>+Master!G247</f>
        <v>Jan - Dec</v>
      </c>
      <c r="T84" s="623">
        <f>+T8</f>
        <v>0</v>
      </c>
    </row>
    <row r="85" spans="1:26" ht="13.5" thickBot="1">
      <c r="B85" s="641"/>
      <c r="C85" s="642"/>
      <c r="D85" s="642"/>
      <c r="E85" s="642"/>
      <c r="F85" s="643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30" t="str">
        <f>+VLOOKUP(LEFT($A86,LEN(A86)-1)*1,Master!$D$30:$G$226,4,FALSE)</f>
        <v>Prihodi budžeta</v>
      </c>
      <c r="C86" s="631"/>
      <c r="D86" s="631"/>
      <c r="E86" s="631"/>
      <c r="F86" s="631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2" t="str">
        <f>+VLOOKUP(LEFT($A87,LEN(A87)-1)*1,Master!$D$30:$G$226,4,FALSE)</f>
        <v>Porezi</v>
      </c>
      <c r="C87" s="633"/>
      <c r="D87" s="633"/>
      <c r="E87" s="633"/>
      <c r="F87" s="633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34" t="str">
        <f>+VLOOKUP(LEFT($A88,LEN(A88)-1)*1,Master!$D$30:$G$229,4,FALSE)</f>
        <v>Porez na dohodak fizičkih lica</v>
      </c>
      <c r="C88" s="635"/>
      <c r="D88" s="635"/>
      <c r="E88" s="635"/>
      <c r="F88" s="635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34" t="str">
        <f>+VLOOKUP(LEFT($A89,LEN(A89)-1)*1,Master!$D$30:$G$229,4,FALSE)</f>
        <v>Porez na dobit pravnih lica</v>
      </c>
      <c r="C89" s="635"/>
      <c r="D89" s="635"/>
      <c r="E89" s="635"/>
      <c r="F89" s="635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34" t="str">
        <f>+VLOOKUP(LEFT($A90,LEN(A90)-1)*1,Master!$D$30:$G$229,4,FALSE)</f>
        <v>Porez na promet nepokretnosti</v>
      </c>
      <c r="C90" s="635"/>
      <c r="D90" s="635"/>
      <c r="E90" s="635"/>
      <c r="F90" s="635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34" t="str">
        <f>+VLOOKUP(LEFT($A91,LEN(A91)-1)*1,Master!$D$30:$G$229,4,FALSE)</f>
        <v>Porez na dodatu vrijednost</v>
      </c>
      <c r="C91" s="635"/>
      <c r="D91" s="635"/>
      <c r="E91" s="635"/>
      <c r="F91" s="635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34" t="str">
        <f>+VLOOKUP(LEFT($A92,LEN(A92)-1)*1,Master!$D$30:$G$229,4,FALSE)</f>
        <v>Akcize</v>
      </c>
      <c r="C92" s="635"/>
      <c r="D92" s="635"/>
      <c r="E92" s="635"/>
      <c r="F92" s="635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34" t="str">
        <f>+VLOOKUP(LEFT($A93,LEN(A93)-1)*1,Master!$D$30:$G$229,4,FALSE)</f>
        <v>Porez na međunarodnu trgovinu i transakcije</v>
      </c>
      <c r="C93" s="635"/>
      <c r="D93" s="635"/>
      <c r="E93" s="635"/>
      <c r="F93" s="635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34" t="str">
        <f>+VLOOKUP(LEFT($A94,LEN(A94)-1)*1,Master!$D$30:$G$229,4,FALSE)</f>
        <v>Ostali državni porezi</v>
      </c>
      <c r="C94" s="635"/>
      <c r="D94" s="635"/>
      <c r="E94" s="635"/>
      <c r="F94" s="635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44" t="str">
        <f>+VLOOKUP(LEFT($A95,LEN(A95)-1)*1,Master!$D$30:$G$229,4,FALSE)</f>
        <v>Doprinosi</v>
      </c>
      <c r="C95" s="645"/>
      <c r="D95" s="645"/>
      <c r="E95" s="645"/>
      <c r="F95" s="645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34" t="str">
        <f>+VLOOKUP(LEFT($A96,LEN(A96)-1)*1,Master!$D$30:$G$229,4,FALSE)</f>
        <v>Doprinosi za penzijsko i invalidsko osiguranje</v>
      </c>
      <c r="C96" s="635"/>
      <c r="D96" s="635"/>
      <c r="E96" s="635"/>
      <c r="F96" s="635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34" t="str">
        <f>+VLOOKUP(LEFT($A97,LEN(A97)-1)*1,Master!$D$30:$G$229,4,FALSE)</f>
        <v>Doprinosi za zdravstveno osiguranje</v>
      </c>
      <c r="C97" s="635"/>
      <c r="D97" s="635"/>
      <c r="E97" s="635"/>
      <c r="F97" s="635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34" t="str">
        <f>+VLOOKUP(LEFT($A98,LEN(A98)-1)*1,Master!$D$30:$G$229,4,FALSE)</f>
        <v>Doprinosi za osiguranje od nezaposlenosti</v>
      </c>
      <c r="C98" s="635"/>
      <c r="D98" s="635"/>
      <c r="E98" s="635"/>
      <c r="F98" s="635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34" t="str">
        <f>+VLOOKUP(LEFT($A99,LEN(A99)-1)*1,Master!$D$30:$G$229,4,FALSE)</f>
        <v>Ostali doprinosi</v>
      </c>
      <c r="C99" s="635"/>
      <c r="D99" s="635"/>
      <c r="E99" s="635"/>
      <c r="F99" s="635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44" t="str">
        <f>+VLOOKUP(LEFT($A100,LEN(A100)-1)*1,Master!$D$30:$G$229,4,FALSE)</f>
        <v>Takse</v>
      </c>
      <c r="C100" s="645"/>
      <c r="D100" s="645"/>
      <c r="E100" s="645"/>
      <c r="F100" s="645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44" t="str">
        <f>+VLOOKUP(LEFT($A101,LEN(A101)-1)*1,Master!$D$30:$G$229,4,FALSE)</f>
        <v>Naknade</v>
      </c>
      <c r="C101" s="645"/>
      <c r="D101" s="645"/>
      <c r="E101" s="645"/>
      <c r="F101" s="645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44" t="str">
        <f>+VLOOKUP(LEFT($A102,LEN(A102)-1)*1,Master!$D$30:$G$229,4,FALSE)</f>
        <v>Ostali prihodi</v>
      </c>
      <c r="C102" s="645"/>
      <c r="D102" s="645"/>
      <c r="E102" s="645"/>
      <c r="F102" s="645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44" t="str">
        <f>+VLOOKUP(LEFT($A103,LEN(A103)-1)*1,Master!$D$30:$G$229,4,FALSE)</f>
        <v>Primici od otplate kredita i sredstva prenesena iz prethodne godine</v>
      </c>
      <c r="C103" s="645"/>
      <c r="D103" s="645"/>
      <c r="E103" s="645"/>
      <c r="F103" s="645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46" t="str">
        <f>+VLOOKUP(LEFT($A104,LEN(A104)-1)*1,Master!$D$30:$G$229,4,FALSE)</f>
        <v>Donacije i transferi</v>
      </c>
      <c r="C104" s="647"/>
      <c r="D104" s="647"/>
      <c r="E104" s="647"/>
      <c r="F104" s="647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30" t="str">
        <f>+VLOOKUP(LEFT($A105,LEN(A105)-1)*1,Master!$D$30:$G$229,4,FALSE)</f>
        <v>Izdaci budžeta</v>
      </c>
      <c r="C105" s="631"/>
      <c r="D105" s="631"/>
      <c r="E105" s="631"/>
      <c r="F105" s="631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48" t="str">
        <f>+VLOOKUP(LEFT($A106,LEN(A106)-1)*1,Master!$D$30:$G$229,4,FALSE)</f>
        <v>Tekući izdaci</v>
      </c>
      <c r="C106" s="649"/>
      <c r="D106" s="649"/>
      <c r="E106" s="649"/>
      <c r="F106" s="649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34" t="str">
        <f>+VLOOKUP(LEFT($A107,LEN(A107)-1)*1,Master!$D$30:$G$229,4,FALSE)</f>
        <v>Bruto zarade i doprinosi na teret poslodavca</v>
      </c>
      <c r="C107" s="635"/>
      <c r="D107" s="635"/>
      <c r="E107" s="635"/>
      <c r="F107" s="635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34" t="str">
        <f>+VLOOKUP(LEFT($A108,LEN(A108)-1)*1,Master!$D$30:$G$229,4,FALSE)</f>
        <v>Ostala lična primanja</v>
      </c>
      <c r="C108" s="635"/>
      <c r="D108" s="635"/>
      <c r="E108" s="635"/>
      <c r="F108" s="635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34" t="str">
        <f>+VLOOKUP(LEFT($A109,LEN(A109)-1)*1,Master!$D$30:$G$229,4,FALSE)</f>
        <v>Rashodi za materijal</v>
      </c>
      <c r="C109" s="635"/>
      <c r="D109" s="635"/>
      <c r="E109" s="635"/>
      <c r="F109" s="635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34" t="str">
        <f>+VLOOKUP(LEFT($A110,LEN(A110)-1)*1,Master!$D$30:$G$229,4,FALSE)</f>
        <v>Rashodi za usluge</v>
      </c>
      <c r="C110" s="635"/>
      <c r="D110" s="635"/>
      <c r="E110" s="635"/>
      <c r="F110" s="635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34" t="str">
        <f>+VLOOKUP(LEFT($A111,LEN(A111)-1)*1,Master!$D$30:$G$229,4,FALSE)</f>
        <v>Rashodi za tekuće održavanje</v>
      </c>
      <c r="C111" s="635"/>
      <c r="D111" s="635"/>
      <c r="E111" s="635"/>
      <c r="F111" s="635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34" t="str">
        <f>+VLOOKUP(LEFT($A112,LEN(A112)-1)*1,Master!$D$30:$G$229,4,FALSE)</f>
        <v>Kamate</v>
      </c>
      <c r="C112" s="635"/>
      <c r="D112" s="635"/>
      <c r="E112" s="635"/>
      <c r="F112" s="635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34" t="str">
        <f>+VLOOKUP(LEFT($A113,LEN(A113)-1)*1,Master!$D$30:$G$229,4,FALSE)</f>
        <v>Renta</v>
      </c>
      <c r="C113" s="635"/>
      <c r="D113" s="635"/>
      <c r="E113" s="635"/>
      <c r="F113" s="635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34" t="str">
        <f>+VLOOKUP(LEFT($A114,LEN(A114)-1)*1,Master!$D$30:$G$229,4,FALSE)</f>
        <v>Subvencije</v>
      </c>
      <c r="C114" s="635"/>
      <c r="D114" s="635"/>
      <c r="E114" s="635"/>
      <c r="F114" s="635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34" t="str">
        <f>+VLOOKUP(LEFT($A115,LEN(A115)-1)*1,Master!$D$30:$G$229,4,FALSE)</f>
        <v>Ostali izdaci</v>
      </c>
      <c r="C115" s="635"/>
      <c r="D115" s="635"/>
      <c r="E115" s="635"/>
      <c r="F115" s="635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54" t="str">
        <f>+VLOOKUP(LEFT($A116,LEN(A116)-1)*1,Master!$D$30:$G$229,4,FALSE)</f>
        <v>Transferi za socijalnu zaštitu</v>
      </c>
      <c r="C116" s="655"/>
      <c r="D116" s="655"/>
      <c r="E116" s="655"/>
      <c r="F116" s="655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34" t="str">
        <f>+VLOOKUP(LEFT($A117,LEN(A117)-1)*1,Master!$D$30:$G$229,4,FALSE)</f>
        <v>Prava iz oblasti socijalne zaštite</v>
      </c>
      <c r="C117" s="635"/>
      <c r="D117" s="635"/>
      <c r="E117" s="635"/>
      <c r="F117" s="635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34" t="str">
        <f>+VLOOKUP(LEFT($A118,LEN(A118)-1)*1,Master!$D$30:$G$229,4,FALSE)</f>
        <v>Sredstva za tehnološke viškove</v>
      </c>
      <c r="C118" s="635"/>
      <c r="D118" s="635"/>
      <c r="E118" s="635"/>
      <c r="F118" s="635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34" t="str">
        <f>+VLOOKUP(LEFT($A119,LEN(A119)-1)*1,Master!$D$30:$G$229,4,FALSE)</f>
        <v>Prava iz oblasti penzijskog i invalidskog osiguranja</v>
      </c>
      <c r="C119" s="635"/>
      <c r="D119" s="635"/>
      <c r="E119" s="635"/>
      <c r="F119" s="635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34" t="str">
        <f>+VLOOKUP(LEFT($A120,LEN(A120)-1)*1,Master!$D$30:$G$229,4,FALSE)</f>
        <v>Ostala prava iz oblasti zdravstvene zaštite</v>
      </c>
      <c r="C120" s="635"/>
      <c r="D120" s="635"/>
      <c r="E120" s="635"/>
      <c r="F120" s="635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34" t="str">
        <f>+VLOOKUP(LEFT($A121,LEN(A121)-1)*1,Master!$D$30:$G$229,4,FALSE)</f>
        <v>Ostala prava iz zdravstvenog osiguranja</v>
      </c>
      <c r="C121" s="635"/>
      <c r="D121" s="635"/>
      <c r="E121" s="635"/>
      <c r="F121" s="635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50" t="str">
        <f>+VLOOKUP(LEFT($A122,LEN(A122)-1)*1,Master!$D$30:$G$229,4,FALSE)</f>
        <v xml:space="preserve">Transferi institucijama, pojedincima, nevladinom i javnom sektoru </v>
      </c>
      <c r="C122" s="651"/>
      <c r="D122" s="651"/>
      <c r="E122" s="651"/>
      <c r="F122" s="651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50" t="str">
        <f>+VLOOKUP(LEFT($A123,LEN(A123)-1)*1,Master!$D$30:$G$229,4,FALSE)</f>
        <v>Kapitalni izdaci</v>
      </c>
      <c r="C123" s="651"/>
      <c r="D123" s="651"/>
      <c r="E123" s="651"/>
      <c r="F123" s="651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52" t="str">
        <f>+VLOOKUP(LEFT($A124,LEN(A124)-1)*1,Master!$D$30:$G$229,4,FALSE)</f>
        <v>Pozajmice i krediti</v>
      </c>
      <c r="C124" s="653"/>
      <c r="D124" s="653"/>
      <c r="E124" s="653"/>
      <c r="F124" s="653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52" t="str">
        <f>+VLOOKUP(LEFT($A125,LEN(A125)-1)*1,Master!$D$30:$G$229,4,FALSE)</f>
        <v>Rezerve</v>
      </c>
      <c r="C125" s="653"/>
      <c r="D125" s="653"/>
      <c r="E125" s="653"/>
      <c r="F125" s="653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52" t="str">
        <f>+VLOOKUP(LEFT($A126,LEN(A126)-1)*1,Master!$D$30:$G$229,4,FALSE)</f>
        <v>Otplata garancija</v>
      </c>
      <c r="C126" s="653"/>
      <c r="D126" s="653"/>
      <c r="E126" s="653"/>
      <c r="F126" s="653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52" t="str">
        <f>+VLOOKUP(LEFT($A127,LEN(A127)-1)*1,Master!$D$30:$G$229,4,FALSE)</f>
        <v>Otplata obaveza iz prethodnog perioda</v>
      </c>
      <c r="C127" s="653"/>
      <c r="D127" s="653"/>
      <c r="E127" s="653"/>
      <c r="F127" s="653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52" t="str">
        <f>+VLOOKUP(LEFT($A128,LEN(A128)-1)*1,Master!$D$30:$G$229,4,FALSE)</f>
        <v>Neto povećanje obaveza</v>
      </c>
      <c r="C128" s="653"/>
      <c r="D128" s="653"/>
      <c r="E128" s="653"/>
      <c r="F128" s="653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60" t="str">
        <f>+VLOOKUP(LEFT($A129,LEN(A129)-1)*1,Master!$D$30:$G$226,4,FALSE)</f>
        <v>Suficit / deficit</v>
      </c>
      <c r="C129" s="661"/>
      <c r="D129" s="661"/>
      <c r="E129" s="661"/>
      <c r="F129" s="661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62" t="str">
        <f>+VLOOKUP(LEFT($A130,LEN(A130)-1)*1,Master!$D$30:$G$226,4,FALSE)</f>
        <v>Primarni suficit/deficit</v>
      </c>
      <c r="C130" s="663"/>
      <c r="D130" s="663"/>
      <c r="E130" s="663"/>
      <c r="F130" s="663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54" t="str">
        <f>+VLOOKUP(LEFT($A131,LEN(A131)-1)*1,Master!$D$30:$G$226,4,FALSE)</f>
        <v>Otplata dugova</v>
      </c>
      <c r="C131" s="655"/>
      <c r="D131" s="655"/>
      <c r="E131" s="655"/>
      <c r="F131" s="655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58" t="str">
        <f>+VLOOKUP(LEFT($A132,LEN(A132)-1)*1,Master!$D$30:$G$226,4,FALSE)</f>
        <v>Otplata hartija od vrijednosti i kredita rezidentima</v>
      </c>
      <c r="C132" s="659"/>
      <c r="D132" s="659"/>
      <c r="E132" s="659"/>
      <c r="F132" s="659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52" t="str">
        <f>+VLOOKUP(LEFT($A133,LEN(A133)-1)*1,Master!$D$30:$G$226,4,FALSE)</f>
        <v>Otplata hartija od vrijednosti i kredita nerezidentima</v>
      </c>
      <c r="C133" s="653"/>
      <c r="D133" s="653"/>
      <c r="E133" s="653"/>
      <c r="F133" s="653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30" t="str">
        <f>+VLOOKUP(LEFT($A134,LEN(A134)-1)*1,Master!$D$30:$G$226,4,FALSE)</f>
        <v>Izdaci za kupovinu hartija od vrijednosti</v>
      </c>
      <c r="C134" s="631"/>
      <c r="D134" s="631"/>
      <c r="E134" s="631"/>
      <c r="F134" s="631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30" t="s">
        <v>113</v>
      </c>
      <c r="C135" s="631"/>
      <c r="D135" s="631"/>
      <c r="E135" s="631"/>
      <c r="F135" s="631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56" t="str">
        <f>+VLOOKUP(LEFT($A136,LEN(A136)-1)*1,Master!$D$30:$G$226,4,FALSE)</f>
        <v>Nedostajuća sredstva</v>
      </c>
      <c r="C136" s="657"/>
      <c r="D136" s="657"/>
      <c r="E136" s="657"/>
      <c r="F136" s="657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30" t="str">
        <f>+VLOOKUP(LEFT($A137,LEN(A137)-1)*1,Master!$D$30:$G$226,4,FALSE)</f>
        <v>Finansiranje</v>
      </c>
      <c r="C137" s="631"/>
      <c r="D137" s="631"/>
      <c r="E137" s="631"/>
      <c r="F137" s="631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58" t="str">
        <f>+VLOOKUP(LEFT($A138,LEN(A138)-1)*1,Master!$D$30:$G$226,4,FALSE)</f>
        <v>Pozajmice i krediti od domaćih izvora</v>
      </c>
      <c r="C138" s="659"/>
      <c r="D138" s="659"/>
      <c r="E138" s="659"/>
      <c r="F138" s="659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52" t="str">
        <f>+VLOOKUP(LEFT($A139,LEN(A139)-1)*1,Master!$D$30:$G$226,4,FALSE)</f>
        <v>Pozajmice i krediti od inostranih izvora</v>
      </c>
      <c r="C139" s="653"/>
      <c r="D139" s="653"/>
      <c r="E139" s="653"/>
      <c r="F139" s="653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52" t="str">
        <f>+VLOOKUP(LEFT($A140,LEN(A140)-1)*1,Master!$D$30:$G$226,4,FALSE)</f>
        <v>Primici od prodaje imovine</v>
      </c>
      <c r="C140" s="653"/>
      <c r="D140" s="653"/>
      <c r="E140" s="653"/>
      <c r="F140" s="653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67" t="str">
        <f>+Master!G252</f>
        <v>Ostvarenje budžeta</v>
      </c>
      <c r="C7" s="568"/>
      <c r="D7" s="568"/>
      <c r="E7" s="568"/>
      <c r="F7" s="568"/>
      <c r="G7" s="576">
        <v>2022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tr">
        <f>+Master!G249</f>
        <v>BDP</v>
      </c>
      <c r="T7" s="221">
        <v>5796761000</v>
      </c>
    </row>
    <row r="8" spans="1:23" ht="16.5" customHeight="1">
      <c r="A8" s="129"/>
      <c r="B8" s="569"/>
      <c r="C8" s="570"/>
      <c r="D8" s="570"/>
      <c r="E8" s="570"/>
      <c r="F8" s="57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6" t="str">
        <f>+Master!G247</f>
        <v>Jan - Dec</v>
      </c>
      <c r="T8" s="580"/>
    </row>
    <row r="9" spans="1:23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7" t="str">
        <f>+VLOOKUP($A10,Master!$D$30:$G$226,4,FALSE)</f>
        <v>Prihodi budžeta</v>
      </c>
      <c r="C10" s="588"/>
      <c r="D10" s="588"/>
      <c r="E10" s="588"/>
      <c r="F10" s="588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99" t="str">
        <f>+VLOOKUP($A28,Master!$D$30:$G$226,4,FALSE)</f>
        <v>Donacije i transferi</v>
      </c>
      <c r="C28" s="600"/>
      <c r="D28" s="600"/>
      <c r="E28" s="600"/>
      <c r="F28" s="600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15" t="str">
        <f>+VLOOKUP($A34,Master!$D$30:$G$226,4,FALSE)</f>
        <v>Rashodi za usluge</v>
      </c>
      <c r="C34" s="616"/>
      <c r="D34" s="616"/>
      <c r="E34" s="616"/>
      <c r="F34" s="616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97" t="str">
        <f>+VLOOKUP($A39,Master!$D$30:$G$226,4,FALSE)</f>
        <v>Ostali izdaci</v>
      </c>
      <c r="C39" s="598"/>
      <c r="D39" s="598"/>
      <c r="E39" s="598"/>
      <c r="F39" s="598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17" t="str">
        <f>+VLOOKUP($A45,Master!$D$30:$G$226,4,FALSE)</f>
        <v>Ostala prava iz zdravstvenog osiguranja</v>
      </c>
      <c r="C45" s="618"/>
      <c r="D45" s="618"/>
      <c r="E45" s="618"/>
      <c r="F45" s="618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19" t="str">
        <f>+VLOOKUP($A48,Master!$D$30:$G$226,4,FALSE)</f>
        <v>Pozajmice i krediti</v>
      </c>
      <c r="C48" s="620"/>
      <c r="D48" s="620"/>
      <c r="E48" s="620"/>
      <c r="F48" s="620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24" t="str">
        <f>+VLOOKUP($A49,Master!$D$30:$G$226,4,FALSE)</f>
        <v>Rezerve</v>
      </c>
      <c r="C49" s="625"/>
      <c r="D49" s="625"/>
      <c r="E49" s="625"/>
      <c r="F49" s="625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26" t="str">
        <f>+VLOOKUP($A51,Master!$D$30:$G$226,4,TRUE)</f>
        <v>Otplata obaveza iz prethodnog perioda</v>
      </c>
      <c r="C51" s="627"/>
      <c r="D51" s="627"/>
      <c r="E51" s="627"/>
      <c r="F51" s="627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28" t="str">
        <f>+VLOOKUP($A52,Master!$D$30:$G$228,4,FALSE)</f>
        <v>Neto povećanje obaveza</v>
      </c>
      <c r="C52" s="629"/>
      <c r="D52" s="629"/>
      <c r="E52" s="629"/>
      <c r="F52" s="629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81" t="str">
        <f>+VLOOKUP($A56,Master!$D$30:$G$226,4,FALSE)</f>
        <v>Otplata hartija od vrijednosti i kredita rezidentima</v>
      </c>
      <c r="C56" s="582"/>
      <c r="D56" s="582"/>
      <c r="E56" s="582"/>
      <c r="F56" s="582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603" t="str">
        <f>+VLOOKUP($A58,Master!$D$30:$G$226,4,FALSE)</f>
        <v>Izdaci za kupovinu hartija od vrijednosti</v>
      </c>
      <c r="C58" s="604"/>
      <c r="D58" s="604"/>
      <c r="E58" s="604"/>
      <c r="F58" s="604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603" t="str">
        <f>+VLOOKUP($A59,Master!$D$30:$G$226,4,FALSE)</f>
        <v>Pozajmice i krediti</v>
      </c>
      <c r="C59" s="604"/>
      <c r="D59" s="604"/>
      <c r="E59" s="604"/>
      <c r="F59" s="604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85" t="str">
        <f>+VLOOKUP($A60,Master!$D$30:$G$226,4,FALSE)</f>
        <v>Nedostajuća sredstva</v>
      </c>
      <c r="C60" s="586"/>
      <c r="D60" s="586"/>
      <c r="E60" s="586"/>
      <c r="F60" s="586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87" t="str">
        <f>+VLOOKUP($A61,Master!$D$30:$G$226,4,FALSE)</f>
        <v>Finansiranje</v>
      </c>
      <c r="C61" s="588"/>
      <c r="D61" s="588"/>
      <c r="E61" s="588"/>
      <c r="F61" s="588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81" t="str">
        <f>+VLOOKUP($A62,Master!$D$30:$G$226,4,FALSE)</f>
        <v>Pozajmice i krediti od domaćih izvora</v>
      </c>
      <c r="C62" s="582"/>
      <c r="D62" s="582"/>
      <c r="E62" s="582"/>
      <c r="F62" s="582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81" t="str">
        <f>+VLOOKUP($A63,Master!$D$30:$G$226,4,FALSE)</f>
        <v>Pozajmice i krediti od inostranih izvora</v>
      </c>
      <c r="C63" s="582"/>
      <c r="D63" s="582"/>
      <c r="E63" s="582"/>
      <c r="F63" s="582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65" t="str">
        <f>+VLOOKUP($A64,Master!$D$30:$G$226,4,FALSE)</f>
        <v>Primici od prodaje imovine</v>
      </c>
      <c r="C64" s="566"/>
      <c r="D64" s="566"/>
      <c r="E64" s="566"/>
      <c r="F64" s="566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65" t="s">
        <v>101</v>
      </c>
      <c r="C65" s="566"/>
      <c r="D65" s="566"/>
      <c r="E65" s="566"/>
      <c r="F65" s="566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6" t="str">
        <f>+Master!G253</f>
        <v>Plan ostvarenja budžeta</v>
      </c>
      <c r="C83" s="637"/>
      <c r="D83" s="637"/>
      <c r="E83" s="637"/>
      <c r="F83" s="637"/>
      <c r="G83" s="621">
        <v>2022</v>
      </c>
      <c r="H83" s="622"/>
      <c r="I83" s="622"/>
      <c r="J83" s="622"/>
      <c r="K83" s="622"/>
      <c r="L83" s="622"/>
      <c r="M83" s="622"/>
      <c r="N83" s="622"/>
      <c r="O83" s="622"/>
      <c r="P83" s="622"/>
      <c r="Q83" s="622"/>
      <c r="R83" s="623"/>
      <c r="S83" s="96" t="str">
        <f>+S7</f>
        <v>BDP</v>
      </c>
      <c r="T83" s="97">
        <v>5700400000</v>
      </c>
    </row>
    <row r="84" spans="1:26" ht="15.75" customHeight="1">
      <c r="B84" s="638"/>
      <c r="C84" s="639"/>
      <c r="D84" s="639"/>
      <c r="E84" s="639"/>
      <c r="F84" s="640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21" t="str">
        <f>+Master!G247</f>
        <v>Jan - Dec</v>
      </c>
      <c r="T84" s="623">
        <f>+T8</f>
        <v>0</v>
      </c>
    </row>
    <row r="85" spans="1:26" ht="13.5" thickBot="1">
      <c r="B85" s="641"/>
      <c r="C85" s="642"/>
      <c r="D85" s="642"/>
      <c r="E85" s="642"/>
      <c r="F85" s="643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30" t="str">
        <f>+VLOOKUP(LEFT($A86,LEN(A86)-1)*1,Master!$D$30:$G$226,4,FALSE)</f>
        <v>Prihodi budžeta</v>
      </c>
      <c r="C86" s="631"/>
      <c r="D86" s="631"/>
      <c r="E86" s="631"/>
      <c r="F86" s="631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2" t="str">
        <f>+VLOOKUP(LEFT($A87,LEN(A87)-1)*1,Master!$D$30:$G$226,4,FALSE)</f>
        <v>Porezi</v>
      </c>
      <c r="C87" s="633"/>
      <c r="D87" s="633"/>
      <c r="E87" s="633"/>
      <c r="F87" s="633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34" t="str">
        <f>+VLOOKUP(LEFT($A88,LEN(A88)-1)*1,Master!$D$30:$G$229,4,FALSE)</f>
        <v>Porez na dohodak fizičkih lica</v>
      </c>
      <c r="C88" s="635"/>
      <c r="D88" s="635"/>
      <c r="E88" s="635"/>
      <c r="F88" s="635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34" t="str">
        <f>+VLOOKUP(LEFT($A89,LEN(A89)-1)*1,Master!$D$30:$G$229,4,FALSE)</f>
        <v>Porez na dobit pravnih lica</v>
      </c>
      <c r="C89" s="635"/>
      <c r="D89" s="635"/>
      <c r="E89" s="635"/>
      <c r="F89" s="635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34" t="str">
        <f>+VLOOKUP(LEFT($A90,LEN(A90)-1)*1,Master!$D$30:$G$229,4,FALSE)</f>
        <v>Porez na promet nepokretnosti</v>
      </c>
      <c r="C90" s="635"/>
      <c r="D90" s="635"/>
      <c r="E90" s="635"/>
      <c r="F90" s="635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34" t="str">
        <f>+VLOOKUP(LEFT($A91,LEN(A91)-1)*1,Master!$D$30:$G$229,4,FALSE)</f>
        <v>Porez na dodatu vrijednost</v>
      </c>
      <c r="C91" s="635"/>
      <c r="D91" s="635"/>
      <c r="E91" s="635"/>
      <c r="F91" s="635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34" t="str">
        <f>+VLOOKUP(LEFT($A92,LEN(A92)-1)*1,Master!$D$30:$G$229,4,FALSE)</f>
        <v>Akcize</v>
      </c>
      <c r="C92" s="635"/>
      <c r="D92" s="635"/>
      <c r="E92" s="635"/>
      <c r="F92" s="635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34" t="str">
        <f>+VLOOKUP(LEFT($A93,LEN(A93)-1)*1,Master!$D$30:$G$229,4,FALSE)</f>
        <v>Porez na međunarodnu trgovinu i transakcije</v>
      </c>
      <c r="C93" s="635"/>
      <c r="D93" s="635"/>
      <c r="E93" s="635"/>
      <c r="F93" s="635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34" t="str">
        <f>+VLOOKUP(LEFT($A94,LEN(A94)-1)*1,Master!$D$30:$G$229,4,FALSE)</f>
        <v>Ostali državni porezi</v>
      </c>
      <c r="C94" s="635"/>
      <c r="D94" s="635"/>
      <c r="E94" s="635"/>
      <c r="F94" s="635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44" t="str">
        <f>+VLOOKUP(LEFT($A95,LEN(A95)-1)*1,Master!$D$30:$G$229,4,FALSE)</f>
        <v>Doprinosi</v>
      </c>
      <c r="C95" s="645"/>
      <c r="D95" s="645"/>
      <c r="E95" s="645"/>
      <c r="F95" s="645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34" t="str">
        <f>+VLOOKUP(LEFT($A96,LEN(A96)-1)*1,Master!$D$30:$G$229,4,FALSE)</f>
        <v>Doprinosi za penzijsko i invalidsko osiguranje</v>
      </c>
      <c r="C96" s="635"/>
      <c r="D96" s="635"/>
      <c r="E96" s="635"/>
      <c r="F96" s="635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34" t="str">
        <f>+VLOOKUP(LEFT($A97,LEN(A97)-1)*1,Master!$D$30:$G$229,4,FALSE)</f>
        <v>Doprinosi za zdravstveno osiguranje</v>
      </c>
      <c r="C97" s="635"/>
      <c r="D97" s="635"/>
      <c r="E97" s="635"/>
      <c r="F97" s="635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34" t="str">
        <f>+VLOOKUP(LEFT($A98,LEN(A98)-1)*1,Master!$D$30:$G$229,4,FALSE)</f>
        <v>Doprinosi za osiguranje od nezaposlenosti</v>
      </c>
      <c r="C98" s="635"/>
      <c r="D98" s="635"/>
      <c r="E98" s="635"/>
      <c r="F98" s="635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34" t="str">
        <f>+VLOOKUP(LEFT($A99,LEN(A99)-1)*1,Master!$D$30:$G$229,4,FALSE)</f>
        <v>Ostali doprinosi</v>
      </c>
      <c r="C99" s="635"/>
      <c r="D99" s="635"/>
      <c r="E99" s="635"/>
      <c r="F99" s="635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44" t="str">
        <f>+VLOOKUP(LEFT($A100,LEN(A100)-1)*1,Master!$D$30:$G$229,4,FALSE)</f>
        <v>Takse</v>
      </c>
      <c r="C100" s="645"/>
      <c r="D100" s="645"/>
      <c r="E100" s="645"/>
      <c r="F100" s="645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44" t="str">
        <f>+VLOOKUP(LEFT($A101,LEN(A101)-1)*1,Master!$D$30:$G$229,4,FALSE)</f>
        <v>Naknade</v>
      </c>
      <c r="C101" s="645"/>
      <c r="D101" s="645"/>
      <c r="E101" s="645"/>
      <c r="F101" s="645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44" t="str">
        <f>+VLOOKUP(LEFT($A102,LEN(A102)-1)*1,Master!$D$30:$G$229,4,FALSE)</f>
        <v>Ostali prihodi</v>
      </c>
      <c r="C102" s="645"/>
      <c r="D102" s="645"/>
      <c r="E102" s="645"/>
      <c r="F102" s="645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44" t="str">
        <f>+VLOOKUP(LEFT($A103,LEN(A103)-1)*1,Master!$D$30:$G$229,4,FALSE)</f>
        <v>Primici od otplate kredita i sredstva prenesena iz prethodne godine</v>
      </c>
      <c r="C103" s="645"/>
      <c r="D103" s="645"/>
      <c r="E103" s="645"/>
      <c r="F103" s="645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46" t="str">
        <f>+VLOOKUP(LEFT($A104,LEN(A104)-1)*1,Master!$D$30:$G$229,4,FALSE)</f>
        <v>Donacije i transferi</v>
      </c>
      <c r="C104" s="647"/>
      <c r="D104" s="647"/>
      <c r="E104" s="647"/>
      <c r="F104" s="647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30" t="str">
        <f>+VLOOKUP(LEFT($A105,LEN(A105)-1)*1,Master!$D$30:$G$229,4,FALSE)</f>
        <v>Izdaci budžeta</v>
      </c>
      <c r="C105" s="631"/>
      <c r="D105" s="631"/>
      <c r="E105" s="631"/>
      <c r="F105" s="631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48" t="str">
        <f>+VLOOKUP(LEFT($A106,LEN(A106)-1)*1,Master!$D$30:$G$229,4,FALSE)</f>
        <v>Tekući izdaci</v>
      </c>
      <c r="C106" s="649"/>
      <c r="D106" s="649"/>
      <c r="E106" s="649"/>
      <c r="F106" s="649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34" t="str">
        <f>+VLOOKUP(LEFT($A107,LEN(A107)-1)*1,Master!$D$30:$G$229,4,FALSE)</f>
        <v>Bruto zarade i doprinosi na teret poslodavca</v>
      </c>
      <c r="C107" s="635"/>
      <c r="D107" s="635"/>
      <c r="E107" s="635"/>
      <c r="F107" s="635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34" t="str">
        <f>+VLOOKUP(LEFT($A108,LEN(A108)-1)*1,Master!$D$30:$G$229,4,FALSE)</f>
        <v>Ostala lična primanja</v>
      </c>
      <c r="C108" s="635"/>
      <c r="D108" s="635"/>
      <c r="E108" s="635"/>
      <c r="F108" s="635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34" t="str">
        <f>+VLOOKUP(LEFT($A109,LEN(A109)-1)*1,Master!$D$30:$G$229,4,FALSE)</f>
        <v>Rashodi za materijal</v>
      </c>
      <c r="C109" s="635"/>
      <c r="D109" s="635"/>
      <c r="E109" s="635"/>
      <c r="F109" s="635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34" t="str">
        <f>+VLOOKUP(LEFT($A110,LEN(A110)-1)*1,Master!$D$30:$G$229,4,FALSE)</f>
        <v>Rashodi za usluge</v>
      </c>
      <c r="C110" s="635"/>
      <c r="D110" s="635"/>
      <c r="E110" s="635"/>
      <c r="F110" s="635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34" t="str">
        <f>+VLOOKUP(LEFT($A111,LEN(A111)-1)*1,Master!$D$30:$G$229,4,FALSE)</f>
        <v>Rashodi za tekuće održavanje</v>
      </c>
      <c r="C111" s="635"/>
      <c r="D111" s="635"/>
      <c r="E111" s="635"/>
      <c r="F111" s="635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34" t="str">
        <f>+VLOOKUP(LEFT($A112,LEN(A112)-1)*1,Master!$D$30:$G$229,4,FALSE)</f>
        <v>Kamate</v>
      </c>
      <c r="C112" s="635"/>
      <c r="D112" s="635"/>
      <c r="E112" s="635"/>
      <c r="F112" s="635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34" t="str">
        <f>+VLOOKUP(LEFT($A113,LEN(A113)-1)*1,Master!$D$30:$G$229,4,FALSE)</f>
        <v>Renta</v>
      </c>
      <c r="C113" s="635"/>
      <c r="D113" s="635"/>
      <c r="E113" s="635"/>
      <c r="F113" s="635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34" t="str">
        <f>+VLOOKUP(LEFT($A114,LEN(A114)-1)*1,Master!$D$30:$G$229,4,FALSE)</f>
        <v>Subvencije</v>
      </c>
      <c r="C114" s="635"/>
      <c r="D114" s="635"/>
      <c r="E114" s="635"/>
      <c r="F114" s="635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34" t="str">
        <f>+VLOOKUP(LEFT($A115,LEN(A115)-1)*1,Master!$D$30:$G$229,4,FALSE)</f>
        <v>Ostali izdaci</v>
      </c>
      <c r="C115" s="635"/>
      <c r="D115" s="635"/>
      <c r="E115" s="635"/>
      <c r="F115" s="635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54" t="str">
        <f>+VLOOKUP(LEFT($A116,LEN(A116)-1)*1,Master!$D$30:$G$229,4,FALSE)</f>
        <v>Transferi za socijalnu zaštitu</v>
      </c>
      <c r="C116" s="655"/>
      <c r="D116" s="655"/>
      <c r="E116" s="655"/>
      <c r="F116" s="655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34" t="str">
        <f>+VLOOKUP(LEFT($A117,LEN(A117)-1)*1,Master!$D$30:$G$229,4,FALSE)</f>
        <v>Prava iz oblasti socijalne zaštite</v>
      </c>
      <c r="C117" s="635"/>
      <c r="D117" s="635"/>
      <c r="E117" s="635"/>
      <c r="F117" s="635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34" t="str">
        <f>+VLOOKUP(LEFT($A118,LEN(A118)-1)*1,Master!$D$30:$G$229,4,FALSE)</f>
        <v>Sredstva za tehnološke viškove</v>
      </c>
      <c r="C118" s="635"/>
      <c r="D118" s="635"/>
      <c r="E118" s="635"/>
      <c r="F118" s="635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34" t="str">
        <f>+VLOOKUP(LEFT($A119,LEN(A119)-1)*1,Master!$D$30:$G$229,4,FALSE)</f>
        <v>Prava iz oblasti penzijskog i invalidskog osiguranja</v>
      </c>
      <c r="C119" s="635"/>
      <c r="D119" s="635"/>
      <c r="E119" s="635"/>
      <c r="F119" s="635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34" t="str">
        <f>+VLOOKUP(LEFT($A120,LEN(A120)-1)*1,Master!$D$30:$G$229,4,FALSE)</f>
        <v>Ostala prava iz oblasti zdravstvene zaštite</v>
      </c>
      <c r="C120" s="635"/>
      <c r="D120" s="635"/>
      <c r="E120" s="635"/>
      <c r="F120" s="635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34" t="str">
        <f>+VLOOKUP(LEFT($A121,LEN(A121)-1)*1,Master!$D$30:$G$229,4,FALSE)</f>
        <v>Ostala prava iz zdravstvenog osiguranja</v>
      </c>
      <c r="C121" s="635"/>
      <c r="D121" s="635"/>
      <c r="E121" s="635"/>
      <c r="F121" s="635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50" t="str">
        <f>+VLOOKUP(LEFT($A122,LEN(A122)-1)*1,Master!$D$30:$G$229,4,FALSE)</f>
        <v xml:space="preserve">Transferi institucijama, pojedincima, nevladinom i javnom sektoru </v>
      </c>
      <c r="C122" s="651"/>
      <c r="D122" s="651"/>
      <c r="E122" s="651"/>
      <c r="F122" s="651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50" t="str">
        <f>+VLOOKUP(LEFT($A123,LEN(A123)-1)*1,Master!$D$30:$G$229,4,FALSE)</f>
        <v>Kapitalni izdaci</v>
      </c>
      <c r="C123" s="651"/>
      <c r="D123" s="651"/>
      <c r="E123" s="651"/>
      <c r="F123" s="651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52" t="str">
        <f>+VLOOKUP(LEFT($A124,LEN(A124)-1)*1,Master!$D$30:$G$229,4,FALSE)</f>
        <v>Pozajmice i krediti</v>
      </c>
      <c r="C124" s="653"/>
      <c r="D124" s="653"/>
      <c r="E124" s="653"/>
      <c r="F124" s="653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52" t="str">
        <f>+VLOOKUP(LEFT($A125,LEN(A125)-1)*1,Master!$D$30:$G$229,4,FALSE)</f>
        <v>Rezerve</v>
      </c>
      <c r="C125" s="653"/>
      <c r="D125" s="653"/>
      <c r="E125" s="653"/>
      <c r="F125" s="653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52" t="str">
        <f>+VLOOKUP(LEFT($A126,LEN(A126)-1)*1,Master!$D$30:$G$229,4,FALSE)</f>
        <v>Otplata garancija</v>
      </c>
      <c r="C126" s="653"/>
      <c r="D126" s="653"/>
      <c r="E126" s="653"/>
      <c r="F126" s="653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52" t="str">
        <f>+VLOOKUP(LEFT($A127,LEN(A127)-1)*1,Master!$D$30:$G$229,4,FALSE)</f>
        <v>Otplata obaveza iz prethodnog perioda</v>
      </c>
      <c r="C127" s="653"/>
      <c r="D127" s="653"/>
      <c r="E127" s="653"/>
      <c r="F127" s="653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52" t="str">
        <f>+VLOOKUP(LEFT($A128,LEN(A128)-1)*1,Master!$D$30:$G$229,4,FALSE)</f>
        <v>Neto povećanje obaveza</v>
      </c>
      <c r="C128" s="653"/>
      <c r="D128" s="653"/>
      <c r="E128" s="653"/>
      <c r="F128" s="653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60" t="str">
        <f>+VLOOKUP(LEFT($A129,LEN(A129)-1)*1,Master!$D$30:$G$226,4,FALSE)</f>
        <v>Suficit / deficit</v>
      </c>
      <c r="C129" s="661"/>
      <c r="D129" s="661"/>
      <c r="E129" s="661"/>
      <c r="F129" s="661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62" t="str">
        <f>+VLOOKUP(LEFT($A130,LEN(A130)-1)*1,Master!$D$30:$G$226,4,FALSE)</f>
        <v>Primarni suficit/deficit</v>
      </c>
      <c r="C130" s="663"/>
      <c r="D130" s="663"/>
      <c r="E130" s="663"/>
      <c r="F130" s="663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54" t="str">
        <f>+VLOOKUP(LEFT($A131,LEN(A131)-1)*1,Master!$D$30:$G$226,4,FALSE)</f>
        <v>Otplata dugova</v>
      </c>
      <c r="C131" s="655"/>
      <c r="D131" s="655"/>
      <c r="E131" s="655"/>
      <c r="F131" s="655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58" t="str">
        <f>+VLOOKUP(LEFT($A132,LEN(A132)-1)*1,Master!$D$30:$G$226,4,FALSE)</f>
        <v>Otplata hartija od vrijednosti i kredita rezidentima</v>
      </c>
      <c r="C132" s="659"/>
      <c r="D132" s="659"/>
      <c r="E132" s="659"/>
      <c r="F132" s="659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52" t="str">
        <f>+VLOOKUP(LEFT($A133,LEN(A133)-1)*1,Master!$D$30:$G$226,4,FALSE)</f>
        <v>Otplata hartija od vrijednosti i kredita nerezidentima</v>
      </c>
      <c r="C133" s="653"/>
      <c r="D133" s="653"/>
      <c r="E133" s="653"/>
      <c r="F133" s="653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30" t="str">
        <f>+VLOOKUP(LEFT($A134,LEN(A134)-1)*1,Master!$D$30:$G$226,4,FALSE)</f>
        <v>Izdaci za kupovinu hartija od vrijednosti</v>
      </c>
      <c r="C134" s="631"/>
      <c r="D134" s="631"/>
      <c r="E134" s="631"/>
      <c r="F134" s="631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56" t="str">
        <f>+VLOOKUP(LEFT($A135,LEN(A135)-1)*1,Master!$D$30:$G$226,4,FALSE)</f>
        <v>Nedostajuća sredstva</v>
      </c>
      <c r="C135" s="657"/>
      <c r="D135" s="657"/>
      <c r="E135" s="657"/>
      <c r="F135" s="657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30" t="str">
        <f>+VLOOKUP(LEFT($A136,LEN(A136)-1)*1,Master!$D$30:$G$226,4,FALSE)</f>
        <v>Finansiranje</v>
      </c>
      <c r="C136" s="631"/>
      <c r="D136" s="631"/>
      <c r="E136" s="631"/>
      <c r="F136" s="631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58" t="str">
        <f>+VLOOKUP(LEFT($A137,LEN(A137)-1)*1,Master!$D$30:$G$226,4,FALSE)</f>
        <v>Pozajmice i krediti od domaćih izvora</v>
      </c>
      <c r="C137" s="659"/>
      <c r="D137" s="659"/>
      <c r="E137" s="659"/>
      <c r="F137" s="659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52" t="str">
        <f>+VLOOKUP(LEFT($A138,LEN(A138)-1)*1,Master!$D$30:$G$226,4,FALSE)</f>
        <v>Pozajmice i krediti od inostranih izvora</v>
      </c>
      <c r="C138" s="653"/>
      <c r="D138" s="653"/>
      <c r="E138" s="653"/>
      <c r="F138" s="653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52" t="str">
        <f>+VLOOKUP(LEFT($A139,LEN(A139)-1)*1,Master!$D$30:$G$226,4,FALSE)</f>
        <v>Primici od prodaje imovine</v>
      </c>
      <c r="C139" s="653"/>
      <c r="D139" s="653"/>
      <c r="E139" s="653"/>
      <c r="F139" s="653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67" t="str">
        <f>+Master!G252</f>
        <v>Ostvarenje budžeta</v>
      </c>
      <c r="C7" s="568"/>
      <c r="D7" s="568"/>
      <c r="E7" s="568"/>
      <c r="F7" s="568"/>
      <c r="G7" s="576">
        <v>2021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tr">
        <f>+Master!G249</f>
        <v>BDP</v>
      </c>
      <c r="T7" s="221">
        <v>4955116000</v>
      </c>
    </row>
    <row r="8" spans="1:22" ht="16.5" customHeight="1">
      <c r="A8" s="129"/>
      <c r="B8" s="569"/>
      <c r="C8" s="570"/>
      <c r="D8" s="570"/>
      <c r="E8" s="570"/>
      <c r="F8" s="57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6" t="str">
        <f>+Master!G247</f>
        <v>Jan - Dec</v>
      </c>
      <c r="T8" s="580"/>
    </row>
    <row r="9" spans="1:22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09" t="str">
        <f>+VLOOKUP($A10,Master!$D$30:$G$226,4,FALSE)</f>
        <v>Prihodi budžeta</v>
      </c>
      <c r="C10" s="610"/>
      <c r="D10" s="610"/>
      <c r="E10" s="610"/>
      <c r="F10" s="610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607" t="str">
        <f>+VLOOKUP($A19,Master!$D$30:$G$226,4,FALSE)</f>
        <v>Doprinosi</v>
      </c>
      <c r="C19" s="608"/>
      <c r="D19" s="608"/>
      <c r="E19" s="608"/>
      <c r="F19" s="608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601" t="str">
        <f>+VLOOKUP($A28,Master!$D$30:$G$226,4,FALSE)</f>
        <v>Donacije i transferi</v>
      </c>
      <c r="C28" s="602"/>
      <c r="D28" s="602"/>
      <c r="E28" s="602"/>
      <c r="F28" s="602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15" t="str">
        <f>+VLOOKUP($A34,Master!$D$30:$G$226,4,FALSE)</f>
        <v>Rashodi za usluge</v>
      </c>
      <c r="C34" s="616"/>
      <c r="D34" s="616"/>
      <c r="E34" s="616"/>
      <c r="F34" s="616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15" t="str">
        <f>+VLOOKUP($A39,Master!$D$30:$G$226,4,FALSE)</f>
        <v>Ostali izdaci</v>
      </c>
      <c r="C39" s="616"/>
      <c r="D39" s="616"/>
      <c r="E39" s="616"/>
      <c r="F39" s="616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17" t="str">
        <f>+VLOOKUP($A45,Master!$D$30:$G$226,4,FALSE)</f>
        <v>Ostala prava iz zdravstvenog osiguranja</v>
      </c>
      <c r="C45" s="618"/>
      <c r="D45" s="618"/>
      <c r="E45" s="618"/>
      <c r="F45" s="618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19" t="str">
        <f>+VLOOKUP($A48,Master!$D$30:$G$226,4,FALSE)</f>
        <v>Pozajmice i krediti</v>
      </c>
      <c r="C48" s="620"/>
      <c r="D48" s="620"/>
      <c r="E48" s="620"/>
      <c r="F48" s="620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24" t="str">
        <f>+VLOOKUP($A49,Master!$D$30:$G$226,4,FALSE)</f>
        <v>Rezerve</v>
      </c>
      <c r="C49" s="625"/>
      <c r="D49" s="625"/>
      <c r="E49" s="625"/>
      <c r="F49" s="625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26" t="str">
        <f>+VLOOKUP($A51,Master!$D$30:$G$226,4,TRUE)</f>
        <v>Otplata obaveza iz prethodnog perioda</v>
      </c>
      <c r="C51" s="627"/>
      <c r="D51" s="627"/>
      <c r="E51" s="627"/>
      <c r="F51" s="627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28" t="str">
        <f>+VLOOKUP($A52,Master!$D$30:$G$228,4,FALSE)</f>
        <v>Neto povećanje obaveza</v>
      </c>
      <c r="C52" s="629"/>
      <c r="D52" s="629"/>
      <c r="E52" s="629"/>
      <c r="F52" s="629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81" t="str">
        <f>+VLOOKUP($A56,Master!$D$30:$G$226,4,FALSE)</f>
        <v>Otplata hartija od vrijednosti i kredita rezidentima</v>
      </c>
      <c r="C56" s="582"/>
      <c r="D56" s="582"/>
      <c r="E56" s="582"/>
      <c r="F56" s="582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603" t="str">
        <f>+VLOOKUP($A58,Master!$D$30:$G$226,4,FALSE)</f>
        <v>Izdaci za kupovinu hartija od vrijednosti</v>
      </c>
      <c r="C58" s="604"/>
      <c r="D58" s="604"/>
      <c r="E58" s="604"/>
      <c r="F58" s="604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85" t="str">
        <f>+VLOOKUP($A59,Master!$D$30:$G$226,4,FALSE)</f>
        <v>Nedostajuća sredstva</v>
      </c>
      <c r="C59" s="586"/>
      <c r="D59" s="586"/>
      <c r="E59" s="586"/>
      <c r="F59" s="586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87" t="str">
        <f>+VLOOKUP($A60,Master!$D$30:$G$226,4,FALSE)</f>
        <v>Finansiranje</v>
      </c>
      <c r="C60" s="588"/>
      <c r="D60" s="588"/>
      <c r="E60" s="588"/>
      <c r="F60" s="588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81" t="str">
        <f>+VLOOKUP($A61,Master!$D$30:$G$226,4,FALSE)</f>
        <v>Pozajmice i krediti od domaćih izvora</v>
      </c>
      <c r="C61" s="582"/>
      <c r="D61" s="582"/>
      <c r="E61" s="582"/>
      <c r="F61" s="582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65" t="str">
        <f>+VLOOKUP($A62,Master!$D$30:$G$226,4,FALSE)</f>
        <v>Pozajmice i krediti od inostranih izvora</v>
      </c>
      <c r="C62" s="566"/>
      <c r="D62" s="566"/>
      <c r="E62" s="566"/>
      <c r="F62" s="566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65" t="str">
        <f>+VLOOKUP($A63,Master!$D$30:$G$226,4,FALSE)</f>
        <v>Primici od prodaje imovine</v>
      </c>
      <c r="C63" s="566"/>
      <c r="D63" s="566"/>
      <c r="E63" s="566"/>
      <c r="F63" s="566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6" t="str">
        <f>+Master!G253</f>
        <v>Plan ostvarenja budžeta</v>
      </c>
      <c r="C81" s="637"/>
      <c r="D81" s="637"/>
      <c r="E81" s="637"/>
      <c r="F81" s="637"/>
      <c r="G81" s="621">
        <v>2021</v>
      </c>
      <c r="H81" s="622"/>
      <c r="I81" s="622"/>
      <c r="J81" s="622"/>
      <c r="K81" s="622"/>
      <c r="L81" s="622"/>
      <c r="M81" s="622"/>
      <c r="N81" s="622"/>
      <c r="O81" s="622"/>
      <c r="P81" s="622"/>
      <c r="Q81" s="622"/>
      <c r="R81" s="623"/>
      <c r="S81" s="96" t="str">
        <f>+S7</f>
        <v>BDP</v>
      </c>
      <c r="T81" s="97">
        <v>4636600000</v>
      </c>
    </row>
    <row r="82" spans="1:21" ht="15.75" customHeight="1">
      <c r="B82" s="638"/>
      <c r="C82" s="639"/>
      <c r="D82" s="639"/>
      <c r="E82" s="639"/>
      <c r="F82" s="640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21" t="str">
        <f>+Master!G247</f>
        <v>Jan - Dec</v>
      </c>
      <c r="T82" s="623">
        <f>+T8</f>
        <v>0</v>
      </c>
    </row>
    <row r="83" spans="1:21" ht="13.5" thickBot="1">
      <c r="B83" s="641"/>
      <c r="C83" s="642"/>
      <c r="D83" s="642"/>
      <c r="E83" s="642"/>
      <c r="F83" s="643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6" t="str">
        <f>+VLOOKUP(LEFT($A84,LEN(A84)-1)*1,Master!$D$30:$G$226,4,FALSE)</f>
        <v>Prihodi budžeta</v>
      </c>
      <c r="C84" s="667"/>
      <c r="D84" s="667"/>
      <c r="E84" s="667"/>
      <c r="F84" s="667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2" t="str">
        <f>+VLOOKUP(LEFT($A85,LEN(A85)-1)*1,Master!$D$30:$G$226,4,FALSE)</f>
        <v>Porezi</v>
      </c>
      <c r="C85" s="633"/>
      <c r="D85" s="633"/>
      <c r="E85" s="633"/>
      <c r="F85" s="633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34" t="str">
        <f>+VLOOKUP(LEFT($A86,LEN(A86)-1)*1,Master!$D$30:$G$229,4,FALSE)</f>
        <v>Porez na dohodak fizičkih lica</v>
      </c>
      <c r="C86" s="635"/>
      <c r="D86" s="635"/>
      <c r="E86" s="635"/>
      <c r="F86" s="635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34" t="str">
        <f>+VLOOKUP(LEFT($A87,LEN(A87)-1)*1,Master!$D$30:$G$229,4,FALSE)</f>
        <v>Porez na dobit pravnih lica</v>
      </c>
      <c r="C87" s="635"/>
      <c r="D87" s="635"/>
      <c r="E87" s="635"/>
      <c r="F87" s="635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34" t="str">
        <f>+VLOOKUP(LEFT($A88,LEN(A88)-1)*1,Master!$D$30:$G$229,4,FALSE)</f>
        <v>Porez na promet nepokretnosti</v>
      </c>
      <c r="C88" s="635"/>
      <c r="D88" s="635"/>
      <c r="E88" s="635"/>
      <c r="F88" s="635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34" t="str">
        <f>+VLOOKUP(LEFT($A89,LEN(A89)-1)*1,Master!$D$30:$G$229,4,FALSE)</f>
        <v>Porez na dodatu vrijednost</v>
      </c>
      <c r="C89" s="635"/>
      <c r="D89" s="635"/>
      <c r="E89" s="635"/>
      <c r="F89" s="635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34" t="str">
        <f>+VLOOKUP(LEFT($A90,LEN(A90)-1)*1,Master!$D$30:$G$229,4,FALSE)</f>
        <v>Akcize</v>
      </c>
      <c r="C90" s="635"/>
      <c r="D90" s="635"/>
      <c r="E90" s="635"/>
      <c r="F90" s="635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34" t="str">
        <f>+VLOOKUP(LEFT($A91,LEN(A91)-1)*1,Master!$D$30:$G$229,4,FALSE)</f>
        <v>Porez na međunarodnu trgovinu i transakcije</v>
      </c>
      <c r="C91" s="635"/>
      <c r="D91" s="635"/>
      <c r="E91" s="635"/>
      <c r="F91" s="635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34" t="str">
        <f>+VLOOKUP(LEFT($A92,LEN(A92)-1)*1,Master!$D$30:$G$229,4,FALSE)</f>
        <v>Ostali državni porezi</v>
      </c>
      <c r="C92" s="635"/>
      <c r="D92" s="635"/>
      <c r="E92" s="635"/>
      <c r="F92" s="635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4" t="str">
        <f>+VLOOKUP(LEFT($A93,LEN(A93)-1)*1,Master!$D$30:$G$229,4,FALSE)</f>
        <v>Doprinosi</v>
      </c>
      <c r="C93" s="665"/>
      <c r="D93" s="665"/>
      <c r="E93" s="665"/>
      <c r="F93" s="665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34" t="str">
        <f>+VLOOKUP(LEFT($A94,LEN(A94)-1)*1,Master!$D$30:$G$229,4,FALSE)</f>
        <v>Doprinosi za penzijsko i invalidsko osiguranje</v>
      </c>
      <c r="C94" s="635"/>
      <c r="D94" s="635"/>
      <c r="E94" s="635"/>
      <c r="F94" s="635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34" t="str">
        <f>+VLOOKUP(LEFT($A95,LEN(A95)-1)*1,Master!$D$30:$G$229,4,FALSE)</f>
        <v>Doprinosi za zdravstveno osiguranje</v>
      </c>
      <c r="C95" s="635"/>
      <c r="D95" s="635"/>
      <c r="E95" s="635"/>
      <c r="F95" s="635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34" t="str">
        <f>+VLOOKUP(LEFT($A96,LEN(A96)-1)*1,Master!$D$30:$G$229,4,FALSE)</f>
        <v>Doprinosi za osiguranje od nezaposlenosti</v>
      </c>
      <c r="C96" s="635"/>
      <c r="D96" s="635"/>
      <c r="E96" s="635"/>
      <c r="F96" s="635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34" t="str">
        <f>+VLOOKUP(LEFT($A97,LEN(A97)-1)*1,Master!$D$30:$G$229,4,FALSE)</f>
        <v>Ostali doprinosi</v>
      </c>
      <c r="C97" s="635"/>
      <c r="D97" s="635"/>
      <c r="E97" s="635"/>
      <c r="F97" s="635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44" t="str">
        <f>+VLOOKUP(LEFT($A98,LEN(A98)-1)*1,Master!$D$30:$G$229,4,FALSE)</f>
        <v>Takse</v>
      </c>
      <c r="C98" s="645"/>
      <c r="D98" s="645"/>
      <c r="E98" s="645"/>
      <c r="F98" s="645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44" t="str">
        <f>+VLOOKUP(LEFT($A99,LEN(A99)-1)*1,Master!$D$30:$G$229,4,FALSE)</f>
        <v>Naknade</v>
      </c>
      <c r="C99" s="645"/>
      <c r="D99" s="645"/>
      <c r="E99" s="645"/>
      <c r="F99" s="645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44" t="str">
        <f>+VLOOKUP(LEFT($A100,LEN(A100)-1)*1,Master!$D$30:$G$229,4,FALSE)</f>
        <v>Ostali prihodi</v>
      </c>
      <c r="C100" s="645"/>
      <c r="D100" s="645"/>
      <c r="E100" s="645"/>
      <c r="F100" s="645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44" t="str">
        <f>+VLOOKUP(LEFT($A101,LEN(A101)-1)*1,Master!$D$30:$G$229,4,FALSE)</f>
        <v>Primici od otplate kredita i sredstva prenesena iz prethodne godine</v>
      </c>
      <c r="C101" s="645"/>
      <c r="D101" s="645"/>
      <c r="E101" s="645"/>
      <c r="F101" s="645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46" t="str">
        <f>+VLOOKUP(LEFT($A102,LEN(A102)-1)*1,Master!$D$30:$G$229,4,FALSE)</f>
        <v>Donacije i transferi</v>
      </c>
      <c r="C102" s="647"/>
      <c r="D102" s="647"/>
      <c r="E102" s="647"/>
      <c r="F102" s="647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30" t="str">
        <f>+VLOOKUP(LEFT($A103,LEN(A103)-1)*1,Master!$D$30:$G$229,4,FALSE)</f>
        <v>Izdaci budžeta</v>
      </c>
      <c r="C103" s="631"/>
      <c r="D103" s="631"/>
      <c r="E103" s="631"/>
      <c r="F103" s="631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48" t="str">
        <f>+VLOOKUP(LEFT($A104,LEN(A104)-1)*1,Master!$D$30:$G$229,4,FALSE)</f>
        <v>Tekući izdaci</v>
      </c>
      <c r="C104" s="649"/>
      <c r="D104" s="649"/>
      <c r="E104" s="649"/>
      <c r="F104" s="649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34" t="str">
        <f>+VLOOKUP(LEFT($A105,LEN(A105)-1)*1,Master!$D$30:$G$229,4,FALSE)</f>
        <v>Bruto zarade i doprinosi na teret poslodavca</v>
      </c>
      <c r="C105" s="635"/>
      <c r="D105" s="635"/>
      <c r="E105" s="635"/>
      <c r="F105" s="635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34" t="str">
        <f>+VLOOKUP(LEFT($A106,LEN(A106)-1)*1,Master!$D$30:$G$229,4,FALSE)</f>
        <v>Ostala lična primanja</v>
      </c>
      <c r="C106" s="635"/>
      <c r="D106" s="635"/>
      <c r="E106" s="635"/>
      <c r="F106" s="635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34" t="str">
        <f>+VLOOKUP(LEFT($A107,LEN(A107)-1)*1,Master!$D$30:$G$229,4,FALSE)</f>
        <v>Rashodi za materijal</v>
      </c>
      <c r="C107" s="635"/>
      <c r="D107" s="635"/>
      <c r="E107" s="635"/>
      <c r="F107" s="635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34" t="str">
        <f>+VLOOKUP(LEFT($A108,LEN(A108)-1)*1,Master!$D$30:$G$229,4,FALSE)</f>
        <v>Rashodi za usluge</v>
      </c>
      <c r="C108" s="635"/>
      <c r="D108" s="635"/>
      <c r="E108" s="635"/>
      <c r="F108" s="635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34" t="str">
        <f>+VLOOKUP(LEFT($A109,LEN(A109)-1)*1,Master!$D$30:$G$229,4,FALSE)</f>
        <v>Rashodi za tekuće održavanje</v>
      </c>
      <c r="C109" s="635"/>
      <c r="D109" s="635"/>
      <c r="E109" s="635"/>
      <c r="F109" s="635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34" t="str">
        <f>+VLOOKUP(LEFT($A110,LEN(A110)-1)*1,Master!$D$30:$G$229,4,FALSE)</f>
        <v>Kamate</v>
      </c>
      <c r="C110" s="635"/>
      <c r="D110" s="635"/>
      <c r="E110" s="635"/>
      <c r="F110" s="635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34" t="str">
        <f>+VLOOKUP(LEFT($A111,LEN(A111)-1)*1,Master!$D$30:$G$229,4,FALSE)</f>
        <v>Renta</v>
      </c>
      <c r="C111" s="635"/>
      <c r="D111" s="635"/>
      <c r="E111" s="635"/>
      <c r="F111" s="635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34" t="str">
        <f>+VLOOKUP(LEFT($A112,LEN(A112)-1)*1,Master!$D$30:$G$229,4,FALSE)</f>
        <v>Subvencije</v>
      </c>
      <c r="C112" s="635"/>
      <c r="D112" s="635"/>
      <c r="E112" s="635"/>
      <c r="F112" s="635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34" t="str">
        <f>+VLOOKUP(LEFT($A113,LEN(A113)-1)*1,Master!$D$30:$G$229,4,FALSE)</f>
        <v>Ostali izdaci</v>
      </c>
      <c r="C113" s="635"/>
      <c r="D113" s="635"/>
      <c r="E113" s="635"/>
      <c r="F113" s="635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54" t="str">
        <f>+VLOOKUP(LEFT($A114,LEN(A114)-1)*1,Master!$D$30:$G$229,4,FALSE)</f>
        <v>Transferi za socijalnu zaštitu</v>
      </c>
      <c r="C114" s="655"/>
      <c r="D114" s="655"/>
      <c r="E114" s="655"/>
      <c r="F114" s="655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34" t="str">
        <f>+VLOOKUP(LEFT($A115,LEN(A115)-1)*1,Master!$D$30:$G$229,4,FALSE)</f>
        <v>Prava iz oblasti socijalne zaštite</v>
      </c>
      <c r="C115" s="635"/>
      <c r="D115" s="635"/>
      <c r="E115" s="635"/>
      <c r="F115" s="635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34" t="str">
        <f>+VLOOKUP(LEFT($A116,LEN(A116)-1)*1,Master!$D$30:$G$229,4,FALSE)</f>
        <v>Sredstva za tehnološke viškove</v>
      </c>
      <c r="C116" s="635"/>
      <c r="D116" s="635"/>
      <c r="E116" s="635"/>
      <c r="F116" s="635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34" t="str">
        <f>+VLOOKUP(LEFT($A117,LEN(A117)-1)*1,Master!$D$30:$G$229,4,FALSE)</f>
        <v>Prava iz oblasti penzijskog i invalidskog osiguranja</v>
      </c>
      <c r="C117" s="635"/>
      <c r="D117" s="635"/>
      <c r="E117" s="635"/>
      <c r="F117" s="635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34" t="str">
        <f>+VLOOKUP(LEFT($A118,LEN(A118)-1)*1,Master!$D$30:$G$229,4,FALSE)</f>
        <v>Ostala prava iz oblasti zdravstvene zaštite</v>
      </c>
      <c r="C118" s="635"/>
      <c r="D118" s="635"/>
      <c r="E118" s="635"/>
      <c r="F118" s="635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34" t="str">
        <f>+VLOOKUP(LEFT($A119,LEN(A119)-1)*1,Master!$D$30:$G$229,4,FALSE)</f>
        <v>Ostala prava iz zdravstvenog osiguranja</v>
      </c>
      <c r="C119" s="635"/>
      <c r="D119" s="635"/>
      <c r="E119" s="635"/>
      <c r="F119" s="635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50" t="str">
        <f>+VLOOKUP(LEFT($A120,LEN(A120)-1)*1,Master!$D$30:$G$229,4,FALSE)</f>
        <v xml:space="preserve">Transferi institucijama, pojedincima, nevladinom i javnom sektoru </v>
      </c>
      <c r="C120" s="651"/>
      <c r="D120" s="651"/>
      <c r="E120" s="651"/>
      <c r="F120" s="651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50" t="str">
        <f>+VLOOKUP(LEFT($A121,LEN(A121)-1)*1,Master!$D$30:$G$229,4,FALSE)</f>
        <v>Kapitalni izdaci</v>
      </c>
      <c r="C121" s="651"/>
      <c r="D121" s="651"/>
      <c r="E121" s="651"/>
      <c r="F121" s="651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52" t="str">
        <f>+VLOOKUP(LEFT($A122,LEN(A122)-1)*1,Master!$D$30:$G$229,4,FALSE)</f>
        <v>Pozajmice i krediti</v>
      </c>
      <c r="C122" s="653"/>
      <c r="D122" s="653"/>
      <c r="E122" s="653"/>
      <c r="F122" s="653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52" t="str">
        <f>+VLOOKUP(LEFT($A123,LEN(A123)-1)*1,Master!$D$30:$G$229,4,FALSE)</f>
        <v>Rezerve</v>
      </c>
      <c r="C123" s="653"/>
      <c r="D123" s="653"/>
      <c r="E123" s="653"/>
      <c r="F123" s="653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52" t="str">
        <f>+VLOOKUP(LEFT($A124,LEN(A124)-1)*1,Master!$D$30:$G$229,4,FALSE)</f>
        <v>Otplata garancija</v>
      </c>
      <c r="C124" s="653"/>
      <c r="D124" s="653"/>
      <c r="E124" s="653"/>
      <c r="F124" s="653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52" t="str">
        <f>+VLOOKUP(LEFT($A125,LEN(A125)-1)*1,Master!$D$30:$G$229,4,FALSE)</f>
        <v>Otplata obaveza iz prethodnog perioda</v>
      </c>
      <c r="C125" s="653"/>
      <c r="D125" s="653"/>
      <c r="E125" s="653"/>
      <c r="F125" s="653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52" t="str">
        <f>+VLOOKUP(LEFT($A126,LEN(A126)-1)*1,Master!$D$30:$G$229,4,FALSE)</f>
        <v>Neto povećanje obaveza</v>
      </c>
      <c r="C126" s="653"/>
      <c r="D126" s="653"/>
      <c r="E126" s="653"/>
      <c r="F126" s="653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60" t="str">
        <f>+VLOOKUP(LEFT($A127,LEN(A127)-1)*1,Master!$D$30:$G$226,4,FALSE)</f>
        <v>Suficit / deficit</v>
      </c>
      <c r="C127" s="661"/>
      <c r="D127" s="661"/>
      <c r="E127" s="661"/>
      <c r="F127" s="661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62" t="str">
        <f>+VLOOKUP(LEFT($A128,LEN(A128)-1)*1,Master!$D$30:$G$226,4,FALSE)</f>
        <v>Primarni suficit/deficit</v>
      </c>
      <c r="C128" s="663"/>
      <c r="D128" s="663"/>
      <c r="E128" s="663"/>
      <c r="F128" s="663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54" t="str">
        <f>+VLOOKUP(LEFT($A129,LEN(A129)-1)*1,Master!$D$30:$G$226,4,FALSE)</f>
        <v>Otplata dugova</v>
      </c>
      <c r="C129" s="655"/>
      <c r="D129" s="655"/>
      <c r="E129" s="655"/>
      <c r="F129" s="655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58" t="str">
        <f>+VLOOKUP(LEFT($A130,LEN(A130)-1)*1,Master!$D$30:$G$226,4,FALSE)</f>
        <v>Otplata hartija od vrijednosti i kredita rezidentima</v>
      </c>
      <c r="C130" s="659"/>
      <c r="D130" s="659"/>
      <c r="E130" s="659"/>
      <c r="F130" s="659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52" t="str">
        <f>+VLOOKUP(LEFT($A131,LEN(A131)-1)*1,Master!$D$30:$G$226,4,FALSE)</f>
        <v>Otplata hartija od vrijednosti i kredita nerezidentima</v>
      </c>
      <c r="C131" s="653"/>
      <c r="D131" s="653"/>
      <c r="E131" s="653"/>
      <c r="F131" s="653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30" t="str">
        <f>+VLOOKUP(LEFT($A132,LEN(A132)-1)*1,Master!$D$30:$G$226,4,FALSE)</f>
        <v>Izdaci za kupovinu hartija od vrijednosti</v>
      </c>
      <c r="C132" s="631"/>
      <c r="D132" s="631"/>
      <c r="E132" s="631"/>
      <c r="F132" s="631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56" t="str">
        <f>+VLOOKUP(LEFT($A133,LEN(A133)-1)*1,Master!$D$30:$G$226,4,FALSE)</f>
        <v>Nedostajuća sredstva</v>
      </c>
      <c r="C133" s="657"/>
      <c r="D133" s="657"/>
      <c r="E133" s="657"/>
      <c r="F133" s="657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30" t="str">
        <f>+VLOOKUP(LEFT($A134,LEN(A134)-1)*1,Master!$D$30:$G$226,4,FALSE)</f>
        <v>Finansiranje</v>
      </c>
      <c r="C134" s="631"/>
      <c r="D134" s="631"/>
      <c r="E134" s="631"/>
      <c r="F134" s="631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58" t="str">
        <f>+VLOOKUP(LEFT($A135,LEN(A135)-1)*1,Master!$D$30:$G$226,4,FALSE)</f>
        <v>Pozajmice i krediti od domaćih izvora</v>
      </c>
      <c r="C135" s="659"/>
      <c r="D135" s="659"/>
      <c r="E135" s="659"/>
      <c r="F135" s="659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52" t="str">
        <f>+VLOOKUP(LEFT($A136,LEN(A136)-1)*1,Master!$D$30:$G$226,4,FALSE)</f>
        <v>Pozajmice i krediti od inostranih izvora</v>
      </c>
      <c r="C136" s="653"/>
      <c r="D136" s="653"/>
      <c r="E136" s="653"/>
      <c r="F136" s="653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52" t="str">
        <f>+VLOOKUP(LEFT($A137,LEN(A137)-1)*1,Master!$D$30:$G$226,4,FALSE)</f>
        <v>Primici od prodaje imovine</v>
      </c>
      <c r="C137" s="653"/>
      <c r="D137" s="653"/>
      <c r="E137" s="653"/>
      <c r="F137" s="653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67" t="str">
        <f>+Master!G252</f>
        <v>Ostvarenje budžeta</v>
      </c>
      <c r="C7" s="568"/>
      <c r="D7" s="568"/>
      <c r="E7" s="568"/>
      <c r="F7" s="568"/>
      <c r="G7" s="576">
        <v>2020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tr">
        <f>+Master!G249</f>
        <v>BDP</v>
      </c>
      <c r="T7" s="221">
        <v>4185600000</v>
      </c>
    </row>
    <row r="8" spans="1:20" ht="16.5" customHeight="1">
      <c r="A8" s="129"/>
      <c r="B8" s="569"/>
      <c r="C8" s="570"/>
      <c r="D8" s="570"/>
      <c r="E8" s="570"/>
      <c r="F8" s="57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6" t="str">
        <f>+Master!G247</f>
        <v>Jan - Dec</v>
      </c>
      <c r="T8" s="580"/>
    </row>
    <row r="9" spans="1:20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09" t="str">
        <f>+VLOOKUP($A10,Master!$D$30:$G$226,4,FALSE)</f>
        <v>Prihodi budžeta</v>
      </c>
      <c r="C10" s="610"/>
      <c r="D10" s="610"/>
      <c r="E10" s="610"/>
      <c r="F10" s="610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607" t="str">
        <f>+VLOOKUP($A19,Master!$D$30:$G$226,4,FALSE)</f>
        <v>Doprinosi</v>
      </c>
      <c r="C19" s="608"/>
      <c r="D19" s="608"/>
      <c r="E19" s="608"/>
      <c r="F19" s="608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601" t="str">
        <f>+VLOOKUP($A28,Master!$D$30:$G$226,4,FALSE)</f>
        <v>Donacije i transferi</v>
      </c>
      <c r="C28" s="602"/>
      <c r="D28" s="602"/>
      <c r="E28" s="602"/>
      <c r="F28" s="602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15" t="str">
        <f>+VLOOKUP($A34,Master!$D$30:$G$226,4,FALSE)</f>
        <v>Rashodi za usluge</v>
      </c>
      <c r="C34" s="616"/>
      <c r="D34" s="616"/>
      <c r="E34" s="616"/>
      <c r="F34" s="616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15" t="str">
        <f>+VLOOKUP($A39,Master!$D$30:$G$226,4,FALSE)</f>
        <v>Ostali izdaci</v>
      </c>
      <c r="C39" s="616"/>
      <c r="D39" s="616"/>
      <c r="E39" s="616"/>
      <c r="F39" s="616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17" t="str">
        <f>+VLOOKUP($A45,Master!$D$30:$G$226,4,FALSE)</f>
        <v>Ostala prava iz zdravstvenog osiguranja</v>
      </c>
      <c r="C45" s="618"/>
      <c r="D45" s="618"/>
      <c r="E45" s="618"/>
      <c r="F45" s="618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19" t="str">
        <f>+VLOOKUP($A48,Master!$D$30:$G$226,4,FALSE)</f>
        <v>Pozajmice i krediti</v>
      </c>
      <c r="C48" s="620"/>
      <c r="D48" s="620"/>
      <c r="E48" s="620"/>
      <c r="F48" s="620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24" t="str">
        <f>+VLOOKUP($A49,Master!$D$30:$G$226,4,FALSE)</f>
        <v>Rezerve</v>
      </c>
      <c r="C49" s="625"/>
      <c r="D49" s="625"/>
      <c r="E49" s="625"/>
      <c r="F49" s="625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26" t="str">
        <f>+VLOOKUP($A51,Master!$D$30:$G$226,4,TRUE)</f>
        <v>Otplata obaveza iz prethodnog perioda</v>
      </c>
      <c r="C51" s="627"/>
      <c r="D51" s="627"/>
      <c r="E51" s="627"/>
      <c r="F51" s="627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28" t="str">
        <f>+VLOOKUP($A52,Master!$D$30:$G$228,4,FALSE)</f>
        <v>Neto povećanje obaveza</v>
      </c>
      <c r="C52" s="629"/>
      <c r="D52" s="629"/>
      <c r="E52" s="629"/>
      <c r="F52" s="629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81" t="str">
        <f>+VLOOKUP($A56,Master!$D$30:$G$226,4,FALSE)</f>
        <v>Otplata hartija od vrijednosti i kredita rezidentima</v>
      </c>
      <c r="C56" s="582"/>
      <c r="D56" s="582"/>
      <c r="E56" s="582"/>
      <c r="F56" s="582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603" t="str">
        <f>+VLOOKUP($A58,Master!$D$30:$G$226,4,FALSE)</f>
        <v>Izdaci za kupovinu hartija od vrijednosti</v>
      </c>
      <c r="C58" s="604"/>
      <c r="D58" s="604"/>
      <c r="E58" s="604"/>
      <c r="F58" s="604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85" t="str">
        <f>+VLOOKUP($A59,Master!$D$30:$G$226,4,FALSE)</f>
        <v>Nedostajuća sredstva</v>
      </c>
      <c r="C59" s="586"/>
      <c r="D59" s="586"/>
      <c r="E59" s="586"/>
      <c r="F59" s="586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87" t="str">
        <f>+VLOOKUP($A60,Master!$D$30:$G$226,4,FALSE)</f>
        <v>Finansiranje</v>
      </c>
      <c r="C60" s="588"/>
      <c r="D60" s="588"/>
      <c r="E60" s="588"/>
      <c r="F60" s="588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81" t="str">
        <f>+VLOOKUP($A61,Master!$D$30:$G$226,4,FALSE)</f>
        <v>Pozajmice i krediti od domaćih izvora</v>
      </c>
      <c r="C61" s="582"/>
      <c r="D61" s="582"/>
      <c r="E61" s="582"/>
      <c r="F61" s="582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65" t="str">
        <f>+VLOOKUP($A62,Master!$D$30:$G$226,4,FALSE)</f>
        <v>Pozajmice i krediti od inostranih izvora</v>
      </c>
      <c r="C62" s="566"/>
      <c r="D62" s="566"/>
      <c r="E62" s="566"/>
      <c r="F62" s="566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65" t="str">
        <f>+VLOOKUP($A63,Master!$D$30:$G$226,4,FALSE)</f>
        <v>Primici od prodaje imovine</v>
      </c>
      <c r="C63" s="566"/>
      <c r="D63" s="566"/>
      <c r="E63" s="566"/>
      <c r="F63" s="566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6" t="str">
        <f>+Master!G253</f>
        <v>Plan ostvarenja budžeta</v>
      </c>
      <c r="C100" s="637"/>
      <c r="D100" s="637"/>
      <c r="E100" s="637"/>
      <c r="F100" s="637"/>
      <c r="G100" s="621">
        <v>2020</v>
      </c>
      <c r="H100" s="622"/>
      <c r="I100" s="622"/>
      <c r="J100" s="622"/>
      <c r="K100" s="622"/>
      <c r="L100" s="622"/>
      <c r="M100" s="622"/>
      <c r="N100" s="622"/>
      <c r="O100" s="622"/>
      <c r="P100" s="622"/>
      <c r="Q100" s="622"/>
      <c r="R100" s="623"/>
      <c r="S100" s="96" t="str">
        <f>+S7</f>
        <v>BDP</v>
      </c>
      <c r="T100" s="97">
        <v>4607300000</v>
      </c>
    </row>
    <row r="101" spans="1:21" ht="15.75" customHeight="1">
      <c r="B101" s="638"/>
      <c r="C101" s="639"/>
      <c r="D101" s="639"/>
      <c r="E101" s="639"/>
      <c r="F101" s="640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21" t="str">
        <f>+Master!G247</f>
        <v>Jan - Dec</v>
      </c>
      <c r="T101" s="623">
        <f>+T8</f>
        <v>0</v>
      </c>
    </row>
    <row r="102" spans="1:21" ht="13.5" thickBot="1">
      <c r="B102" s="641"/>
      <c r="C102" s="642"/>
      <c r="D102" s="642"/>
      <c r="E102" s="642"/>
      <c r="F102" s="643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6" t="str">
        <f>+VLOOKUP(LEFT($A103,LEN(A103)-1)*1,Master!$D$30:$G$226,4,FALSE)</f>
        <v>Prihodi budžeta</v>
      </c>
      <c r="C103" s="667"/>
      <c r="D103" s="667"/>
      <c r="E103" s="667"/>
      <c r="F103" s="667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2" t="str">
        <f>+VLOOKUP(LEFT($A104,LEN(A104)-1)*1,Master!$D$30:$G$226,4,FALSE)</f>
        <v>Porezi</v>
      </c>
      <c r="C104" s="633"/>
      <c r="D104" s="633"/>
      <c r="E104" s="633"/>
      <c r="F104" s="633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34" t="str">
        <f>+VLOOKUP(LEFT($A105,LEN(A105)-1)*1,Master!$D$30:$G$229,4,FALSE)</f>
        <v>Porez na dohodak fizičkih lica</v>
      </c>
      <c r="C105" s="635"/>
      <c r="D105" s="635"/>
      <c r="E105" s="635"/>
      <c r="F105" s="635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34" t="str">
        <f>+VLOOKUP(LEFT($A106,LEN(A106)-1)*1,Master!$D$30:$G$229,4,FALSE)</f>
        <v>Porez na dobit pravnih lica</v>
      </c>
      <c r="C106" s="635"/>
      <c r="D106" s="635"/>
      <c r="E106" s="635"/>
      <c r="F106" s="635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34" t="str">
        <f>+VLOOKUP(LEFT($A107,LEN(A107)-1)*1,Master!$D$30:$G$229,4,FALSE)</f>
        <v>Porez na promet nepokretnosti</v>
      </c>
      <c r="C107" s="635"/>
      <c r="D107" s="635"/>
      <c r="E107" s="635"/>
      <c r="F107" s="635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34" t="str">
        <f>+VLOOKUP(LEFT($A108,LEN(A108)-1)*1,Master!$D$30:$G$229,4,FALSE)</f>
        <v>Porez na dodatu vrijednost</v>
      </c>
      <c r="C108" s="635"/>
      <c r="D108" s="635"/>
      <c r="E108" s="635"/>
      <c r="F108" s="635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34" t="str">
        <f>+VLOOKUP(LEFT($A109,LEN(A109)-1)*1,Master!$D$30:$G$229,4,FALSE)</f>
        <v>Akcize</v>
      </c>
      <c r="C109" s="635"/>
      <c r="D109" s="635"/>
      <c r="E109" s="635"/>
      <c r="F109" s="635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34" t="str">
        <f>+VLOOKUP(LEFT($A110,LEN(A110)-1)*1,Master!$D$30:$G$229,4,FALSE)</f>
        <v>Porez na međunarodnu trgovinu i transakcije</v>
      </c>
      <c r="C110" s="635"/>
      <c r="D110" s="635"/>
      <c r="E110" s="635"/>
      <c r="F110" s="635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34" t="str">
        <f>+VLOOKUP(LEFT($A111,LEN(A111)-1)*1,Master!$D$30:$G$229,4,FALSE)</f>
        <v>Ostali državni porezi</v>
      </c>
      <c r="C111" s="635"/>
      <c r="D111" s="635"/>
      <c r="E111" s="635"/>
      <c r="F111" s="635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4" t="str">
        <f>+VLOOKUP(LEFT($A112,LEN(A112)-1)*1,Master!$D$30:$G$229,4,FALSE)</f>
        <v>Doprinosi</v>
      </c>
      <c r="C112" s="665"/>
      <c r="D112" s="665"/>
      <c r="E112" s="665"/>
      <c r="F112" s="665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34" t="str">
        <f>+VLOOKUP(LEFT($A113,LEN(A113)-1)*1,Master!$D$30:$G$229,4,FALSE)</f>
        <v>Doprinosi za penzijsko i invalidsko osiguranje</v>
      </c>
      <c r="C113" s="635"/>
      <c r="D113" s="635"/>
      <c r="E113" s="635"/>
      <c r="F113" s="635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34" t="str">
        <f>+VLOOKUP(LEFT($A114,LEN(A114)-1)*1,Master!$D$30:$G$229,4,FALSE)</f>
        <v>Doprinosi za zdravstveno osiguranje</v>
      </c>
      <c r="C114" s="635"/>
      <c r="D114" s="635"/>
      <c r="E114" s="635"/>
      <c r="F114" s="635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34" t="str">
        <f>+VLOOKUP(LEFT($A115,LEN(A115)-1)*1,Master!$D$30:$G$229,4,FALSE)</f>
        <v>Doprinosi za osiguranje od nezaposlenosti</v>
      </c>
      <c r="C115" s="635"/>
      <c r="D115" s="635"/>
      <c r="E115" s="635"/>
      <c r="F115" s="635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34" t="str">
        <f>+VLOOKUP(LEFT($A116,LEN(A116)-1)*1,Master!$D$30:$G$229,4,FALSE)</f>
        <v>Ostali doprinosi</v>
      </c>
      <c r="C116" s="635"/>
      <c r="D116" s="635"/>
      <c r="E116" s="635"/>
      <c r="F116" s="635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44" t="str">
        <f>+VLOOKUP(LEFT($A117,LEN(A117)-1)*1,Master!$D$30:$G$229,4,FALSE)</f>
        <v>Takse</v>
      </c>
      <c r="C117" s="645"/>
      <c r="D117" s="645"/>
      <c r="E117" s="645"/>
      <c r="F117" s="645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44" t="str">
        <f>+VLOOKUP(LEFT($A118,LEN(A118)-1)*1,Master!$D$30:$G$229,4,FALSE)</f>
        <v>Naknade</v>
      </c>
      <c r="C118" s="645"/>
      <c r="D118" s="645"/>
      <c r="E118" s="645"/>
      <c r="F118" s="645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44" t="str">
        <f>+VLOOKUP(LEFT($A119,LEN(A119)-1)*1,Master!$D$30:$G$229,4,FALSE)</f>
        <v>Ostali prihodi</v>
      </c>
      <c r="C119" s="645"/>
      <c r="D119" s="645"/>
      <c r="E119" s="645"/>
      <c r="F119" s="645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44" t="str">
        <f>+VLOOKUP(LEFT($A120,LEN(A120)-1)*1,Master!$D$30:$G$229,4,FALSE)</f>
        <v>Primici od otplate kredita i sredstva prenesena iz prethodne godine</v>
      </c>
      <c r="C120" s="645"/>
      <c r="D120" s="645"/>
      <c r="E120" s="645"/>
      <c r="F120" s="645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46" t="str">
        <f>+VLOOKUP(LEFT($A121,LEN(A121)-1)*1,Master!$D$30:$G$229,4,FALSE)</f>
        <v>Donacije i transferi</v>
      </c>
      <c r="C121" s="647"/>
      <c r="D121" s="647"/>
      <c r="E121" s="647"/>
      <c r="F121" s="647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30" t="str">
        <f>+VLOOKUP(LEFT($A122,LEN(A122)-1)*1,Master!$D$30:$G$229,4,FALSE)</f>
        <v>Izdaci budžeta</v>
      </c>
      <c r="C122" s="631"/>
      <c r="D122" s="631"/>
      <c r="E122" s="631"/>
      <c r="F122" s="631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48" t="str">
        <f>+VLOOKUP(LEFT($A123,LEN(A123)-1)*1,Master!$D$30:$G$229,4,FALSE)</f>
        <v>Tekući izdaci</v>
      </c>
      <c r="C123" s="649"/>
      <c r="D123" s="649"/>
      <c r="E123" s="649"/>
      <c r="F123" s="649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34" t="str">
        <f>+VLOOKUP(LEFT($A124,LEN(A124)-1)*1,Master!$D$30:$G$229,4,FALSE)</f>
        <v>Bruto zarade i doprinosi na teret poslodavca</v>
      </c>
      <c r="C124" s="635"/>
      <c r="D124" s="635"/>
      <c r="E124" s="635"/>
      <c r="F124" s="635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34" t="str">
        <f>+VLOOKUP(LEFT($A125,LEN(A125)-1)*1,Master!$D$30:$G$229,4,FALSE)</f>
        <v>Ostala lična primanja</v>
      </c>
      <c r="C125" s="635"/>
      <c r="D125" s="635"/>
      <c r="E125" s="635"/>
      <c r="F125" s="635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34" t="str">
        <f>+VLOOKUP(LEFT($A126,LEN(A126)-1)*1,Master!$D$30:$G$229,4,FALSE)</f>
        <v>Rashodi za materijal</v>
      </c>
      <c r="C126" s="635"/>
      <c r="D126" s="635"/>
      <c r="E126" s="635"/>
      <c r="F126" s="635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34" t="str">
        <f>+VLOOKUP(LEFT($A127,LEN(A127)-1)*1,Master!$D$30:$G$229,4,FALSE)</f>
        <v>Rashodi za usluge</v>
      </c>
      <c r="C127" s="635"/>
      <c r="D127" s="635"/>
      <c r="E127" s="635"/>
      <c r="F127" s="635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34" t="str">
        <f>+VLOOKUP(LEFT($A128,LEN(A128)-1)*1,Master!$D$30:$G$229,4,FALSE)</f>
        <v>Rashodi za tekuće održavanje</v>
      </c>
      <c r="C128" s="635"/>
      <c r="D128" s="635"/>
      <c r="E128" s="635"/>
      <c r="F128" s="635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34" t="str">
        <f>+VLOOKUP(LEFT($A129,LEN(A129)-1)*1,Master!$D$30:$G$229,4,FALSE)</f>
        <v>Kamate</v>
      </c>
      <c r="C129" s="635"/>
      <c r="D129" s="635"/>
      <c r="E129" s="635"/>
      <c r="F129" s="635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34" t="str">
        <f>+VLOOKUP(LEFT($A130,LEN(A130)-1)*1,Master!$D$30:$G$229,4,FALSE)</f>
        <v>Renta</v>
      </c>
      <c r="C130" s="635"/>
      <c r="D130" s="635"/>
      <c r="E130" s="635"/>
      <c r="F130" s="635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34" t="str">
        <f>+VLOOKUP(LEFT($A131,LEN(A131)-1)*1,Master!$D$30:$G$229,4,FALSE)</f>
        <v>Subvencije</v>
      </c>
      <c r="C131" s="635"/>
      <c r="D131" s="635"/>
      <c r="E131" s="635"/>
      <c r="F131" s="635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34" t="str">
        <f>+VLOOKUP(LEFT($A132,LEN(A132)-1)*1,Master!$D$30:$G$229,4,FALSE)</f>
        <v>Ostali izdaci</v>
      </c>
      <c r="C132" s="635"/>
      <c r="D132" s="635"/>
      <c r="E132" s="635"/>
      <c r="F132" s="635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54" t="str">
        <f>+VLOOKUP(LEFT($A133,LEN(A133)-1)*1,Master!$D$30:$G$229,4,FALSE)</f>
        <v>Transferi za socijalnu zaštitu</v>
      </c>
      <c r="C133" s="655"/>
      <c r="D133" s="655"/>
      <c r="E133" s="655"/>
      <c r="F133" s="655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34" t="str">
        <f>+VLOOKUP(LEFT($A134,LEN(A134)-1)*1,Master!$D$30:$G$229,4,FALSE)</f>
        <v>Prava iz oblasti socijalne zaštite</v>
      </c>
      <c r="C134" s="635"/>
      <c r="D134" s="635"/>
      <c r="E134" s="635"/>
      <c r="F134" s="635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34" t="str">
        <f>+VLOOKUP(LEFT($A135,LEN(A135)-1)*1,Master!$D$30:$G$229,4,FALSE)</f>
        <v>Sredstva za tehnološke viškove</v>
      </c>
      <c r="C135" s="635"/>
      <c r="D135" s="635"/>
      <c r="E135" s="635"/>
      <c r="F135" s="635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34" t="str">
        <f>+VLOOKUP(LEFT($A136,LEN(A136)-1)*1,Master!$D$30:$G$229,4,FALSE)</f>
        <v>Prava iz oblasti penzijskog i invalidskog osiguranja</v>
      </c>
      <c r="C136" s="635"/>
      <c r="D136" s="635"/>
      <c r="E136" s="635"/>
      <c r="F136" s="635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34" t="str">
        <f>+VLOOKUP(LEFT($A137,LEN(A137)-1)*1,Master!$D$30:$G$229,4,FALSE)</f>
        <v>Ostala prava iz oblasti zdravstvene zaštite</v>
      </c>
      <c r="C137" s="635"/>
      <c r="D137" s="635"/>
      <c r="E137" s="635"/>
      <c r="F137" s="635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34" t="str">
        <f>+VLOOKUP(LEFT($A138,LEN(A138)-1)*1,Master!$D$30:$G$229,4,FALSE)</f>
        <v>Ostala prava iz zdravstvenog osiguranja</v>
      </c>
      <c r="C138" s="635"/>
      <c r="D138" s="635"/>
      <c r="E138" s="635"/>
      <c r="F138" s="635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50" t="str">
        <f>+VLOOKUP(LEFT($A139,LEN(A139)-1)*1,Master!$D$30:$G$229,4,FALSE)</f>
        <v xml:space="preserve">Transferi institucijama, pojedincima, nevladinom i javnom sektoru </v>
      </c>
      <c r="C139" s="651"/>
      <c r="D139" s="651"/>
      <c r="E139" s="651"/>
      <c r="F139" s="651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50" t="str">
        <f>+VLOOKUP(LEFT($A140,LEN(A140)-1)*1,Master!$D$30:$G$229,4,FALSE)</f>
        <v>Kapitalni izdaci</v>
      </c>
      <c r="C140" s="651"/>
      <c r="D140" s="651"/>
      <c r="E140" s="651"/>
      <c r="F140" s="651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52" t="str">
        <f>+VLOOKUP(LEFT($A141,LEN(A141)-1)*1,Master!$D$30:$G$229,4,FALSE)</f>
        <v>Pozajmice i krediti</v>
      </c>
      <c r="C141" s="653"/>
      <c r="D141" s="653"/>
      <c r="E141" s="653"/>
      <c r="F141" s="653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52" t="str">
        <f>+VLOOKUP(LEFT($A142,LEN(A142)-1)*1,Master!$D$30:$G$229,4,FALSE)</f>
        <v>Rezerve</v>
      </c>
      <c r="C142" s="653"/>
      <c r="D142" s="653"/>
      <c r="E142" s="653"/>
      <c r="F142" s="653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52" t="str">
        <f>+VLOOKUP(LEFT($A143,LEN(A143)-1)*1,Master!$D$30:$G$229,4,FALSE)</f>
        <v>Otplata garancija</v>
      </c>
      <c r="C143" s="653"/>
      <c r="D143" s="653"/>
      <c r="E143" s="653"/>
      <c r="F143" s="653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52" t="str">
        <f>+VLOOKUP(LEFT($A144,LEN(A144)-1)*1,Master!$D$30:$G$229,4,FALSE)</f>
        <v>Otplata obaveza iz prethodnog perioda</v>
      </c>
      <c r="C144" s="653"/>
      <c r="D144" s="653"/>
      <c r="E144" s="653"/>
      <c r="F144" s="653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52" t="str">
        <f>+VLOOKUP(LEFT($A145,LEN(A145)-1)*1,Master!$D$30:$G$229,4,FALSE)</f>
        <v>Neto povećanje obaveza</v>
      </c>
      <c r="C145" s="653"/>
      <c r="D145" s="653"/>
      <c r="E145" s="653"/>
      <c r="F145" s="653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60" t="str">
        <f>+VLOOKUP(LEFT($A146,LEN(A146)-1)*1,Master!$D$30:$G$226,4,FALSE)</f>
        <v>Suficit / deficit</v>
      </c>
      <c r="C146" s="661"/>
      <c r="D146" s="661"/>
      <c r="E146" s="661"/>
      <c r="F146" s="661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62" t="str">
        <f>+VLOOKUP(LEFT($A147,LEN(A147)-1)*1,Master!$D$30:$G$226,4,FALSE)</f>
        <v>Primarni suficit/deficit</v>
      </c>
      <c r="C147" s="663"/>
      <c r="D147" s="663"/>
      <c r="E147" s="663"/>
      <c r="F147" s="663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54" t="str">
        <f>+VLOOKUP(LEFT($A148,LEN(A148)-1)*1,Master!$D$30:$G$226,4,FALSE)</f>
        <v>Otplata dugova</v>
      </c>
      <c r="C148" s="655"/>
      <c r="D148" s="655"/>
      <c r="E148" s="655"/>
      <c r="F148" s="655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58" t="str">
        <f>+VLOOKUP(LEFT($A149,LEN(A149)-1)*1,Master!$D$30:$G$226,4,FALSE)</f>
        <v>Otplata hartija od vrijednosti i kredita rezidentima</v>
      </c>
      <c r="C149" s="659"/>
      <c r="D149" s="659"/>
      <c r="E149" s="659"/>
      <c r="F149" s="659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52" t="str">
        <f>+VLOOKUP(LEFT($A150,LEN(A150)-1)*1,Master!$D$30:$G$226,4,FALSE)</f>
        <v>Otplata hartija od vrijednosti i kredita nerezidentima</v>
      </c>
      <c r="C150" s="653"/>
      <c r="D150" s="653"/>
      <c r="E150" s="653"/>
      <c r="F150" s="653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30" t="str">
        <f>+VLOOKUP(LEFT($A151,LEN(A151)-1)*1,Master!$D$30:$G$226,4,FALSE)</f>
        <v>Izdaci za kupovinu hartija od vrijednosti</v>
      </c>
      <c r="C151" s="631"/>
      <c r="D151" s="631"/>
      <c r="E151" s="631"/>
      <c r="F151" s="631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56" t="str">
        <f>+VLOOKUP(LEFT($A152,LEN(A152)-1)*1,Master!$D$30:$G$226,4,FALSE)</f>
        <v>Nedostajuća sredstva</v>
      </c>
      <c r="C152" s="657"/>
      <c r="D152" s="657"/>
      <c r="E152" s="657"/>
      <c r="F152" s="657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30" t="str">
        <f>+VLOOKUP(LEFT($A153,LEN(A153)-1)*1,Master!$D$30:$G$226,4,FALSE)</f>
        <v>Finansiranje</v>
      </c>
      <c r="C153" s="631"/>
      <c r="D153" s="631"/>
      <c r="E153" s="631"/>
      <c r="F153" s="631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58" t="str">
        <f>+VLOOKUP(LEFT($A154,LEN(A154)-1)*1,Master!$D$30:$G$226,4,FALSE)</f>
        <v>Pozajmice i krediti od domaćih izvora</v>
      </c>
      <c r="C154" s="659"/>
      <c r="D154" s="659"/>
      <c r="E154" s="659"/>
      <c r="F154" s="659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52" t="str">
        <f>+VLOOKUP(LEFT($A155,LEN(A155)-1)*1,Master!$D$30:$G$226,4,FALSE)</f>
        <v>Pozajmice i krediti od inostranih izvora</v>
      </c>
      <c r="C155" s="653"/>
      <c r="D155" s="653"/>
      <c r="E155" s="653"/>
      <c r="F155" s="653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52" t="str">
        <f>+VLOOKUP(LEFT($A156,LEN(A156)-1)*1,Master!$D$30:$G$226,4,FALSE)</f>
        <v>Primici od prodaje imovine</v>
      </c>
      <c r="C156" s="653"/>
      <c r="D156" s="653"/>
      <c r="E156" s="653"/>
      <c r="F156" s="653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2025</vt:lpstr>
      <vt:lpstr>2024</vt:lpstr>
      <vt:lpstr>2025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2025-09-30T07:06:18Z</cp:lastPrinted>
  <dcterms:created xsi:type="dcterms:W3CDTF">2014-09-15T13:41:17Z</dcterms:created>
  <dcterms:modified xsi:type="dcterms:W3CDTF">2025-11-28T15:52:32Z</dcterms:modified>
</cp:coreProperties>
</file>