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mLOrKx7gu2w/vhYKPSH62JDdFY9PMCczADv2s94u1bTwy07416b5S/OlTKNsDMNE5jghwHONUniBFrs7bd/nNg==" workbookSaltValue="Z/48fI7CZ/00/GCexVaXlg==" workbookSpinCount="100000" lockStructure="1"/>
  <bookViews>
    <workbookView xWindow="0" yWindow="0" windowWidth="11970" windowHeight="6045" tabRatio="587" firstSheet="1" activeTab="2"/>
  </bookViews>
  <sheets>
    <sheet name="Analitika - 2014" sheetId="3" state="hidden" r:id="rId1"/>
    <sheet name="Pregled" sheetId="1" r:id="rId2"/>
    <sheet name="Analit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H11" i="11" l="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K48" i="11" l="1"/>
  <c r="R48" i="11" l="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6" i="11"/>
  <c r="O57" i="11"/>
  <c r="O58" i="11"/>
  <c r="O61" i="11"/>
  <c r="O62" i="11"/>
  <c r="O63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61" i="11"/>
  <c r="N62" i="11"/>
  <c r="N63" i="11"/>
  <c r="H21" i="1" l="1"/>
  <c r="G21" i="1"/>
  <c r="H17" i="1"/>
  <c r="G17" i="1"/>
  <c r="G129" i="22" l="1"/>
  <c r="Q31" i="11"/>
  <c r="P31" i="11"/>
  <c r="P1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T48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P19" i="22"/>
  <c r="Q19" i="22"/>
  <c r="R19" i="22"/>
  <c r="G19" i="22"/>
  <c r="S27" i="22"/>
  <c r="T27" i="22" s="1"/>
  <c r="S28" i="22"/>
  <c r="T28" i="22" s="1"/>
  <c r="A138" i="22"/>
  <c r="S137" i="22"/>
  <c r="T137" i="22" s="1"/>
  <c r="A137" i="22"/>
  <c r="S136" i="22"/>
  <c r="T136" i="22" s="1"/>
  <c r="A136" i="22"/>
  <c r="S135" i="22"/>
  <c r="T135" i="22" s="1"/>
  <c r="A135" i="22"/>
  <c r="A134" i="22"/>
  <c r="A133" i="22"/>
  <c r="S132" i="22"/>
  <c r="T132" i="22" s="1"/>
  <c r="A132" i="22"/>
  <c r="S131" i="22"/>
  <c r="T131" i="22" s="1"/>
  <c r="A131" i="22"/>
  <c r="S130" i="22"/>
  <c r="T130" i="22" s="1"/>
  <c r="A130" i="22"/>
  <c r="R129" i="22"/>
  <c r="Q129" i="22"/>
  <c r="P129" i="22"/>
  <c r="O129" i="22"/>
  <c r="N129" i="22"/>
  <c r="M129" i="22"/>
  <c r="L129" i="22"/>
  <c r="K129" i="22"/>
  <c r="J129" i="22"/>
  <c r="I129" i="22"/>
  <c r="H129" i="22"/>
  <c r="O55" i="11" s="1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S121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Q103" i="22" s="1"/>
  <c r="P114" i="22"/>
  <c r="P103" i="22" s="1"/>
  <c r="O114" i="22"/>
  <c r="N114" i="22"/>
  <c r="M114" i="22"/>
  <c r="L114" i="22"/>
  <c r="K114" i="22"/>
  <c r="J114" i="22"/>
  <c r="I114" i="22"/>
  <c r="I103" i="22" s="1"/>
  <c r="H114" i="22"/>
  <c r="O40" i="11" s="1"/>
  <c r="G114" i="22"/>
  <c r="A114" i="22"/>
  <c r="S113" i="22"/>
  <c r="T113" i="22" s="1"/>
  <c r="A113" i="22"/>
  <c r="S112" i="22"/>
  <c r="T112" i="22" s="1"/>
  <c r="A112" i="22"/>
  <c r="S111" i="22"/>
  <c r="T111" i="22" s="1"/>
  <c r="A111" i="22"/>
  <c r="S110" i="22"/>
  <c r="A110" i="22"/>
  <c r="S109" i="22"/>
  <c r="T109" i="22" s="1"/>
  <c r="A109" i="22"/>
  <c r="S108" i="22"/>
  <c r="A108" i="22"/>
  <c r="S107" i="22"/>
  <c r="T107" i="22" s="1"/>
  <c r="A107" i="22"/>
  <c r="S106" i="22"/>
  <c r="A106" i="22"/>
  <c r="S105" i="22"/>
  <c r="T105" i="22" s="1"/>
  <c r="A105" i="22"/>
  <c r="R104" i="22"/>
  <c r="Q104" i="22"/>
  <c r="P104" i="22"/>
  <c r="O104" i="22"/>
  <c r="O103" i="22" s="1"/>
  <c r="N104" i="22"/>
  <c r="M104" i="22"/>
  <c r="L104" i="22"/>
  <c r="L103" i="22" s="1"/>
  <c r="K104" i="22"/>
  <c r="K103" i="22" s="1"/>
  <c r="J104" i="22"/>
  <c r="I104" i="22"/>
  <c r="H104" i="22"/>
  <c r="O30" i="11" s="1"/>
  <c r="G104" i="22"/>
  <c r="A104" i="22"/>
  <c r="M103" i="22"/>
  <c r="A103" i="22"/>
  <c r="S102" i="22"/>
  <c r="A102" i="22"/>
  <c r="S101" i="22"/>
  <c r="T101" i="22" s="1"/>
  <c r="A101" i="22"/>
  <c r="S100" i="22"/>
  <c r="A100" i="22"/>
  <c r="S99" i="22"/>
  <c r="T99" i="22" s="1"/>
  <c r="A99" i="22"/>
  <c r="S98" i="22"/>
  <c r="A98" i="22"/>
  <c r="S97" i="22"/>
  <c r="T97" i="22" s="1"/>
  <c r="A97" i="22"/>
  <c r="S96" i="22"/>
  <c r="A96" i="22"/>
  <c r="S95" i="22"/>
  <c r="T95" i="22" s="1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T92" i="22" s="1"/>
  <c r="A92" i="22"/>
  <c r="S91" i="22"/>
  <c r="A91" i="22"/>
  <c r="S90" i="22"/>
  <c r="T90" i="22" s="1"/>
  <c r="A90" i="22"/>
  <c r="S89" i="22"/>
  <c r="A89" i="22"/>
  <c r="S88" i="22"/>
  <c r="T88" i="22" s="1"/>
  <c r="A88" i="22"/>
  <c r="S87" i="22"/>
  <c r="A87" i="22"/>
  <c r="S86" i="22"/>
  <c r="T86" i="22" s="1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N40" i="11" s="1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J30" i="22"/>
  <c r="H30" i="22"/>
  <c r="N30" i="11" s="1"/>
  <c r="S31" i="22"/>
  <c r="T31" i="22" s="1"/>
  <c r="Q30" i="22"/>
  <c r="O30" i="22"/>
  <c r="M30" i="22"/>
  <c r="K30" i="22"/>
  <c r="I30" i="22"/>
  <c r="G30" i="22"/>
  <c r="S26" i="22"/>
  <c r="T26" i="22" s="1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P10" i="22" s="1"/>
  <c r="N11" i="22"/>
  <c r="L11" i="22"/>
  <c r="L10" i="22" s="1"/>
  <c r="J11" i="22"/>
  <c r="H11" i="22"/>
  <c r="S12" i="22"/>
  <c r="T12" i="22" s="1"/>
  <c r="Q11" i="22"/>
  <c r="Q10" i="22" s="1"/>
  <c r="O11" i="22"/>
  <c r="O10" i="22" s="1"/>
  <c r="M11" i="22"/>
  <c r="K11" i="22"/>
  <c r="K10" i="22" s="1"/>
  <c r="I11" i="22"/>
  <c r="I10" i="22" s="1"/>
  <c r="G11" i="22"/>
  <c r="R5" i="22"/>
  <c r="Q5" i="22"/>
  <c r="P5" i="22"/>
  <c r="O5" i="22"/>
  <c r="N5" i="22"/>
  <c r="M5" i="22"/>
  <c r="L5" i="22"/>
  <c r="K5" i="22"/>
  <c r="J5" i="22"/>
  <c r="I5" i="22"/>
  <c r="H5" i="22"/>
  <c r="G5" i="22"/>
  <c r="H103" i="22" l="1"/>
  <c r="O29" i="11" s="1"/>
  <c r="H10" i="22"/>
  <c r="N10" i="11" s="1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K53" i="22" s="1"/>
  <c r="K54" i="22" s="1"/>
  <c r="O29" i="22"/>
  <c r="O53" i="22" s="1"/>
  <c r="O59" i="22" s="1"/>
  <c r="O64" i="22" s="1"/>
  <c r="O60" i="22" s="1"/>
  <c r="L29" i="22"/>
  <c r="L53" i="22" s="1"/>
  <c r="L54" i="22" s="1"/>
  <c r="P29" i="22"/>
  <c r="P53" i="22" s="1"/>
  <c r="P54" i="22" s="1"/>
  <c r="H29" i="22"/>
  <c r="N29" i="11" s="1"/>
  <c r="J10" i="22"/>
  <c r="N10" i="22"/>
  <c r="R10" i="22"/>
  <c r="S129" i="22"/>
  <c r="T129" i="22" s="1"/>
  <c r="J127" i="22"/>
  <c r="J128" i="22" s="1"/>
  <c r="L84" i="22"/>
  <c r="P84" i="22"/>
  <c r="I84" i="22"/>
  <c r="I127" i="22" s="1"/>
  <c r="I133" i="22" s="1"/>
  <c r="I138" i="22" s="1"/>
  <c r="I134" i="22" s="1"/>
  <c r="K84" i="22"/>
  <c r="K127" i="22" s="1"/>
  <c r="K128" i="22" s="1"/>
  <c r="M84" i="22"/>
  <c r="M127" i="22" s="1"/>
  <c r="M133" i="22" s="1"/>
  <c r="M138" i="22" s="1"/>
  <c r="M134" i="22" s="1"/>
  <c r="O84" i="22"/>
  <c r="O127" i="22" s="1"/>
  <c r="O128" i="22" s="1"/>
  <c r="Q84" i="22"/>
  <c r="Q127" i="22" s="1"/>
  <c r="Q133" i="22" s="1"/>
  <c r="Q138" i="22" s="1"/>
  <c r="Q134" i="22" s="1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6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T93" i="22" s="1"/>
  <c r="Q19" i="11"/>
  <c r="S85" i="22"/>
  <c r="T85" i="22" s="1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T114" i="22" s="1"/>
  <c r="L127" i="22"/>
  <c r="L133" i="22" s="1"/>
  <c r="L138" i="22" s="1"/>
  <c r="L134" i="22" s="1"/>
  <c r="P127" i="22"/>
  <c r="P133" i="22" s="1"/>
  <c r="P138" i="22" s="1"/>
  <c r="P134" i="22" s="1"/>
  <c r="S104" i="22"/>
  <c r="T104" i="22" s="1"/>
  <c r="G84" i="22"/>
  <c r="I29" i="22"/>
  <c r="I53" i="22" s="1"/>
  <c r="I54" i="22" s="1"/>
  <c r="M29" i="22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K133" i="22"/>
  <c r="K138" i="22" s="1"/>
  <c r="K134" i="22" s="1"/>
  <c r="H127" i="22" l="1"/>
  <c r="H133" i="22" s="1"/>
  <c r="O59" i="11" s="1"/>
  <c r="Q10" i="11"/>
  <c r="P10" i="11"/>
  <c r="H53" i="22"/>
  <c r="S10" i="22"/>
  <c r="T10" i="22" s="1"/>
  <c r="M53" i="22"/>
  <c r="M59" i="22" s="1"/>
  <c r="M64" i="22" s="1"/>
  <c r="M60" i="22" s="1"/>
  <c r="R127" i="22"/>
  <c r="R133" i="22" s="1"/>
  <c r="R138" i="22" s="1"/>
  <c r="R134" i="22" s="1"/>
  <c r="N127" i="22"/>
  <c r="J133" i="22"/>
  <c r="J138" i="22" s="1"/>
  <c r="J134" i="22" s="1"/>
  <c r="N53" i="22"/>
  <c r="N59" i="22" s="1"/>
  <c r="N64" i="22" s="1"/>
  <c r="N60" i="22" s="1"/>
  <c r="S103" i="22"/>
  <c r="T103" i="22" s="1"/>
  <c r="L59" i="22"/>
  <c r="L64" i="22" s="1"/>
  <c r="L60" i="22" s="1"/>
  <c r="R53" i="22"/>
  <c r="R54" i="22" s="1"/>
  <c r="I59" i="22"/>
  <c r="I64" i="22" s="1"/>
  <c r="I60" i="22" s="1"/>
  <c r="Q59" i="22"/>
  <c r="Q64" i="22" s="1"/>
  <c r="Q60" i="22" s="1"/>
  <c r="K59" i="22"/>
  <c r="K64" i="22" s="1"/>
  <c r="K60" i="22" s="1"/>
  <c r="L128" i="22"/>
  <c r="P128" i="22"/>
  <c r="O133" i="22"/>
  <c r="O138" i="22" s="1"/>
  <c r="O134" i="22" s="1"/>
  <c r="S84" i="22"/>
  <c r="T84" i="22" s="1"/>
  <c r="M128" i="22"/>
  <c r="Q128" i="22"/>
  <c r="I128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L48" i="11"/>
  <c r="M48" i="11"/>
  <c r="I48" i="11"/>
  <c r="J47" i="11"/>
  <c r="I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Q29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G128" i="22" s="1"/>
  <c r="P59" i="22"/>
  <c r="P64" i="22" s="1"/>
  <c r="P60" i="22" s="1"/>
  <c r="O54" i="22"/>
  <c r="J53" i="22"/>
  <c r="M54" i="22"/>
  <c r="N54" i="22"/>
  <c r="A145" i="19"/>
  <c r="A144" i="19"/>
  <c r="A151" i="19"/>
  <c r="A157" i="19"/>
  <c r="A152" i="19"/>
  <c r="A153" i="19"/>
  <c r="O53" i="11" l="1"/>
  <c r="H128" i="22"/>
  <c r="O54" i="11" s="1"/>
  <c r="H138" i="22"/>
  <c r="O64" i="11" s="1"/>
  <c r="H54" i="22"/>
  <c r="N54" i="11" s="1"/>
  <c r="N53" i="11"/>
  <c r="H59" i="22"/>
  <c r="N128" i="22"/>
  <c r="N133" i="22"/>
  <c r="N138" i="22" s="1"/>
  <c r="N134" i="22" s="1"/>
  <c r="S127" i="22"/>
  <c r="T127" i="22" s="1"/>
  <c r="R128" i="22"/>
  <c r="G10" i="11"/>
  <c r="G12" i="1" s="1"/>
  <c r="H12" i="1" s="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64" i="22" s="1"/>
  <c r="J60" i="22" s="1"/>
  <c r="J54" i="22"/>
  <c r="S54" i="22" s="1"/>
  <c r="T54" i="22" s="1"/>
  <c r="R140" i="19"/>
  <c r="Q140" i="19"/>
  <c r="P140" i="19"/>
  <c r="O140" i="19"/>
  <c r="N140" i="19"/>
  <c r="M140" i="19"/>
  <c r="H134" i="22" l="1"/>
  <c r="O60" i="11" s="1"/>
  <c r="H64" i="22"/>
  <c r="N59" i="11"/>
  <c r="Q59" i="11" s="1"/>
  <c r="I10" i="11"/>
  <c r="J10" i="11"/>
  <c r="Q53" i="11"/>
  <c r="P53" i="11"/>
  <c r="G64" i="22"/>
  <c r="J29" i="11"/>
  <c r="I29" i="11"/>
  <c r="G53" i="11"/>
  <c r="S59" i="22"/>
  <c r="T59" i="22" s="1"/>
  <c r="G54" i="11"/>
  <c r="G138" i="22"/>
  <c r="S133" i="22"/>
  <c r="T133" i="22" s="1"/>
  <c r="Q54" i="11"/>
  <c r="S128" i="22"/>
  <c r="T128" i="22" s="1"/>
  <c r="H60" i="22" l="1"/>
  <c r="N60" i="11" s="1"/>
  <c r="N64" i="11"/>
  <c r="Q64" i="11" s="1"/>
  <c r="I53" i="11"/>
  <c r="G20" i="1"/>
  <c r="H20" i="1" s="1"/>
  <c r="S64" i="22"/>
  <c r="T64" i="22" s="1"/>
  <c r="J53" i="11"/>
  <c r="G60" i="22"/>
  <c r="S60" i="22" s="1"/>
  <c r="T60" i="22" s="1"/>
  <c r="J54" i="11"/>
  <c r="I54" i="11"/>
  <c r="G59" i="11"/>
  <c r="S138" i="22"/>
  <c r="T138" i="22" s="1"/>
  <c r="G134" i="22"/>
  <c r="GC35" i="6"/>
  <c r="GC28" i="6"/>
  <c r="GC23" i="6"/>
  <c r="GC18" i="6"/>
  <c r="GC10" i="6"/>
  <c r="G64" i="11" l="1"/>
  <c r="I64" i="11" s="1"/>
  <c r="G60" i="11"/>
  <c r="J59" i="11"/>
  <c r="I59" i="11"/>
  <c r="S134" i="22"/>
  <c r="T134" i="22" s="1"/>
  <c r="Q60" i="11"/>
  <c r="GB35" i="6"/>
  <c r="GB28" i="6"/>
  <c r="GB23" i="6"/>
  <c r="GB18" i="6"/>
  <c r="GB10" i="6"/>
  <c r="J64" i="11" l="1"/>
  <c r="J60" i="11"/>
  <c r="I60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59" i="6" s="1"/>
  <c r="GE261" i="6"/>
  <c r="FY35" i="6" l="1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I30" i="20" s="1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R32" i="20"/>
  <c r="G32" i="20"/>
  <c r="H30" i="20"/>
  <c r="L30" i="20"/>
  <c r="O30" i="20"/>
  <c r="Q30" i="20"/>
  <c r="R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P40" i="20" l="1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K29" i="20" l="1"/>
  <c r="M29" i="20"/>
  <c r="J29" i="20"/>
  <c r="G29" i="20"/>
  <c r="H151" i="19" l="1"/>
  <c r="I151" i="19"/>
  <c r="J151" i="19"/>
  <c r="K151" i="19"/>
  <c r="L151" i="19"/>
  <c r="M151" i="19"/>
  <c r="N151" i="19"/>
  <c r="O151" i="19"/>
  <c r="P151" i="19"/>
  <c r="Q151" i="19"/>
  <c r="R151" i="19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N55" i="21"/>
  <c r="N56" i="21" s="1"/>
  <c r="N62" i="21" s="1"/>
  <c r="N67" i="21" s="1"/>
  <c r="N63" i="21" s="1"/>
  <c r="G10" i="20"/>
  <c r="I126" i="21"/>
  <c r="N150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R54" i="20" l="1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N57" i="2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4" i="20" l="1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R63" i="11" s="1"/>
  <c r="G63" i="19"/>
  <c r="R62" i="19"/>
  <c r="Q62" i="19"/>
  <c r="P62" i="19"/>
  <c r="O62" i="19"/>
  <c r="N62" i="19"/>
  <c r="M62" i="19"/>
  <c r="L62" i="19"/>
  <c r="K62" i="19"/>
  <c r="J62" i="19"/>
  <c r="I62" i="19"/>
  <c r="H62" i="19"/>
  <c r="R62" i="11" s="1"/>
  <c r="G62" i="19"/>
  <c r="R61" i="19"/>
  <c r="Q61" i="19"/>
  <c r="P61" i="19"/>
  <c r="O61" i="19"/>
  <c r="N61" i="19"/>
  <c r="M61" i="19"/>
  <c r="L61" i="19"/>
  <c r="K61" i="19"/>
  <c r="J61" i="19"/>
  <c r="I61" i="19"/>
  <c r="H61" i="19"/>
  <c r="R61" i="11" s="1"/>
  <c r="G61" i="19"/>
  <c r="R58" i="19"/>
  <c r="Q58" i="19"/>
  <c r="P58" i="19"/>
  <c r="O58" i="19"/>
  <c r="N58" i="19"/>
  <c r="M58" i="19"/>
  <c r="L58" i="19"/>
  <c r="K58" i="19"/>
  <c r="J58" i="19"/>
  <c r="I58" i="19"/>
  <c r="H58" i="19"/>
  <c r="R58" i="11" s="1"/>
  <c r="G58" i="19"/>
  <c r="R57" i="19"/>
  <c r="Q57" i="19"/>
  <c r="P57" i="19"/>
  <c r="O57" i="19"/>
  <c r="N57" i="19"/>
  <c r="M57" i="19"/>
  <c r="L57" i="19"/>
  <c r="K57" i="19"/>
  <c r="J57" i="19"/>
  <c r="I57" i="19"/>
  <c r="H57" i="19"/>
  <c r="R57" i="11" s="1"/>
  <c r="G57" i="19"/>
  <c r="R56" i="19"/>
  <c r="Q56" i="19"/>
  <c r="P56" i="19"/>
  <c r="O56" i="19"/>
  <c r="N56" i="19"/>
  <c r="M56" i="19"/>
  <c r="L56" i="19"/>
  <c r="K56" i="19"/>
  <c r="J56" i="19"/>
  <c r="I56" i="19"/>
  <c r="H56" i="19"/>
  <c r="R56" i="11" s="1"/>
  <c r="G56" i="19"/>
  <c r="R52" i="19"/>
  <c r="Q52" i="19"/>
  <c r="P52" i="19"/>
  <c r="O52" i="19"/>
  <c r="N52" i="19"/>
  <c r="M52" i="19"/>
  <c r="L52" i="19"/>
  <c r="K52" i="19"/>
  <c r="J52" i="19"/>
  <c r="I52" i="19"/>
  <c r="H52" i="19"/>
  <c r="R52" i="11" s="1"/>
  <c r="G52" i="19"/>
  <c r="R51" i="19"/>
  <c r="Q51" i="19"/>
  <c r="P51" i="19"/>
  <c r="O51" i="19"/>
  <c r="N51" i="19"/>
  <c r="M51" i="19"/>
  <c r="L51" i="19"/>
  <c r="K51" i="19"/>
  <c r="J51" i="19"/>
  <c r="I51" i="19"/>
  <c r="H51" i="19"/>
  <c r="R51" i="11" s="1"/>
  <c r="G51" i="19"/>
  <c r="R50" i="19"/>
  <c r="Q50" i="19"/>
  <c r="P50" i="19"/>
  <c r="O50" i="19"/>
  <c r="N50" i="19"/>
  <c r="M50" i="19"/>
  <c r="L50" i="19"/>
  <c r="K50" i="19"/>
  <c r="J50" i="19"/>
  <c r="I50" i="19"/>
  <c r="H50" i="19"/>
  <c r="R50" i="11" s="1"/>
  <c r="G50" i="19"/>
  <c r="R49" i="19"/>
  <c r="Q49" i="19"/>
  <c r="P49" i="19"/>
  <c r="O49" i="19"/>
  <c r="N49" i="19"/>
  <c r="M49" i="19"/>
  <c r="L49" i="19"/>
  <c r="K49" i="19"/>
  <c r="J49" i="19"/>
  <c r="I49" i="19"/>
  <c r="H49" i="19"/>
  <c r="R49" i="11" s="1"/>
  <c r="G49" i="19"/>
  <c r="R47" i="19"/>
  <c r="Q47" i="19"/>
  <c r="P47" i="19"/>
  <c r="O47" i="19"/>
  <c r="N47" i="19"/>
  <c r="M47" i="19"/>
  <c r="L47" i="19"/>
  <c r="K47" i="19"/>
  <c r="J47" i="19"/>
  <c r="I47" i="19"/>
  <c r="H47" i="19"/>
  <c r="R47" i="11" s="1"/>
  <c r="G47" i="19"/>
  <c r="R46" i="19"/>
  <c r="Q46" i="19"/>
  <c r="P46" i="19"/>
  <c r="O46" i="19"/>
  <c r="N46" i="19"/>
  <c r="M46" i="19"/>
  <c r="L46" i="19"/>
  <c r="K46" i="19"/>
  <c r="J46" i="19"/>
  <c r="I46" i="19"/>
  <c r="H46" i="19"/>
  <c r="R46" i="11" s="1"/>
  <c r="G46" i="19"/>
  <c r="R45" i="19"/>
  <c r="Q45" i="19"/>
  <c r="P45" i="19"/>
  <c r="O45" i="19"/>
  <c r="N45" i="19"/>
  <c r="M45" i="19"/>
  <c r="L45" i="19"/>
  <c r="K45" i="19"/>
  <c r="J45" i="19"/>
  <c r="I45" i="19"/>
  <c r="H45" i="19"/>
  <c r="R45" i="11" s="1"/>
  <c r="G45" i="19"/>
  <c r="R44" i="19"/>
  <c r="Q44" i="19"/>
  <c r="P44" i="19"/>
  <c r="O44" i="19"/>
  <c r="N44" i="19"/>
  <c r="M44" i="19"/>
  <c r="L44" i="19"/>
  <c r="K44" i="19"/>
  <c r="J44" i="19"/>
  <c r="I44" i="19"/>
  <c r="H44" i="19"/>
  <c r="R44" i="11" s="1"/>
  <c r="G44" i="19"/>
  <c r="R43" i="19"/>
  <c r="Q43" i="19"/>
  <c r="P43" i="19"/>
  <c r="O43" i="19"/>
  <c r="N43" i="19"/>
  <c r="M43" i="19"/>
  <c r="L43" i="19"/>
  <c r="K43" i="19"/>
  <c r="J43" i="19"/>
  <c r="I43" i="19"/>
  <c r="H43" i="19"/>
  <c r="R43" i="11" s="1"/>
  <c r="G43" i="19"/>
  <c r="R42" i="19"/>
  <c r="Q42" i="19"/>
  <c r="P42" i="19"/>
  <c r="O42" i="19"/>
  <c r="N42" i="19"/>
  <c r="M42" i="19"/>
  <c r="L42" i="19"/>
  <c r="K42" i="19"/>
  <c r="J42" i="19"/>
  <c r="I42" i="19"/>
  <c r="H42" i="19"/>
  <c r="R42" i="11" s="1"/>
  <c r="G42" i="19"/>
  <c r="R41" i="19"/>
  <c r="Q41" i="19"/>
  <c r="P41" i="19"/>
  <c r="O41" i="19"/>
  <c r="N41" i="19"/>
  <c r="M41" i="19"/>
  <c r="L41" i="19"/>
  <c r="K41" i="19"/>
  <c r="J41" i="19"/>
  <c r="I41" i="19"/>
  <c r="H41" i="19"/>
  <c r="R41" i="11" s="1"/>
  <c r="G41" i="19"/>
  <c r="R39" i="19"/>
  <c r="Q39" i="19"/>
  <c r="P39" i="19"/>
  <c r="O39" i="19"/>
  <c r="N39" i="19"/>
  <c r="M39" i="19"/>
  <c r="L39" i="19"/>
  <c r="K39" i="19"/>
  <c r="J39" i="19"/>
  <c r="I39" i="19"/>
  <c r="H39" i="19"/>
  <c r="R39" i="11" s="1"/>
  <c r="G39" i="19"/>
  <c r="R38" i="19"/>
  <c r="Q38" i="19"/>
  <c r="P38" i="19"/>
  <c r="O38" i="19"/>
  <c r="N38" i="19"/>
  <c r="M38" i="19"/>
  <c r="L38" i="19"/>
  <c r="K38" i="19"/>
  <c r="J38" i="19"/>
  <c r="I38" i="19"/>
  <c r="H38" i="19"/>
  <c r="R38" i="11" s="1"/>
  <c r="G38" i="19"/>
  <c r="R37" i="19"/>
  <c r="Q37" i="19"/>
  <c r="P37" i="19"/>
  <c r="O37" i="19"/>
  <c r="N37" i="19"/>
  <c r="M37" i="19"/>
  <c r="L37" i="19"/>
  <c r="K37" i="19"/>
  <c r="J37" i="19"/>
  <c r="I37" i="19"/>
  <c r="H37" i="19"/>
  <c r="R37" i="11" s="1"/>
  <c r="G37" i="19"/>
  <c r="R36" i="19"/>
  <c r="Q36" i="19"/>
  <c r="P36" i="19"/>
  <c r="O36" i="19"/>
  <c r="N36" i="19"/>
  <c r="M36" i="19"/>
  <c r="L36" i="19"/>
  <c r="K36" i="19"/>
  <c r="J36" i="19"/>
  <c r="I36" i="19"/>
  <c r="H36" i="19"/>
  <c r="R36" i="11" s="1"/>
  <c r="G36" i="19"/>
  <c r="R35" i="19"/>
  <c r="Q35" i="19"/>
  <c r="P35" i="19"/>
  <c r="O35" i="19"/>
  <c r="N35" i="19"/>
  <c r="M35" i="19"/>
  <c r="L35" i="19"/>
  <c r="K35" i="19"/>
  <c r="J35" i="19"/>
  <c r="I35" i="19"/>
  <c r="H35" i="19"/>
  <c r="R35" i="11" s="1"/>
  <c r="G35" i="19"/>
  <c r="R34" i="19"/>
  <c r="Q34" i="19"/>
  <c r="P34" i="19"/>
  <c r="O34" i="19"/>
  <c r="N34" i="19"/>
  <c r="M34" i="19"/>
  <c r="L34" i="19"/>
  <c r="K34" i="19"/>
  <c r="J34" i="19"/>
  <c r="I34" i="19"/>
  <c r="H34" i="19"/>
  <c r="R34" i="11" s="1"/>
  <c r="G34" i="19"/>
  <c r="R33" i="19"/>
  <c r="Q33" i="19"/>
  <c r="P33" i="19"/>
  <c r="O33" i="19"/>
  <c r="N33" i="19"/>
  <c r="M33" i="19"/>
  <c r="L33" i="19"/>
  <c r="K33" i="19"/>
  <c r="J33" i="19"/>
  <c r="I33" i="19"/>
  <c r="H33" i="19"/>
  <c r="R33" i="11" s="1"/>
  <c r="G33" i="19"/>
  <c r="R32" i="19"/>
  <c r="Q32" i="19"/>
  <c r="P32" i="19"/>
  <c r="O32" i="19"/>
  <c r="N32" i="19"/>
  <c r="M32" i="19"/>
  <c r="L32" i="19"/>
  <c r="K32" i="19"/>
  <c r="J32" i="19"/>
  <c r="I32" i="19"/>
  <c r="H32" i="19"/>
  <c r="R32" i="11" s="1"/>
  <c r="G32" i="19"/>
  <c r="R31" i="19"/>
  <c r="Q31" i="19"/>
  <c r="P31" i="19"/>
  <c r="O31" i="19"/>
  <c r="N31" i="19"/>
  <c r="M31" i="19"/>
  <c r="L31" i="19"/>
  <c r="K31" i="19"/>
  <c r="J31" i="19"/>
  <c r="I31" i="19"/>
  <c r="H31" i="19"/>
  <c r="R31" i="11" s="1"/>
  <c r="G31" i="19"/>
  <c r="R28" i="19"/>
  <c r="Q28" i="19"/>
  <c r="P28" i="19"/>
  <c r="O28" i="19"/>
  <c r="N28" i="19"/>
  <c r="M28" i="19"/>
  <c r="L28" i="19"/>
  <c r="K28" i="19"/>
  <c r="J28" i="19"/>
  <c r="I28" i="19"/>
  <c r="H28" i="19"/>
  <c r="R28" i="11" s="1"/>
  <c r="G28" i="19"/>
  <c r="R27" i="19"/>
  <c r="Q27" i="19"/>
  <c r="P27" i="19"/>
  <c r="O27" i="19"/>
  <c r="N27" i="19"/>
  <c r="M27" i="19"/>
  <c r="L27" i="19"/>
  <c r="K27" i="19"/>
  <c r="J27" i="19"/>
  <c r="I27" i="19"/>
  <c r="H27" i="19"/>
  <c r="R27" i="11" s="1"/>
  <c r="G27" i="19"/>
  <c r="R26" i="19"/>
  <c r="Q26" i="19"/>
  <c r="P26" i="19"/>
  <c r="O26" i="19"/>
  <c r="N26" i="19"/>
  <c r="M26" i="19"/>
  <c r="L26" i="19"/>
  <c r="K26" i="19"/>
  <c r="J26" i="19"/>
  <c r="I26" i="19"/>
  <c r="H26" i="19"/>
  <c r="R26" i="11" s="1"/>
  <c r="G26" i="19"/>
  <c r="R25" i="19"/>
  <c r="Q25" i="19"/>
  <c r="P25" i="19"/>
  <c r="O25" i="19"/>
  <c r="N25" i="19"/>
  <c r="M25" i="19"/>
  <c r="L25" i="19"/>
  <c r="K25" i="19"/>
  <c r="J25" i="19"/>
  <c r="I25" i="19"/>
  <c r="H25" i="19"/>
  <c r="R25" i="11" s="1"/>
  <c r="G25" i="19"/>
  <c r="R24" i="19"/>
  <c r="Q24" i="19"/>
  <c r="P24" i="19"/>
  <c r="O24" i="19"/>
  <c r="N24" i="19"/>
  <c r="M24" i="19"/>
  <c r="L24" i="19"/>
  <c r="K24" i="19"/>
  <c r="J24" i="19"/>
  <c r="I24" i="19"/>
  <c r="H24" i="19"/>
  <c r="R24" i="11" s="1"/>
  <c r="G24" i="19"/>
  <c r="R23" i="19"/>
  <c r="Q23" i="19"/>
  <c r="P23" i="19"/>
  <c r="O23" i="19"/>
  <c r="N23" i="19"/>
  <c r="M23" i="19"/>
  <c r="L23" i="19"/>
  <c r="K23" i="19"/>
  <c r="J23" i="19"/>
  <c r="I23" i="19"/>
  <c r="H23" i="19"/>
  <c r="R23" i="11" s="1"/>
  <c r="G23" i="19"/>
  <c r="R22" i="19"/>
  <c r="Q22" i="19"/>
  <c r="P22" i="19"/>
  <c r="O22" i="19"/>
  <c r="N22" i="19"/>
  <c r="M22" i="19"/>
  <c r="L22" i="19"/>
  <c r="K22" i="19"/>
  <c r="J22" i="19"/>
  <c r="I22" i="19"/>
  <c r="H22" i="19"/>
  <c r="R22" i="11" s="1"/>
  <c r="G22" i="19"/>
  <c r="R21" i="19"/>
  <c r="Q21" i="19"/>
  <c r="P21" i="19"/>
  <c r="O21" i="19"/>
  <c r="N21" i="19"/>
  <c r="M21" i="19"/>
  <c r="L21" i="19"/>
  <c r="K21" i="19"/>
  <c r="J21" i="19"/>
  <c r="I21" i="19"/>
  <c r="H21" i="19"/>
  <c r="R21" i="11" s="1"/>
  <c r="G21" i="19"/>
  <c r="R20" i="19"/>
  <c r="Q20" i="19"/>
  <c r="P20" i="19"/>
  <c r="O20" i="19"/>
  <c r="N20" i="19"/>
  <c r="M20" i="19"/>
  <c r="L20" i="19"/>
  <c r="K20" i="19"/>
  <c r="J20" i="19"/>
  <c r="I20" i="19"/>
  <c r="H20" i="19"/>
  <c r="R20" i="11" s="1"/>
  <c r="G20" i="19"/>
  <c r="R19" i="19"/>
  <c r="Q19" i="19"/>
  <c r="P19" i="19"/>
  <c r="O19" i="19"/>
  <c r="N19" i="19"/>
  <c r="M19" i="19"/>
  <c r="L19" i="19"/>
  <c r="K19" i="19"/>
  <c r="J19" i="19"/>
  <c r="I19" i="19"/>
  <c r="H19" i="19"/>
  <c r="R19" i="11" s="1"/>
  <c r="G19" i="19"/>
  <c r="R18" i="19"/>
  <c r="Q18" i="19"/>
  <c r="P18" i="19"/>
  <c r="O18" i="19"/>
  <c r="N18" i="19"/>
  <c r="M18" i="19"/>
  <c r="L18" i="19"/>
  <c r="K18" i="19"/>
  <c r="J18" i="19"/>
  <c r="I18" i="19"/>
  <c r="H18" i="19"/>
  <c r="R18" i="11" s="1"/>
  <c r="G18" i="19"/>
  <c r="R17" i="19"/>
  <c r="Q17" i="19"/>
  <c r="P17" i="19"/>
  <c r="O17" i="19"/>
  <c r="N17" i="19"/>
  <c r="M17" i="19"/>
  <c r="L17" i="19"/>
  <c r="K17" i="19"/>
  <c r="J17" i="19"/>
  <c r="I17" i="19"/>
  <c r="H17" i="19"/>
  <c r="R17" i="11" s="1"/>
  <c r="G17" i="19"/>
  <c r="R16" i="19"/>
  <c r="Q16" i="19"/>
  <c r="P16" i="19"/>
  <c r="O16" i="19"/>
  <c r="N16" i="19"/>
  <c r="M16" i="19"/>
  <c r="L16" i="19"/>
  <c r="K16" i="19"/>
  <c r="J16" i="19"/>
  <c r="I16" i="19"/>
  <c r="H16" i="19"/>
  <c r="R16" i="11" s="1"/>
  <c r="G16" i="19"/>
  <c r="R15" i="19"/>
  <c r="Q15" i="19"/>
  <c r="P15" i="19"/>
  <c r="O15" i="19"/>
  <c r="N15" i="19"/>
  <c r="M15" i="19"/>
  <c r="L15" i="19"/>
  <c r="K15" i="19"/>
  <c r="J15" i="19"/>
  <c r="I15" i="19"/>
  <c r="H15" i="19"/>
  <c r="R15" i="11" s="1"/>
  <c r="G15" i="19"/>
  <c r="R14" i="19"/>
  <c r="Q14" i="19"/>
  <c r="P14" i="19"/>
  <c r="O14" i="19"/>
  <c r="N14" i="19"/>
  <c r="M14" i="19"/>
  <c r="L14" i="19"/>
  <c r="K14" i="19"/>
  <c r="J14" i="19"/>
  <c r="I14" i="19"/>
  <c r="H14" i="19"/>
  <c r="R14" i="11" s="1"/>
  <c r="G14" i="19"/>
  <c r="R13" i="19"/>
  <c r="Q13" i="19"/>
  <c r="P13" i="19"/>
  <c r="O13" i="19"/>
  <c r="N13" i="19"/>
  <c r="M13" i="19"/>
  <c r="L13" i="19"/>
  <c r="K13" i="19"/>
  <c r="J13" i="19"/>
  <c r="I13" i="19"/>
  <c r="H13" i="19"/>
  <c r="R13" i="11" s="1"/>
  <c r="G13" i="19"/>
  <c r="R12" i="19"/>
  <c r="Q12" i="19"/>
  <c r="P12" i="19"/>
  <c r="O12" i="19"/>
  <c r="N12" i="19"/>
  <c r="M12" i="19"/>
  <c r="L12" i="19"/>
  <c r="K12" i="19"/>
  <c r="J12" i="19"/>
  <c r="I12" i="19"/>
  <c r="H12" i="19"/>
  <c r="R12" i="11" s="1"/>
  <c r="G12" i="19"/>
  <c r="R5" i="19"/>
  <c r="Q5" i="19"/>
  <c r="P5" i="19"/>
  <c r="O5" i="19"/>
  <c r="N5" i="19"/>
  <c r="M5" i="19"/>
  <c r="L5" i="19"/>
  <c r="K5" i="19"/>
  <c r="J5" i="19"/>
  <c r="I5" i="19"/>
  <c r="H5" i="19"/>
  <c r="G5" i="19"/>
  <c r="K63" i="11" l="1"/>
  <c r="K57" i="11"/>
  <c r="K58" i="11"/>
  <c r="K61" i="11"/>
  <c r="K62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9" i="11"/>
  <c r="K50" i="11"/>
  <c r="K51" i="11"/>
  <c r="K52" i="11"/>
  <c r="K56" i="1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R11" i="11" s="1"/>
  <c r="P11" i="19"/>
  <c r="H40" i="19"/>
  <c r="R40" i="11" s="1"/>
  <c r="L40" i="19"/>
  <c r="P40" i="19"/>
  <c r="I11" i="19"/>
  <c r="M11" i="19"/>
  <c r="Q11" i="19"/>
  <c r="H30" i="19"/>
  <c r="R30" i="11" s="1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K40" i="11" s="1"/>
  <c r="J30" i="19"/>
  <c r="N30" i="19"/>
  <c r="R30" i="19"/>
  <c r="J11" i="19"/>
  <c r="N11" i="19"/>
  <c r="R11" i="19"/>
  <c r="I40" i="19"/>
  <c r="M40" i="19"/>
  <c r="Q40" i="19"/>
  <c r="H55" i="19"/>
  <c r="R55" i="11" s="1"/>
  <c r="L55" i="19"/>
  <c r="P55" i="19"/>
  <c r="K30" i="19"/>
  <c r="O30" i="19"/>
  <c r="K11" i="19"/>
  <c r="O11" i="19"/>
  <c r="J40" i="19"/>
  <c r="N40" i="19"/>
  <c r="R40" i="19"/>
  <c r="G30" i="19"/>
  <c r="K30" i="11" s="1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11" i="11" l="1"/>
  <c r="K55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R10" i="11" s="1"/>
  <c r="G103" i="19"/>
  <c r="K146" i="19"/>
  <c r="P146" i="19"/>
  <c r="P152" i="19" s="1"/>
  <c r="L146" i="19"/>
  <c r="N146" i="19"/>
  <c r="N147" i="19" s="1"/>
  <c r="G122" i="19"/>
  <c r="G10" i="19"/>
  <c r="K10" i="11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R29" i="11" s="1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K29" i="11" s="1"/>
  <c r="N29" i="19"/>
  <c r="S10" i="11" l="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K53" i="11" s="1"/>
  <c r="H147" i="19"/>
  <c r="H152" i="19"/>
  <c r="R147" i="19"/>
  <c r="R152" i="19"/>
  <c r="O147" i="19"/>
  <c r="O152" i="19"/>
  <c r="P53" i="19"/>
  <c r="R53" i="19"/>
  <c r="H53" i="19"/>
  <c r="R53" i="11" s="1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R54" i="11" s="1"/>
  <c r="H157" i="19"/>
  <c r="G152" i="19"/>
  <c r="G147" i="19"/>
  <c r="I54" i="19"/>
  <c r="K54" i="19"/>
  <c r="G59" i="19"/>
  <c r="R59" i="19"/>
  <c r="Q59" i="19"/>
  <c r="H59" i="19"/>
  <c r="R59" i="11" s="1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9" i="11" l="1"/>
  <c r="K54" i="11"/>
  <c r="L53" i="1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R64" i="11" s="1"/>
  <c r="H153" i="19"/>
  <c r="S147" i="19"/>
  <c r="T147" i="19" s="1"/>
  <c r="G157" i="19"/>
  <c r="G64" i="19"/>
  <c r="K64" i="11" s="1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R60" i="11" s="1"/>
  <c r="G153" i="19"/>
  <c r="G60" i="19"/>
  <c r="K60" i="11" s="1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<sst xmlns="http://schemas.openxmlformats.org/spreadsheetml/2006/main" count="1728" uniqueCount="828">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</sst>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0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22</xdr:row>
      <xdr:rowOff>76200</xdr:rowOff>
    </xdr:to>
    <xdr:sp macro="" textlink="">
      <xdr:nvSpPr>
        <xdr:cNvPr id="2" name="TextBox 1"/>
        <xdr:cNvSpPr txBox="1"/>
      </xdr:nvSpPr>
      <xdr:spPr>
        <a:xfrm>
          <a:off x="7019926" y="1323975"/>
          <a:ext cx="3152774" cy="29622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SAOPŠTENJE:</a:t>
          </a:r>
        </a:p>
        <a:p>
          <a:pPr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februar 2021. godine iznosili su 194,2 mil. € ili 4,2%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manji su za 3,3 mil. € ili 1,7% u odnosu na planirane. U odnosu na isti period prethodne godine prihodi su manji za 20,0 mil. € ili 9,3%.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februar 2021.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284,4 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6,1% BDP-a i veći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10,1 mil. € ili 3,7% u odnosu na isti period prethodne godine. U odnosu na planirane, izdaci su manji za 74,6 mil. € ili 20,8%. U periodu januar - februar 2021.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90,2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1,9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Rješenjem o privremenom finansiranju budžeta za januar 2021. godine i Rješenjem o privremenom finansiranju budžeta za februar2021. godine.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/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2021-02</v>
      </c>
      <c r="O6" s="143" t="str">
        <f>+CONCATENATE(N6,"p")</f>
        <v>2021-02p</v>
      </c>
      <c r="P6" s="130"/>
      <c r="Q6" s="130"/>
      <c r="R6" s="143" t="str">
        <f>+IF(Master!B3-10&gt;=0,CONCATENATE(Master!B4-1,"-",Master!B3),CONCATENATE(Master!B4-1,"-0",Master!B3))</f>
        <v>2020-02</v>
      </c>
      <c r="S6" s="130"/>
      <c r="T6" s="130"/>
    </row>
    <row r="7" spans="1:20">
      <c r="A7" s="144"/>
      <c r="B7" s="516" t="s">
        <v>692</v>
      </c>
      <c r="C7" s="517"/>
      <c r="D7" s="517"/>
      <c r="E7" s="517"/>
      <c r="F7" s="517"/>
      <c r="G7" s="525" t="s">
        <v>691</v>
      </c>
      <c r="H7" s="526"/>
      <c r="I7" s="526"/>
      <c r="J7" s="526"/>
      <c r="K7" s="526"/>
      <c r="L7" s="526"/>
      <c r="M7" s="527"/>
      <c r="N7" s="528" t="str">
        <f>+Master!G242</f>
        <v>Decembar</v>
      </c>
      <c r="O7" s="526"/>
      <c r="P7" s="526"/>
      <c r="Q7" s="526"/>
      <c r="R7" s="526"/>
      <c r="S7" s="526"/>
      <c r="T7" s="529"/>
    </row>
    <row r="8" spans="1:20">
      <c r="A8" s="144"/>
      <c r="B8" s="518"/>
      <c r="C8" s="519"/>
      <c r="D8" s="519"/>
      <c r="E8" s="519"/>
      <c r="F8" s="520"/>
      <c r="G8" s="145" t="str">
        <f>+Master!G25</f>
        <v>Ostvarenje</v>
      </c>
      <c r="H8" s="145" t="str">
        <f>+Master!G24</f>
        <v>Plan</v>
      </c>
      <c r="I8" s="514" t="str">
        <f>+Master!G260</f>
        <v>Odstupanje</v>
      </c>
      <c r="J8" s="514"/>
      <c r="K8" s="145" t="str">
        <f>+CONCATENATE(Master!G245," ",Master!B4-1)</f>
        <v>Jan - Feb 2020</v>
      </c>
      <c r="L8" s="514" t="str">
        <f>+I8</f>
        <v>Odstupanje</v>
      </c>
      <c r="M8" s="524"/>
      <c r="N8" s="146" t="str">
        <f>+G8</f>
        <v>Ostvarenje</v>
      </c>
      <c r="O8" s="145" t="str">
        <f>+H8</f>
        <v>Plan</v>
      </c>
      <c r="P8" s="514" t="str">
        <f>+I8</f>
        <v>Odstupanje</v>
      </c>
      <c r="Q8" s="514"/>
      <c r="R8" s="145" t="str">
        <f>+CONCATENATE(Master!G244," ",Master!B4-1)</f>
        <v>Februar 2020</v>
      </c>
      <c r="S8" s="514" t="str">
        <f>+P8</f>
        <v>Odstupanje</v>
      </c>
      <c r="T8" s="515"/>
    </row>
    <row r="9" spans="1:20" ht="15.75" thickBot="1">
      <c r="A9" s="144"/>
      <c r="B9" s="521"/>
      <c r="C9" s="522"/>
      <c r="D9" s="522"/>
      <c r="E9" s="522"/>
      <c r="F9" s="52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484" t="str">
        <f>+VLOOKUP($A10,Master!$D$29:$G$225,4,FALSE)</f>
        <v>Prihodi budžeta</v>
      </c>
      <c r="C10" s="485"/>
      <c r="D10" s="485"/>
      <c r="E10" s="485"/>
      <c r="F10" s="485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486" t="str">
        <f>+VLOOKUP($A11,Master!$D$29:$G$225,4,FALSE)</f>
        <v>Porezi</v>
      </c>
      <c r="C11" s="487"/>
      <c r="D11" s="487"/>
      <c r="E11" s="487"/>
      <c r="F11" s="487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488" t="str">
        <f>+VLOOKUP($A12,Master!$D$29:$G$225,4,FALSE)</f>
        <v>Porez na dohodak fizičkih lica</v>
      </c>
      <c r="C12" s="489"/>
      <c r="D12" s="489"/>
      <c r="E12" s="489"/>
      <c r="F12" s="489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488" t="str">
        <f>+VLOOKUP($A13,Master!$D$29:$G$225,4,FALSE)</f>
        <v>Porez na dobit pravnih lica</v>
      </c>
      <c r="C13" s="489"/>
      <c r="D13" s="489"/>
      <c r="E13" s="489"/>
      <c r="F13" s="489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488" t="str">
        <f>+VLOOKUP($A14,Master!$D$29:$G$225,4,FALSE)</f>
        <v>Porez na promet nepokretnosti</v>
      </c>
      <c r="C14" s="489"/>
      <c r="D14" s="489"/>
      <c r="E14" s="489"/>
      <c r="F14" s="489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488" t="str">
        <f>+VLOOKUP($A15,Master!$D$29:$G$225,4,FALSE)</f>
        <v>Porez na dodatu vrijednost</v>
      </c>
      <c r="C15" s="489"/>
      <c r="D15" s="489"/>
      <c r="E15" s="489"/>
      <c r="F15" s="489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488" t="str">
        <f>+VLOOKUP($A16,Master!$D$29:$G$225,4,FALSE)</f>
        <v>Akcize</v>
      </c>
      <c r="C16" s="489"/>
      <c r="D16" s="489"/>
      <c r="E16" s="489"/>
      <c r="F16" s="489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488" t="str">
        <f>+VLOOKUP($A17,Master!$D$29:$G$225,4,FALSE)</f>
        <v>Porez na međunarodnu trgovinu i transakcije</v>
      </c>
      <c r="C17" s="489"/>
      <c r="D17" s="489"/>
      <c r="E17" s="489"/>
      <c r="F17" s="489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488" t="e">
        <f>+VLOOKUP($A18,Master!$D$29:$G$225,4,FALSE)</f>
        <v>#N/A</v>
      </c>
      <c r="C18" s="489"/>
      <c r="D18" s="489"/>
      <c r="E18" s="489"/>
      <c r="F18" s="489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488" t="str">
        <f>+VLOOKUP($A19,Master!$D$29:$G$225,4,FALSE)</f>
        <v>Ostali državni porezi</v>
      </c>
      <c r="C19" s="489"/>
      <c r="D19" s="489"/>
      <c r="E19" s="489"/>
      <c r="F19" s="489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492" t="str">
        <f>+VLOOKUP($A20,Master!$D$29:$G$225,4,FALSE)</f>
        <v>Doprinosi</v>
      </c>
      <c r="C20" s="493"/>
      <c r="D20" s="493"/>
      <c r="E20" s="493"/>
      <c r="F20" s="493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488" t="str">
        <f>+VLOOKUP($A21,Master!$D$29:$G$225,4,FALSE)</f>
        <v>Doprinosi za penzijsko i invalidsko osiguranje</v>
      </c>
      <c r="C21" s="489"/>
      <c r="D21" s="489"/>
      <c r="E21" s="489"/>
      <c r="F21" s="489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488" t="str">
        <f>+VLOOKUP($A22,Master!$D$29:$G$225,4,FALSE)</f>
        <v>Doprinosi za zdravstveno osiguranje</v>
      </c>
      <c r="C22" s="489"/>
      <c r="D22" s="489"/>
      <c r="E22" s="489"/>
      <c r="F22" s="489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488" t="str">
        <f>+VLOOKUP($A23,Master!$D$29:$G$225,4,FALSE)</f>
        <v>Doprinosi za osiguranje od nezaposlenosti</v>
      </c>
      <c r="C23" s="489"/>
      <c r="D23" s="489"/>
      <c r="E23" s="489"/>
      <c r="F23" s="489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488" t="str">
        <f>+VLOOKUP($A24,Master!$D$29:$G$225,4,FALSE)</f>
        <v>Ostali doprinosi</v>
      </c>
      <c r="C24" s="489"/>
      <c r="D24" s="489"/>
      <c r="E24" s="489"/>
      <c r="F24" s="489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490" t="str">
        <f>+VLOOKUP($A25,Master!$D$29:$G$225,4,FALSE)</f>
        <v>Takse</v>
      </c>
      <c r="C25" s="491"/>
      <c r="D25" s="491"/>
      <c r="E25" s="491"/>
      <c r="F25" s="491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490" t="str">
        <f>+VLOOKUP($A26,Master!$D$29:$G$225,4,FALSE)</f>
        <v>Naknade</v>
      </c>
      <c r="C26" s="491"/>
      <c r="D26" s="491"/>
      <c r="E26" s="491"/>
      <c r="F26" s="491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490" t="str">
        <f>+VLOOKUP($A27,Master!$D$29:$G$225,4,FALSE)</f>
        <v>Ostali prihodi</v>
      </c>
      <c r="C27" s="491"/>
      <c r="D27" s="491"/>
      <c r="E27" s="491"/>
      <c r="F27" s="491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490" t="str">
        <f>+VLOOKUP($A28,Master!$D$29:$G$225,4,FALSE)</f>
        <v>Primici od otplate kredita i sredstva prenesena iz prethodne godine</v>
      </c>
      <c r="C28" s="491"/>
      <c r="D28" s="491"/>
      <c r="E28" s="491"/>
      <c r="F28" s="491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494" t="str">
        <f>+VLOOKUP($A29,Master!$D$29:$G$225,4,FALSE)</f>
        <v>Donacije i transferi</v>
      </c>
      <c r="C29" s="495"/>
      <c r="D29" s="495"/>
      <c r="E29" s="495"/>
      <c r="F29" s="495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496" t="str">
        <f>+VLOOKUP($A30,Master!$D$29:$G$225,4,FALSE)</f>
        <v>Izdaci budžeta</v>
      </c>
      <c r="C30" s="497"/>
      <c r="D30" s="497"/>
      <c r="E30" s="497"/>
      <c r="F30" s="49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498" t="str">
        <f>+VLOOKUP($A31,Master!$D$29:$G$225,4,FALSE)</f>
        <v>Tekući izdaci</v>
      </c>
      <c r="C31" s="499"/>
      <c r="D31" s="499"/>
      <c r="E31" s="499"/>
      <c r="F31" s="499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00" t="str">
        <f>+VLOOKUP($A32,Master!$D$29:$G$225,4,FALSE)</f>
        <v>Tekuća budžetska potrošnja</v>
      </c>
      <c r="C32" s="501"/>
      <c r="D32" s="501"/>
      <c r="E32" s="501"/>
      <c r="F32" s="501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488" t="str">
        <f>+VLOOKUP($A33,Master!$D$29:$G$225,4,FALSE)</f>
        <v>Bruto zarade i doprinosi na teret poslodavca</v>
      </c>
      <c r="C33" s="489"/>
      <c r="D33" s="489"/>
      <c r="E33" s="489"/>
      <c r="F33" s="489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488" t="str">
        <f>+VLOOKUP($A34,Master!$D$29:$G$225,4,FALSE)</f>
        <v>Ostala lična primanja</v>
      </c>
      <c r="C34" s="489"/>
      <c r="D34" s="489"/>
      <c r="E34" s="489"/>
      <c r="F34" s="489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488" t="str">
        <f>+VLOOKUP($A35,Master!$D$29:$G$225,4,FALSE)</f>
        <v>Rashodi za materijal</v>
      </c>
      <c r="C35" s="489"/>
      <c r="D35" s="489"/>
      <c r="E35" s="489"/>
      <c r="F35" s="489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488" t="str">
        <f>+VLOOKUP($A36,Master!$D$29:$G$225,4,FALSE)</f>
        <v>Rashodi za usluge</v>
      </c>
      <c r="C36" s="489"/>
      <c r="D36" s="489"/>
      <c r="E36" s="489"/>
      <c r="F36" s="489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488" t="str">
        <f>+VLOOKUP($A37,Master!$D$29:$G$225,4,FALSE)</f>
        <v>Rashodi za tekuće održavanje</v>
      </c>
      <c r="C37" s="489"/>
      <c r="D37" s="489"/>
      <c r="E37" s="489"/>
      <c r="F37" s="489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488" t="str">
        <f>+VLOOKUP($A38,Master!$D$29:$G$225,4,FALSE)</f>
        <v>Kamate</v>
      </c>
      <c r="C38" s="489"/>
      <c r="D38" s="489"/>
      <c r="E38" s="489"/>
      <c r="F38" s="489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488" t="str">
        <f>+VLOOKUP($A39,Master!$D$29:$G$225,4,FALSE)</f>
        <v>Renta</v>
      </c>
      <c r="C39" s="489"/>
      <c r="D39" s="489"/>
      <c r="E39" s="489"/>
      <c r="F39" s="489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488" t="str">
        <f>+VLOOKUP($A40,Master!$D$29:$G$225,4,FALSE)</f>
        <v>Subvencije</v>
      </c>
      <c r="C40" s="489"/>
      <c r="D40" s="489"/>
      <c r="E40" s="489"/>
      <c r="F40" s="489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488" t="str">
        <f>+VLOOKUP($A41,Master!$D$29:$G$225,4,FALSE)</f>
        <v>Ostali izdaci</v>
      </c>
      <c r="C41" s="489"/>
      <c r="D41" s="489"/>
      <c r="E41" s="489"/>
      <c r="F41" s="489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488" t="e">
        <f>+VLOOKUP($A42,Master!$D$29:$G$225,4,FALSE)</f>
        <v>#N/A</v>
      </c>
      <c r="C42" s="489"/>
      <c r="D42" s="489"/>
      <c r="E42" s="489"/>
      <c r="F42" s="489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04" t="str">
        <f>+VLOOKUP($A43,Master!$D$29:$G$225,4,FALSE)</f>
        <v>Transferi za socijalnu zaštitu</v>
      </c>
      <c r="C43" s="505"/>
      <c r="D43" s="505"/>
      <c r="E43" s="505"/>
      <c r="F43" s="505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488" t="str">
        <f>+VLOOKUP($A44,Master!$D$29:$G$225,4,FALSE)</f>
        <v>Prava iz oblasti socijalne zaštite</v>
      </c>
      <c r="C44" s="489"/>
      <c r="D44" s="489"/>
      <c r="E44" s="489"/>
      <c r="F44" s="489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488" t="str">
        <f>+VLOOKUP($A45,Master!$D$29:$G$225,4,FALSE)</f>
        <v>Sredstva za tehnološke viškove</v>
      </c>
      <c r="C45" s="489"/>
      <c r="D45" s="489"/>
      <c r="E45" s="489"/>
      <c r="F45" s="489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488" t="str">
        <f>+VLOOKUP($A46,Master!$D$29:$G$225,4,FALSE)</f>
        <v>Prava iz oblasti penzijskog i invalidskog osiguranja</v>
      </c>
      <c r="C46" s="489"/>
      <c r="D46" s="489"/>
      <c r="E46" s="489"/>
      <c r="F46" s="489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488" t="str">
        <f>+VLOOKUP($A47,Master!$D$29:$G$225,4,FALSE)</f>
        <v>Ostala prava iz oblasti zdravstvene zaštite</v>
      </c>
      <c r="C47" s="489"/>
      <c r="D47" s="489"/>
      <c r="E47" s="489"/>
      <c r="F47" s="489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488" t="str">
        <f>+VLOOKUP($A48,Master!$D$29:$G$225,4,FALSE)</f>
        <v>Ostala prava iz zdravstvenog osiguranja</v>
      </c>
      <c r="C48" s="489"/>
      <c r="D48" s="489"/>
      <c r="E48" s="489"/>
      <c r="F48" s="489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02" t="str">
        <f>+VLOOKUP($A49,Master!$D$29:$G$225,4,FALSE)</f>
        <v xml:space="preserve">Transferi institucijama, pojedincima, nevladinom i javnom sektoru </v>
      </c>
      <c r="C49" s="503"/>
      <c r="D49" s="503"/>
      <c r="E49" s="503"/>
      <c r="F49" s="503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02" t="str">
        <f>+VLOOKUP($A50,Master!$D$29:$G$225,4,FALSE)</f>
        <v>Kapitalni izdaci</v>
      </c>
      <c r="C50" s="503"/>
      <c r="D50" s="503"/>
      <c r="E50" s="503"/>
      <c r="F50" s="503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6" t="str">
        <f>+VLOOKUP($A51,Master!$D$29:$G$225,4,FALSE)</f>
        <v>Pozajmice i krediti</v>
      </c>
      <c r="C51" s="507"/>
      <c r="D51" s="507"/>
      <c r="E51" s="507"/>
      <c r="F51" s="507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6" t="str">
        <f>+VLOOKUP($A52,Master!$D$29:$G$225,4,FALSE)</f>
        <v>Rezerve</v>
      </c>
      <c r="C52" s="507"/>
      <c r="D52" s="507"/>
      <c r="E52" s="507"/>
      <c r="F52" s="507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08" t="str">
        <f>+VLOOKUP($A53,Master!$D$29:$G$225,4,FALSE)</f>
        <v>Otplata garancija</v>
      </c>
      <c r="C53" s="509"/>
      <c r="D53" s="509"/>
      <c r="E53" s="509"/>
      <c r="F53" s="509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08" t="str">
        <f>+VLOOKUP($A54,Master!$D$29:$G$225,4,FALSE)</f>
        <v>Otplata obaveza iz prethodnog perioda</v>
      </c>
      <c r="C54" s="509"/>
      <c r="D54" s="509"/>
      <c r="E54" s="509"/>
      <c r="F54" s="509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08" t="str">
        <f>+VLOOKUP($A55,Master!$D$29:$G$227,4,FALSE)</f>
        <v>Neto povećanje obaveza</v>
      </c>
      <c r="C55" s="509"/>
      <c r="D55" s="509"/>
      <c r="E55" s="509"/>
      <c r="F55" s="509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10" t="str">
        <f>+VLOOKUP($A56,Master!$D$29:$G$225,4,FALSE)</f>
        <v>Suficit / deficit</v>
      </c>
      <c r="C56" s="511"/>
      <c r="D56" s="511"/>
      <c r="E56" s="511"/>
      <c r="F56" s="511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12" t="str">
        <f>+VLOOKUP($A57,Master!$D$29:$G$225,4,FALSE)</f>
        <v>Primarni suficit/deficit</v>
      </c>
      <c r="C57" s="513"/>
      <c r="D57" s="513"/>
      <c r="E57" s="513"/>
      <c r="F57" s="513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04" t="str">
        <f>+VLOOKUP($A58,Master!$D$29:$G$225,4,FALSE)</f>
        <v>Otplata dugova</v>
      </c>
      <c r="C58" s="505"/>
      <c r="D58" s="505"/>
      <c r="E58" s="505"/>
      <c r="F58" s="505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30" t="str">
        <f>+VLOOKUP($A59,Master!$D$29:$G$225,4,FALSE)</f>
        <v>Otplata hartija od vrijednosti i kredita rezidentima</v>
      </c>
      <c r="C59" s="531"/>
      <c r="D59" s="531"/>
      <c r="E59" s="531"/>
      <c r="F59" s="53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6" t="str">
        <f>+VLOOKUP($A60,Master!$D$29:$G$225,4,FALSE)</f>
        <v>Otplata hartija od vrijednosti i kredita nerezidentima</v>
      </c>
      <c r="C60" s="507"/>
      <c r="D60" s="507"/>
      <c r="E60" s="507"/>
      <c r="F60" s="507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32" t="str">
        <f>+VLOOKUP($A62,Master!$D$29:$G$225,4,FALSE)</f>
        <v>Nedostajuća sredstva</v>
      </c>
      <c r="C62" s="533"/>
      <c r="D62" s="533"/>
      <c r="E62" s="533"/>
      <c r="F62" s="533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496" t="str">
        <f>+VLOOKUP($A63,Master!$D$29:$G$225,4,FALSE)</f>
        <v>Finansiranje</v>
      </c>
      <c r="C63" s="497"/>
      <c r="D63" s="497"/>
      <c r="E63" s="497"/>
      <c r="F63" s="49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30" t="str">
        <f>+VLOOKUP($A64,Master!$D$29:$G$225,4,FALSE)</f>
        <v>Pozajmice i krediti od domaćih izvora</v>
      </c>
      <c r="C64" s="531"/>
      <c r="D64" s="531"/>
      <c r="E64" s="531"/>
      <c r="F64" s="53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6" t="str">
        <f>+VLOOKUP($A65,Master!$D$29:$G$225,4,FALSE)</f>
        <v>Pozajmice i krediti od inostranih izvora</v>
      </c>
      <c r="C65" s="507"/>
      <c r="D65" s="507"/>
      <c r="E65" s="507"/>
      <c r="F65" s="507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6" t="str">
        <f>+VLOOKUP($A66,Master!$D$29:$G$225,4,FALSE)</f>
        <v>Primici od prodaje imovine</v>
      </c>
      <c r="C66" s="507"/>
      <c r="D66" s="507"/>
      <c r="E66" s="507"/>
      <c r="F66" s="507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H16" sqref="H16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Februar</v>
      </c>
      <c r="E11" s="135"/>
      <c r="F11" s="135"/>
      <c r="G11" s="137" t="str">
        <f>+Master!G273</f>
        <v>Prihodi za period Januar - Februar</v>
      </c>
      <c r="H11" s="135"/>
      <c r="I11" s="135"/>
      <c r="J11" s="135"/>
      <c r="K11" s="136"/>
    </row>
    <row r="12" spans="3:11">
      <c r="C12" s="134"/>
      <c r="D12" s="138">
        <f>+'Analitka - 2021'!N10</f>
        <v>105570623.03</v>
      </c>
      <c r="E12" s="456">
        <f>+D12/'2021'!T7</f>
        <v>2.2768973607816073E-2</v>
      </c>
      <c r="F12" s="135"/>
      <c r="G12" s="138">
        <f>+'Analitka - 2021'!G10</f>
        <v>194216055.16000003</v>
      </c>
      <c r="H12" s="456">
        <f>+G12/'2021'!T7</f>
        <v>4.1887601941077518E-2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Februar</v>
      </c>
      <c r="E15" s="135"/>
      <c r="F15" s="135"/>
      <c r="G15" s="137" t="str">
        <f>+Master!G274</f>
        <v>Rashodi za period Januar - Februar</v>
      </c>
      <c r="H15" s="135"/>
      <c r="I15" s="135"/>
      <c r="J15" s="135"/>
      <c r="K15" s="136"/>
    </row>
    <row r="16" spans="3:11">
      <c r="C16" s="134"/>
      <c r="D16" s="138">
        <f>+'Analitka - 2021'!N29</f>
        <v>156993878.97000003</v>
      </c>
      <c r="E16" s="456">
        <f>+D16/'2021'!T7</f>
        <v>3.3859698695164565E-2</v>
      </c>
      <c r="F16" s="135"/>
      <c r="G16" s="138">
        <f>+'Analitka - 2021'!G29</f>
        <v>284396974</v>
      </c>
      <c r="H16" s="456">
        <f>+G16/'2021'!T7</f>
        <v>6.1337396799378857E-2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Februar</v>
      </c>
      <c r="E19" s="135"/>
      <c r="F19" s="135"/>
      <c r="G19" s="137" t="str">
        <f>+Master!G275</f>
        <v>Suficit/Deficit za period Januar - Februar</v>
      </c>
      <c r="H19" s="135"/>
      <c r="I19" s="135"/>
      <c r="J19" s="135"/>
      <c r="K19" s="136"/>
    </row>
    <row r="20" spans="3:12">
      <c r="C20" s="134"/>
      <c r="D20" s="138">
        <f>+'Analitka - 2021'!N53</f>
        <v>-51423255.940000027</v>
      </c>
      <c r="E20" s="456">
        <f>+D20/'2021'!T7</f>
        <v>-1.1090725087348494E-2</v>
      </c>
      <c r="F20" s="135"/>
      <c r="G20" s="138">
        <f>+'Analitka - 2021'!G53</f>
        <v>-90180918.840000018</v>
      </c>
      <c r="H20" s="456">
        <f>+G20/'2021'!T7</f>
        <v>-1.9449794858301346E-2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OHpz+kgKBtecmNzOo6ZiV+IUZ2+MYIiFlo4qtE5bdEKTgFCelEg1TA1uLNiftcmHc5wUS083WD20po1UhzVJ5w==" saltValue="u8FY3e2C3A+Iz4eITK8iW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G15" sqref="G15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Crna Gora</v>
      </c>
      <c r="G2" s="356"/>
      <c r="I2" s="4"/>
    </row>
    <row r="3" spans="1:20" s="1" customFormat="1">
      <c r="B3" s="163"/>
      <c r="E3" s="4" t="str">
        <f>+Master!G7</f>
        <v>Ministarstvo finansija i socijalnog staranja</v>
      </c>
      <c r="G3" s="356"/>
    </row>
    <row r="4" spans="1:20" s="1" customFormat="1">
      <c r="E4" s="4" t="str">
        <f>+Master!G8</f>
        <v>Direktorat za državni budžet</v>
      </c>
      <c r="G4" s="356"/>
      <c r="H4" s="364"/>
      <c r="I4" s="364"/>
      <c r="J4" s="364"/>
    </row>
    <row r="5" spans="1:20" s="1" customFormat="1">
      <c r="G5" s="356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2021-02</v>
      </c>
      <c r="O6" s="143" t="str">
        <f>+CONCATENATE(N6,"p")</f>
        <v>2021-02p</v>
      </c>
      <c r="P6" s="130"/>
      <c r="Q6" s="130"/>
      <c r="R6" s="143" t="str">
        <f>+IF(Master!B3-10&gt;=0,CONCATENATE(Master!B4-1,"-",Master!B3),CONCATENATE(Master!B4-1,"-0",Master!B3))</f>
        <v>2020-02</v>
      </c>
      <c r="S6" s="130"/>
      <c r="T6" s="130"/>
    </row>
    <row r="7" spans="1:20">
      <c r="A7" s="144"/>
      <c r="B7" s="516" t="str">
        <f>+Master!G253</f>
        <v>Analitika za period Jan - Feb</v>
      </c>
      <c r="C7" s="517"/>
      <c r="D7" s="517"/>
      <c r="E7" s="517"/>
      <c r="F7" s="517"/>
      <c r="G7" s="525" t="str">
        <f>+Master!G245</f>
        <v>Jan - Feb</v>
      </c>
      <c r="H7" s="526"/>
      <c r="I7" s="526"/>
      <c r="J7" s="526"/>
      <c r="K7" s="526"/>
      <c r="L7" s="526"/>
      <c r="M7" s="527"/>
      <c r="N7" s="528" t="str">
        <f>+Master!G244</f>
        <v>Februar</v>
      </c>
      <c r="O7" s="526"/>
      <c r="P7" s="526"/>
      <c r="Q7" s="526"/>
      <c r="R7" s="526"/>
      <c r="S7" s="526"/>
      <c r="T7" s="529"/>
    </row>
    <row r="8" spans="1:20">
      <c r="A8" s="144"/>
      <c r="B8" s="518"/>
      <c r="C8" s="519"/>
      <c r="D8" s="519"/>
      <c r="E8" s="519"/>
      <c r="F8" s="520"/>
      <c r="G8" s="358" t="str">
        <f>+Master!G25</f>
        <v>Ostvarenje</v>
      </c>
      <c r="H8" s="145" t="str">
        <f>+Master!G24</f>
        <v>Plan</v>
      </c>
      <c r="I8" s="514" t="str">
        <f>+Master!G260</f>
        <v>Odstupanje</v>
      </c>
      <c r="J8" s="514"/>
      <c r="K8" s="145" t="str">
        <f>+CONCATENATE(Master!G245," ",Master!B4-1)</f>
        <v>Jan - Feb 2020</v>
      </c>
      <c r="L8" s="514" t="str">
        <f>+I8</f>
        <v>Odstupanje</v>
      </c>
      <c r="M8" s="524"/>
      <c r="N8" s="146" t="str">
        <f>+G8</f>
        <v>Ostvarenje</v>
      </c>
      <c r="O8" s="145" t="str">
        <f>+H8</f>
        <v>Plan</v>
      </c>
      <c r="P8" s="514" t="str">
        <f>+I8</f>
        <v>Odstupanje</v>
      </c>
      <c r="Q8" s="514"/>
      <c r="R8" s="145" t="str">
        <f>+CONCATENATE(Master!G244," ",Master!B4-1)</f>
        <v>Februar 2020</v>
      </c>
      <c r="S8" s="514" t="str">
        <f>+P8</f>
        <v>Odstupanje</v>
      </c>
      <c r="T8" s="515"/>
    </row>
    <row r="9" spans="1:20" ht="15.75" thickBot="1">
      <c r="A9" s="144"/>
      <c r="B9" s="521"/>
      <c r="C9" s="522"/>
      <c r="D9" s="522"/>
      <c r="E9" s="522"/>
      <c r="F9" s="523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496" t="str">
        <f>+VLOOKUP($A10,Master!$D$29:$G$225,4,FALSE)</f>
        <v>Prihodi budžeta</v>
      </c>
      <c r="C10" s="497"/>
      <c r="D10" s="497"/>
      <c r="E10" s="497"/>
      <c r="F10" s="497"/>
      <c r="G10" s="151">
        <f>'2021'!S10</f>
        <v>194216055.16000003</v>
      </c>
      <c r="H10" s="151">
        <f>'2021'!S84</f>
        <v>197488659.99672979</v>
      </c>
      <c r="I10" s="152">
        <f>+G10-H10</f>
        <v>-3272604.8367297649</v>
      </c>
      <c r="J10" s="154">
        <f>IF(+IF(ISERROR(G10/H10),"…",G10/H10-1)&gt;200%,"...",IF(ISERROR(G10/H10),"…",G10/H10-1))</f>
        <v>-1.6571102547275118E-2</v>
      </c>
      <c r="K10" s="151">
        <f>SUM('2020'!G10:H10)</f>
        <v>214175449.83999997</v>
      </c>
      <c r="L10" s="152">
        <f>+G10-K10</f>
        <v>-19959394.679999948</v>
      </c>
      <c r="M10" s="154">
        <f>IF(+IF(ISERROR(G10/K10),"…",G10/K10-1)&gt;200%,"...",IF(ISERROR(G10/K10),"…",G10/K10-1))</f>
        <v>-9.3191795301051705E-2</v>
      </c>
      <c r="N10" s="151">
        <f>'2021'!H10</f>
        <v>105570623.03</v>
      </c>
      <c r="O10" s="151">
        <f>'2021'!H84</f>
        <v>108910441.71531188</v>
      </c>
      <c r="P10" s="152">
        <f>+N10-O10</f>
        <v>-3339818.6853118837</v>
      </c>
      <c r="Q10" s="154">
        <f>IF(+IF(ISERROR(N10/O10),"…",N10/O10-1)&gt;200%,"...",IF(ISERROR(N10/O10),"…",N10/O10-1))</f>
        <v>-3.0665734457693716E-2</v>
      </c>
      <c r="R10" s="151">
        <f>'2020'!H10</f>
        <v>119853208.28999999</v>
      </c>
      <c r="S10" s="152">
        <f>+N10-R10</f>
        <v>-14282585.25999999</v>
      </c>
      <c r="T10" s="154">
        <f>IF(+IF(ISERROR(N10/R10),"…",N10/R10-1)&gt;200%,"...",IF(ISERROR(N10/R10),"…",N10/R10-1))</f>
        <v>-0.11916731695192895</v>
      </c>
    </row>
    <row r="11" spans="1:20">
      <c r="A11" s="150">
        <v>711</v>
      </c>
      <c r="B11" s="486" t="str">
        <f>+VLOOKUP($A11,Master!$D$29:$G$225,4,FALSE)</f>
        <v>Porezi</v>
      </c>
      <c r="C11" s="487"/>
      <c r="D11" s="487"/>
      <c r="E11" s="487"/>
      <c r="F11" s="487"/>
      <c r="G11" s="277">
        <f>'2021'!S11</f>
        <v>128846486.86000001</v>
      </c>
      <c r="H11" s="277">
        <f>'2021'!S85</f>
        <v>126062887.78173652</v>
      </c>
      <c r="I11" s="158">
        <f t="shared" ref="I11:I57" si="0">+G11-H11</f>
        <v>2783599.0782634914</v>
      </c>
      <c r="J11" s="160">
        <f t="shared" ref="J11:J64" si="1">IF(+IF(ISERROR(G11/H11-1),"…",G11/H11-1)&gt;200%,"...",IF(ISERROR(G11/H11-1),"…",G11/H11-1))</f>
        <v>2.2081035324868825E-2</v>
      </c>
      <c r="K11" s="277">
        <f>SUM('2020'!G11:H11)</f>
        <v>143003292.60999998</v>
      </c>
      <c r="L11" s="158">
        <f>+G11-K11</f>
        <v>-14156805.74999997</v>
      </c>
      <c r="M11" s="160">
        <f t="shared" ref="M11:M64" si="2">IF(+IF(ISERROR(G11/K11),"…",G11/K11-1)&gt;200%,"...",IF(ISERROR(G11/K11),"…",G11/K11-1))</f>
        <v>-9.8996362192922072E-2</v>
      </c>
      <c r="N11" s="277">
        <f>'2021'!H11</f>
        <v>61433590.359999999</v>
      </c>
      <c r="O11" s="277">
        <f>'2021'!H85</f>
        <v>59948571.206549786</v>
      </c>
      <c r="P11" s="158">
        <f>+N11-O11</f>
        <v>1485019.1534502134</v>
      </c>
      <c r="Q11" s="160">
        <f t="shared" ref="Q11:Q64" si="3">IF(+IF(ISERROR(N11/O11),"…",N11/O11-1)&gt;200%,"...",IF(ISERROR(N11/O11),"…",N11/O11-1))</f>
        <v>2.4771552074755121E-2</v>
      </c>
      <c r="R11" s="277">
        <f>'2020'!H11</f>
        <v>69683087.399999991</v>
      </c>
      <c r="S11" s="158">
        <f t="shared" ref="S11:S57" si="4">+N11-R11</f>
        <v>-8249497.0399999917</v>
      </c>
      <c r="T11" s="160">
        <f t="shared" ref="T11:T64" si="5">IF(+IF(ISERROR(N11/R11),"…",N11/R11-1)&gt;200%,"...",IF(ISERROR(N11/R11),"…",N11/R11-1))</f>
        <v>-0.11838592903677791</v>
      </c>
    </row>
    <row r="12" spans="1:20">
      <c r="A12" s="150">
        <v>7111</v>
      </c>
      <c r="B12" s="488" t="str">
        <f>+VLOOKUP($A12,Master!$D$29:$G$225,4,FALSE)</f>
        <v>Porez na dohodak fizičkih lica</v>
      </c>
      <c r="C12" s="489"/>
      <c r="D12" s="489"/>
      <c r="E12" s="489"/>
      <c r="F12" s="489"/>
      <c r="G12" s="163">
        <f>'2021'!S12</f>
        <v>12336956.059999999</v>
      </c>
      <c r="H12" s="163">
        <f>'2021'!S86</f>
        <v>13486902.718345622</v>
      </c>
      <c r="I12" s="164">
        <f t="shared" si="0"/>
        <v>-1149946.6583456229</v>
      </c>
      <c r="J12" s="166">
        <f t="shared" si="1"/>
        <v>-8.5263954397876929E-2</v>
      </c>
      <c r="K12" s="163">
        <f>SUM('2020'!G12:H12)</f>
        <v>13832689.16</v>
      </c>
      <c r="L12" s="164">
        <f>+G12-K12</f>
        <v>-1495733.1000000015</v>
      </c>
      <c r="M12" s="166">
        <f t="shared" si="2"/>
        <v>-0.10813031961458475</v>
      </c>
      <c r="N12" s="163">
        <f>'2021'!H12</f>
        <v>8360437.5599999996</v>
      </c>
      <c r="O12" s="163">
        <f>'2021'!H86</f>
        <v>9282052.3748957608</v>
      </c>
      <c r="P12" s="164">
        <f t="shared" ref="P12:P57" si="6">+N12-O12</f>
        <v>-921614.8148957612</v>
      </c>
      <c r="Q12" s="166">
        <f t="shared" si="3"/>
        <v>-9.9289982179842085E-2</v>
      </c>
      <c r="R12" s="163">
        <f>'2020'!H12</f>
        <v>9514934.0399999991</v>
      </c>
      <c r="S12" s="164">
        <f t="shared" si="4"/>
        <v>-1154496.4799999995</v>
      </c>
      <c r="T12" s="166">
        <f t="shared" si="5"/>
        <v>-0.12133520580874146</v>
      </c>
    </row>
    <row r="13" spans="1:20">
      <c r="A13" s="150">
        <v>7112</v>
      </c>
      <c r="B13" s="488" t="str">
        <f>+VLOOKUP($A13,Master!$D$29:$G$225,4,FALSE)</f>
        <v>Porez na dobit pravnih lica</v>
      </c>
      <c r="C13" s="489"/>
      <c r="D13" s="489"/>
      <c r="E13" s="489"/>
      <c r="F13" s="489"/>
      <c r="G13" s="163">
        <f>'2021'!S13</f>
        <v>2396151.0099999998</v>
      </c>
      <c r="H13" s="163">
        <f>'2021'!S87</f>
        <v>2360089.3783481997</v>
      </c>
      <c r="I13" s="164">
        <f t="shared" si="0"/>
        <v>36061.631651800126</v>
      </c>
      <c r="J13" s="166">
        <f t="shared" si="1"/>
        <v>1.5279773716468048E-2</v>
      </c>
      <c r="K13" s="163">
        <f>SUM('2020'!G13:H13)</f>
        <v>3076142.62</v>
      </c>
      <c r="L13" s="164">
        <f t="shared" ref="L13:L57" si="7">+G13-K13</f>
        <v>-679991.61000000034</v>
      </c>
      <c r="M13" s="166">
        <f t="shared" si="2"/>
        <v>-0.22105334309889713</v>
      </c>
      <c r="N13" s="163">
        <f>'2021'!H13</f>
        <v>1616177.79</v>
      </c>
      <c r="O13" s="163">
        <f>'2021'!H87</f>
        <v>1597504.5279576874</v>
      </c>
      <c r="P13" s="164">
        <f t="shared" si="6"/>
        <v>18673.26204231265</v>
      </c>
      <c r="Q13" s="166">
        <f t="shared" si="3"/>
        <v>1.1689019790250832E-2</v>
      </c>
      <c r="R13" s="163">
        <f>'2020'!H13</f>
        <v>2402403.02</v>
      </c>
      <c r="S13" s="164">
        <f t="shared" si="4"/>
        <v>-786225.23</v>
      </c>
      <c r="T13" s="166">
        <f t="shared" si="5"/>
        <v>-0.32726616785554985</v>
      </c>
    </row>
    <row r="14" spans="1:20">
      <c r="A14" s="150">
        <v>7113</v>
      </c>
      <c r="B14" s="488" t="str">
        <f>+VLOOKUP($A14,Master!$D$29:$G$225,4,FALSE)</f>
        <v>Porez na promet nepokretnosti</v>
      </c>
      <c r="C14" s="489"/>
      <c r="D14" s="489"/>
      <c r="E14" s="489"/>
      <c r="F14" s="489"/>
      <c r="G14" s="163">
        <f>'2021'!S14</f>
        <v>202658.2</v>
      </c>
      <c r="H14" s="163">
        <f>'2021'!S88</f>
        <v>258587.31559030712</v>
      </c>
      <c r="I14" s="164">
        <f t="shared" si="0"/>
        <v>-55929.115590307105</v>
      </c>
      <c r="J14" s="166">
        <f t="shared" si="1"/>
        <v>-0.21628715802486775</v>
      </c>
      <c r="K14" s="163">
        <f>SUM('2020'!G14:H14)</f>
        <v>353107.17</v>
      </c>
      <c r="L14" s="164">
        <f t="shared" si="7"/>
        <v>-150448.96999999997</v>
      </c>
      <c r="M14" s="166">
        <f t="shared" si="2"/>
        <v>-0.42607169375801679</v>
      </c>
      <c r="N14" s="163">
        <f>'2021'!H14</f>
        <v>87272.18</v>
      </c>
      <c r="O14" s="163">
        <f>'2021'!H88</f>
        <v>152350.26587005192</v>
      </c>
      <c r="P14" s="164">
        <f t="shared" si="6"/>
        <v>-65078.085870051931</v>
      </c>
      <c r="Q14" s="166">
        <f t="shared" si="3"/>
        <v>-0.42716096029370032</v>
      </c>
      <c r="R14" s="163">
        <f>'2020'!H14</f>
        <v>168097.86</v>
      </c>
      <c r="S14" s="164">
        <f t="shared" si="4"/>
        <v>-80825.679999999993</v>
      </c>
      <c r="T14" s="166">
        <f t="shared" si="5"/>
        <v>-0.48082515744102872</v>
      </c>
    </row>
    <row r="15" spans="1:20">
      <c r="A15" s="150">
        <v>7114</v>
      </c>
      <c r="B15" s="488" t="str">
        <f>+VLOOKUP($A15,Master!$D$29:$G$225,4,FALSE)</f>
        <v>Porez na dodatu vrijednost</v>
      </c>
      <c r="C15" s="489"/>
      <c r="D15" s="489"/>
      <c r="E15" s="489"/>
      <c r="F15" s="489"/>
      <c r="G15" s="163">
        <f>'2021'!S15</f>
        <v>80027746.879999995</v>
      </c>
      <c r="H15" s="163">
        <f>'2021'!S89</f>
        <v>78538763.49973236</v>
      </c>
      <c r="I15" s="164">
        <f t="shared" si="0"/>
        <v>1488983.380267635</v>
      </c>
      <c r="J15" s="166">
        <f t="shared" si="1"/>
        <v>1.8958579355183192E-2</v>
      </c>
      <c r="K15" s="163">
        <f>SUM('2020'!G15:H15)</f>
        <v>87878752.00999999</v>
      </c>
      <c r="L15" s="164">
        <f t="shared" si="7"/>
        <v>-7851005.1299999952</v>
      </c>
      <c r="M15" s="166">
        <f t="shared" si="2"/>
        <v>-8.9339060357919164E-2</v>
      </c>
      <c r="N15" s="163">
        <f>'2021'!H15</f>
        <v>35917952.619999997</v>
      </c>
      <c r="O15" s="163">
        <f>'2021'!H89</f>
        <v>34454383.95727095</v>
      </c>
      <c r="P15" s="164">
        <f t="shared" si="6"/>
        <v>1463568.6627290472</v>
      </c>
      <c r="Q15" s="166">
        <f t="shared" si="3"/>
        <v>4.247844525515565E-2</v>
      </c>
      <c r="R15" s="163">
        <f>'2020'!H15</f>
        <v>40097544.82</v>
      </c>
      <c r="S15" s="164">
        <f t="shared" si="4"/>
        <v>-4179592.200000003</v>
      </c>
      <c r="T15" s="166">
        <f t="shared" si="5"/>
        <v>-0.10423561389512537</v>
      </c>
    </row>
    <row r="16" spans="1:20">
      <c r="A16" s="150">
        <v>7115</v>
      </c>
      <c r="B16" s="488" t="str">
        <f>+VLOOKUP($A16,Master!$D$29:$G$225,4,FALSE)</f>
        <v>Akcize</v>
      </c>
      <c r="C16" s="489"/>
      <c r="D16" s="489"/>
      <c r="E16" s="489"/>
      <c r="F16" s="489"/>
      <c r="G16" s="163">
        <f>'2021'!S16</f>
        <v>29522355.509999998</v>
      </c>
      <c r="H16" s="163">
        <f>'2021'!S90</f>
        <v>27012753.684228659</v>
      </c>
      <c r="I16" s="164">
        <f t="shared" si="0"/>
        <v>2509601.8257713392</v>
      </c>
      <c r="J16" s="166">
        <f t="shared" si="1"/>
        <v>9.2904331602318813E-2</v>
      </c>
      <c r="K16" s="163">
        <f>SUM('2020'!G16:H16)</f>
        <v>32901897.650000002</v>
      </c>
      <c r="L16" s="164">
        <f t="shared" si="7"/>
        <v>-3379542.1400000043</v>
      </c>
      <c r="M16" s="166">
        <f t="shared" si="2"/>
        <v>-0.10271572101860227</v>
      </c>
      <c r="N16" s="163">
        <f>'2021'!H16</f>
        <v>13163287.779999999</v>
      </c>
      <c r="O16" s="163">
        <f>'2021'!H90</f>
        <v>12154549.421156941</v>
      </c>
      <c r="P16" s="164">
        <f t="shared" si="6"/>
        <v>1008738.3588430583</v>
      </c>
      <c r="Q16" s="166">
        <f t="shared" si="3"/>
        <v>8.2992657637080969E-2</v>
      </c>
      <c r="R16" s="163">
        <f>'2020'!H16</f>
        <v>14831752.550000001</v>
      </c>
      <c r="S16" s="164">
        <f t="shared" si="4"/>
        <v>-1668464.7700000014</v>
      </c>
      <c r="T16" s="166">
        <f t="shared" si="5"/>
        <v>-0.11249275932667857</v>
      </c>
    </row>
    <row r="17" spans="1:20">
      <c r="A17" s="150">
        <v>7116</v>
      </c>
      <c r="B17" s="488" t="str">
        <f>+VLOOKUP($A17,Master!$D$29:$G$225,4,FALSE)</f>
        <v>Porez na međunarodnu trgovinu i transakcije</v>
      </c>
      <c r="C17" s="489"/>
      <c r="D17" s="489"/>
      <c r="E17" s="489"/>
      <c r="F17" s="489"/>
      <c r="G17" s="163">
        <f>'2021'!S17</f>
        <v>2809692.8600000003</v>
      </c>
      <c r="H17" s="163">
        <f>'2021'!S91</f>
        <v>2883829.0857912069</v>
      </c>
      <c r="I17" s="164">
        <f t="shared" si="0"/>
        <v>-74136.225791206583</v>
      </c>
      <c r="J17" s="166">
        <f t="shared" si="1"/>
        <v>-2.5707565734904403E-2</v>
      </c>
      <c r="K17" s="163">
        <f>SUM('2020'!G17:H17)</f>
        <v>3460017.1799999997</v>
      </c>
      <c r="L17" s="164">
        <f t="shared" si="7"/>
        <v>-650324.31999999937</v>
      </c>
      <c r="M17" s="166">
        <f t="shared" si="2"/>
        <v>-0.1879540725286224</v>
      </c>
      <c r="N17" s="163">
        <f>'2021'!H17</f>
        <v>1543418.52</v>
      </c>
      <c r="O17" s="163">
        <f>'2021'!H91</f>
        <v>1582885.0395362838</v>
      </c>
      <c r="P17" s="164">
        <f t="shared" si="6"/>
        <v>-39466.519536283799</v>
      </c>
      <c r="Q17" s="166">
        <f t="shared" si="3"/>
        <v>-2.4933282298154613E-2</v>
      </c>
      <c r="R17" s="163">
        <f>'2020'!H17</f>
        <v>1922810.55</v>
      </c>
      <c r="S17" s="164">
        <f t="shared" si="4"/>
        <v>-379392.03</v>
      </c>
      <c r="T17" s="166">
        <f t="shared" si="5"/>
        <v>-0.19731118596161235</v>
      </c>
    </row>
    <row r="18" spans="1:20">
      <c r="A18" s="150">
        <v>7118</v>
      </c>
      <c r="B18" s="488" t="str">
        <f>+VLOOKUP($A18,Master!$D$29:$G$225,4,FALSE)</f>
        <v>Ostali državni porezi</v>
      </c>
      <c r="C18" s="489"/>
      <c r="D18" s="489"/>
      <c r="E18" s="489"/>
      <c r="F18" s="489"/>
      <c r="G18" s="163">
        <f>'2021'!S18</f>
        <v>1550926.34</v>
      </c>
      <c r="H18" s="163">
        <f>'2021'!S92</f>
        <v>1521962.0997001643</v>
      </c>
      <c r="I18" s="164">
        <f t="shared" si="0"/>
        <v>28964.240299835801</v>
      </c>
      <c r="J18" s="166">
        <f t="shared" si="1"/>
        <v>1.9030855174082095E-2</v>
      </c>
      <c r="K18" s="163">
        <f>SUM('2020'!G18:H18)</f>
        <v>1500686.82</v>
      </c>
      <c r="L18" s="164">
        <f t="shared" si="7"/>
        <v>50239.520000000019</v>
      </c>
      <c r="M18" s="166">
        <f t="shared" si="2"/>
        <v>3.3477684571121991E-2</v>
      </c>
      <c r="N18" s="163">
        <f>'2021'!H18</f>
        <v>745043.91</v>
      </c>
      <c r="O18" s="163">
        <f>'2021'!H92</f>
        <v>724845.61986211163</v>
      </c>
      <c r="P18" s="164">
        <f t="shared" si="6"/>
        <v>20198.290137888398</v>
      </c>
      <c r="Q18" s="166">
        <f t="shared" si="3"/>
        <v>2.7865644192939687E-2</v>
      </c>
      <c r="R18" s="163">
        <f>'2020'!H18</f>
        <v>745544.56</v>
      </c>
      <c r="S18" s="164">
        <f t="shared" si="4"/>
        <v>-500.65000000002328</v>
      </c>
      <c r="T18" s="166">
        <f t="shared" si="5"/>
        <v>-6.7152257136715576E-4</v>
      </c>
    </row>
    <row r="19" spans="1:20">
      <c r="A19" s="150">
        <v>712</v>
      </c>
      <c r="B19" s="490" t="str">
        <f>+VLOOKUP($A19,Master!$D$29:$G$225,4,FALSE)</f>
        <v>Doprinosi</v>
      </c>
      <c r="C19" s="491"/>
      <c r="D19" s="491"/>
      <c r="E19" s="491"/>
      <c r="F19" s="491"/>
      <c r="G19" s="169">
        <f>'2021'!S19</f>
        <v>53049105.019999996</v>
      </c>
      <c r="H19" s="169">
        <f>'2021'!S93</f>
        <v>57682473.858031869</v>
      </c>
      <c r="I19" s="170">
        <f t="shared" si="0"/>
        <v>-4633368.8380318731</v>
      </c>
      <c r="J19" s="172">
        <f t="shared" si="1"/>
        <v>-8.0325418244639124E-2</v>
      </c>
      <c r="K19" s="169">
        <f>SUM('2020'!G19:H19)</f>
        <v>58324056.109999999</v>
      </c>
      <c r="L19" s="170">
        <f t="shared" si="7"/>
        <v>-5274951.0900000036</v>
      </c>
      <c r="M19" s="172">
        <f t="shared" si="2"/>
        <v>-9.0442116715123033E-2</v>
      </c>
      <c r="N19" s="169">
        <f>'2021'!H19</f>
        <v>37116900.719999999</v>
      </c>
      <c r="O19" s="169">
        <f>'2021'!H93</f>
        <v>41389656.549846224</v>
      </c>
      <c r="P19" s="170">
        <f t="shared" si="6"/>
        <v>-4272755.8298462257</v>
      </c>
      <c r="Q19" s="172">
        <f t="shared" si="3"/>
        <v>-0.10323245433796913</v>
      </c>
      <c r="R19" s="169">
        <f>'2020'!H19</f>
        <v>42574769.890000001</v>
      </c>
      <c r="S19" s="170">
        <f t="shared" si="4"/>
        <v>-5457869.1700000018</v>
      </c>
      <c r="T19" s="172">
        <f t="shared" si="5"/>
        <v>-0.12819491882402279</v>
      </c>
    </row>
    <row r="20" spans="1:20">
      <c r="A20" s="150">
        <v>7121</v>
      </c>
      <c r="B20" s="488" t="str">
        <f>+VLOOKUP($A20,Master!$D$29:$G$225,4,FALSE)</f>
        <v>Doprinosi za penzijsko i invalidsko osiguranje</v>
      </c>
      <c r="C20" s="489"/>
      <c r="D20" s="489"/>
      <c r="E20" s="489"/>
      <c r="F20" s="489"/>
      <c r="G20" s="163">
        <f>'2021'!S20</f>
        <v>32945073.870000001</v>
      </c>
      <c r="H20" s="163">
        <f>'2021'!S94</f>
        <v>35048123.735717863</v>
      </c>
      <c r="I20" s="164">
        <f t="shared" si="0"/>
        <v>-2103049.8657178618</v>
      </c>
      <c r="J20" s="166">
        <f t="shared" si="1"/>
        <v>-6.0004634815147728E-2</v>
      </c>
      <c r="K20" s="163">
        <f>SUM('2020'!G20:H20)</f>
        <v>36572526.460000001</v>
      </c>
      <c r="L20" s="164">
        <f t="shared" si="7"/>
        <v>-3627452.59</v>
      </c>
      <c r="M20" s="166">
        <f t="shared" si="2"/>
        <v>-9.9185179179989258E-2</v>
      </c>
      <c r="N20" s="163">
        <f>'2021'!H20</f>
        <v>22994578.370000001</v>
      </c>
      <c r="O20" s="163">
        <f>'2021'!H94</f>
        <v>25137864.374354426</v>
      </c>
      <c r="P20" s="164">
        <f t="shared" si="6"/>
        <v>-2143286.0043544248</v>
      </c>
      <c r="Q20" s="166">
        <f t="shared" si="3"/>
        <v>-8.5261260560423713E-2</v>
      </c>
      <c r="R20" s="163">
        <f>'2020'!H20</f>
        <v>26782162.98</v>
      </c>
      <c r="S20" s="164">
        <f t="shared" si="4"/>
        <v>-3787584.6099999994</v>
      </c>
      <c r="T20" s="166">
        <f t="shared" si="5"/>
        <v>-0.1414219087841575</v>
      </c>
    </row>
    <row r="21" spans="1:20">
      <c r="A21" s="150">
        <v>7122</v>
      </c>
      <c r="B21" s="488" t="str">
        <f>+VLOOKUP($A21,Master!$D$29:$G$225,4,FALSE)</f>
        <v>Doprinosi za zdravstveno osiguranje</v>
      </c>
      <c r="C21" s="489"/>
      <c r="D21" s="489"/>
      <c r="E21" s="489"/>
      <c r="F21" s="489"/>
      <c r="G21" s="163">
        <f>'2021'!S21</f>
        <v>17267141.350000001</v>
      </c>
      <c r="H21" s="163">
        <f>'2021'!S95</f>
        <v>19475335.578650299</v>
      </c>
      <c r="I21" s="164">
        <f t="shared" si="0"/>
        <v>-2208194.228650298</v>
      </c>
      <c r="J21" s="166">
        <f t="shared" si="1"/>
        <v>-0.11338414271387531</v>
      </c>
      <c r="K21" s="163">
        <f>SUM('2020'!G21:H21)</f>
        <v>18681304.850000001</v>
      </c>
      <c r="L21" s="164">
        <f t="shared" si="7"/>
        <v>-1414163.5</v>
      </c>
      <c r="M21" s="166">
        <f t="shared" si="2"/>
        <v>-7.5699396340614844E-2</v>
      </c>
      <c r="N21" s="163">
        <f>'2021'!H21</f>
        <v>12116620.91</v>
      </c>
      <c r="O21" s="163">
        <f>'2021'!H95</f>
        <v>13967653.022079941</v>
      </c>
      <c r="P21" s="164">
        <f t="shared" si="6"/>
        <v>-1851032.1120799407</v>
      </c>
      <c r="Q21" s="166">
        <f t="shared" si="3"/>
        <v>-0.13252277309250493</v>
      </c>
      <c r="R21" s="163">
        <f>'2020'!H21</f>
        <v>13521231.24</v>
      </c>
      <c r="S21" s="164">
        <f t="shared" si="4"/>
        <v>-1404610.33</v>
      </c>
      <c r="T21" s="166">
        <f t="shared" si="5"/>
        <v>-0.10388183628164915</v>
      </c>
    </row>
    <row r="22" spans="1:20">
      <c r="A22" s="150">
        <v>7123</v>
      </c>
      <c r="B22" s="488" t="str">
        <f>+VLOOKUP($A22,Master!$D$29:$G$225,4,FALSE)</f>
        <v>Doprinosi za osiguranje od nezaposlenosti</v>
      </c>
      <c r="C22" s="489"/>
      <c r="D22" s="489"/>
      <c r="E22" s="489"/>
      <c r="F22" s="489"/>
      <c r="G22" s="163">
        <f>'2021'!S22</f>
        <v>1572022</v>
      </c>
      <c r="H22" s="163">
        <f>'2021'!S96</f>
        <v>1737365.5564137502</v>
      </c>
      <c r="I22" s="164">
        <f t="shared" si="0"/>
        <v>-165343.55641375016</v>
      </c>
      <c r="J22" s="166">
        <f t="shared" si="1"/>
        <v>-9.516912304572811E-2</v>
      </c>
      <c r="K22" s="163">
        <f>SUM('2020'!G22:H22)</f>
        <v>1692469.6600000001</v>
      </c>
      <c r="L22" s="164">
        <f t="shared" si="7"/>
        <v>-120447.66000000015</v>
      </c>
      <c r="M22" s="166">
        <f t="shared" si="2"/>
        <v>-7.1166806027116669E-2</v>
      </c>
      <c r="N22" s="163">
        <f>'2021'!H22</f>
        <v>1105749.08</v>
      </c>
      <c r="O22" s="163">
        <f>'2021'!H96</f>
        <v>1244226.7553943871</v>
      </c>
      <c r="P22" s="164">
        <f t="shared" si="6"/>
        <v>-138477.67539438698</v>
      </c>
      <c r="Q22" s="166">
        <f t="shared" si="3"/>
        <v>-0.11129617233676448</v>
      </c>
      <c r="R22" s="163">
        <f>'2020'!H22</f>
        <v>1236727.53</v>
      </c>
      <c r="S22" s="164">
        <f t="shared" si="4"/>
        <v>-130978.44999999995</v>
      </c>
      <c r="T22" s="166">
        <f t="shared" si="5"/>
        <v>-0.10590728096753854</v>
      </c>
    </row>
    <row r="23" spans="1:20">
      <c r="A23" s="150">
        <v>7124</v>
      </c>
      <c r="B23" s="488" t="str">
        <f>+VLOOKUP($A23,Master!$D$29:$G$225,4,FALSE)</f>
        <v>Ostali doprinosi</v>
      </c>
      <c r="C23" s="489"/>
      <c r="D23" s="489"/>
      <c r="E23" s="489"/>
      <c r="F23" s="489"/>
      <c r="G23" s="163">
        <f>'2021'!S23</f>
        <v>1264867.8</v>
      </c>
      <c r="H23" s="163">
        <f>'2021'!S97</f>
        <v>1421648.9872499623</v>
      </c>
      <c r="I23" s="164">
        <f t="shared" si="0"/>
        <v>-156781.18724996224</v>
      </c>
      <c r="J23" s="166">
        <f t="shared" si="1"/>
        <v>-0.11028122177559441</v>
      </c>
      <c r="K23" s="163">
        <f>SUM('2020'!G23:H23)</f>
        <v>1377755.1400000001</v>
      </c>
      <c r="L23" s="164">
        <f t="shared" si="7"/>
        <v>-112887.34000000008</v>
      </c>
      <c r="M23" s="166">
        <f t="shared" si="2"/>
        <v>-8.1935705933929626E-2</v>
      </c>
      <c r="N23" s="163">
        <f>'2021'!H23</f>
        <v>899952.36</v>
      </c>
      <c r="O23" s="163">
        <f>'2021'!H97</f>
        <v>1039912.3980174726</v>
      </c>
      <c r="P23" s="164">
        <f t="shared" si="6"/>
        <v>-139960.0380174726</v>
      </c>
      <c r="Q23" s="166">
        <f t="shared" si="3"/>
        <v>-0.13458829636447989</v>
      </c>
      <c r="R23" s="163">
        <f>'2020'!H23</f>
        <v>1034648.14</v>
      </c>
      <c r="S23" s="164">
        <f t="shared" si="4"/>
        <v>-134695.78000000003</v>
      </c>
      <c r="T23" s="166">
        <f t="shared" si="5"/>
        <v>-0.13018510814700734</v>
      </c>
    </row>
    <row r="24" spans="1:20">
      <c r="A24" s="150">
        <v>713</v>
      </c>
      <c r="B24" s="490" t="str">
        <f>+VLOOKUP($A24,Master!$D$29:$G$225,4,FALSE)</f>
        <v>Takse</v>
      </c>
      <c r="C24" s="491"/>
      <c r="D24" s="491"/>
      <c r="E24" s="491"/>
      <c r="F24" s="491"/>
      <c r="G24" s="175">
        <f>'2021'!S24</f>
        <v>1257356.71</v>
      </c>
      <c r="H24" s="175">
        <f>'2021'!S98</f>
        <v>1628383.4200857012</v>
      </c>
      <c r="I24" s="176">
        <f t="shared" si="0"/>
        <v>-371026.7100857012</v>
      </c>
      <c r="J24" s="178">
        <f t="shared" si="1"/>
        <v>-0.22784972231304967</v>
      </c>
      <c r="K24" s="175">
        <f>SUM('2020'!G24:H24)</f>
        <v>1557568.4300000002</v>
      </c>
      <c r="L24" s="176">
        <f t="shared" si="7"/>
        <v>-300211.7200000002</v>
      </c>
      <c r="M24" s="178">
        <f t="shared" si="2"/>
        <v>-0.19274383983244969</v>
      </c>
      <c r="N24" s="175">
        <f>'2021'!H24</f>
        <v>672709.77</v>
      </c>
      <c r="O24" s="175">
        <f>'2021'!H98</f>
        <v>897580.50917497964</v>
      </c>
      <c r="P24" s="176">
        <f t="shared" si="6"/>
        <v>-224870.73917497962</v>
      </c>
      <c r="Q24" s="178">
        <f t="shared" si="3"/>
        <v>-0.25052988214023486</v>
      </c>
      <c r="R24" s="175">
        <f>'2020'!H24</f>
        <v>845756.92</v>
      </c>
      <c r="S24" s="176">
        <f t="shared" si="4"/>
        <v>-173047.15000000002</v>
      </c>
      <c r="T24" s="178">
        <f t="shared" si="5"/>
        <v>-0.20460624785665371</v>
      </c>
    </row>
    <row r="25" spans="1:20">
      <c r="A25" s="150">
        <v>714</v>
      </c>
      <c r="B25" s="490" t="str">
        <f>+VLOOKUP($A25,Master!$D$29:$G$225,4,FALSE)</f>
        <v>Naknade</v>
      </c>
      <c r="C25" s="491"/>
      <c r="D25" s="491"/>
      <c r="E25" s="491"/>
      <c r="F25" s="491"/>
      <c r="G25" s="175">
        <f>'2021'!S25</f>
        <v>5258149.49</v>
      </c>
      <c r="H25" s="175">
        <f>'2021'!S99</f>
        <v>3555495.0926194889</v>
      </c>
      <c r="I25" s="176">
        <f t="shared" si="0"/>
        <v>1702654.3973805113</v>
      </c>
      <c r="J25" s="178">
        <f t="shared" si="1"/>
        <v>0.47887969270858743</v>
      </c>
      <c r="K25" s="175">
        <f>SUM('2020'!G25:H25)</f>
        <v>4427341.72</v>
      </c>
      <c r="L25" s="176">
        <f t="shared" si="7"/>
        <v>830807.77000000048</v>
      </c>
      <c r="M25" s="178">
        <f t="shared" si="2"/>
        <v>0.18765386151399222</v>
      </c>
      <c r="N25" s="175">
        <f>'2021'!H25</f>
        <v>2375091.2999999998</v>
      </c>
      <c r="O25" s="175">
        <f>'2021'!H99</f>
        <v>1651746.7601752742</v>
      </c>
      <c r="P25" s="176">
        <f t="shared" si="6"/>
        <v>723344.53982472559</v>
      </c>
      <c r="Q25" s="178">
        <f t="shared" si="3"/>
        <v>0.43792702202604494</v>
      </c>
      <c r="R25" s="175">
        <f>'2020'!H25</f>
        <v>2200614.79</v>
      </c>
      <c r="S25" s="176">
        <f t="shared" si="4"/>
        <v>174476.50999999978</v>
      </c>
      <c r="T25" s="178">
        <f t="shared" si="5"/>
        <v>7.9285348254884536E-2</v>
      </c>
    </row>
    <row r="26" spans="1:20">
      <c r="A26" s="150">
        <v>715</v>
      </c>
      <c r="B26" s="490" t="str">
        <f>+VLOOKUP($A26,Master!$D$29:$G$225,4,FALSE)</f>
        <v>Ostali prihodi</v>
      </c>
      <c r="C26" s="491"/>
      <c r="D26" s="491"/>
      <c r="E26" s="491"/>
      <c r="F26" s="491"/>
      <c r="G26" s="175">
        <f>'2021'!S26</f>
        <v>3318176.14</v>
      </c>
      <c r="H26" s="175">
        <f>'2021'!S100</f>
        <v>2929266.9891801225</v>
      </c>
      <c r="I26" s="176">
        <f t="shared" si="0"/>
        <v>388909.15081987763</v>
      </c>
      <c r="J26" s="178">
        <f t="shared" si="1"/>
        <v>0.13276671339840207</v>
      </c>
      <c r="K26" s="175">
        <f>SUM('2020'!G26:H26)</f>
        <v>3583937.16</v>
      </c>
      <c r="L26" s="176">
        <f t="shared" si="7"/>
        <v>-265761.02</v>
      </c>
      <c r="M26" s="178">
        <f t="shared" si="2"/>
        <v>-7.4153370479297154E-2</v>
      </c>
      <c r="N26" s="175">
        <f>'2021'!H26</f>
        <v>1792401.29</v>
      </c>
      <c r="O26" s="175">
        <f>'2021'!H100</f>
        <v>1801554.4259584644</v>
      </c>
      <c r="P26" s="176">
        <f t="shared" si="6"/>
        <v>-9153.1359584643506</v>
      </c>
      <c r="Q26" s="178">
        <f t="shared" si="3"/>
        <v>-5.0806880028587686E-3</v>
      </c>
      <c r="R26" s="175">
        <f>'2020'!H26</f>
        <v>2100277.88</v>
      </c>
      <c r="S26" s="176">
        <f t="shared" si="4"/>
        <v>-307876.58999999985</v>
      </c>
      <c r="T26" s="178">
        <f t="shared" si="5"/>
        <v>-0.14658850285087033</v>
      </c>
    </row>
    <row r="27" spans="1:20">
      <c r="A27" s="150">
        <v>73</v>
      </c>
      <c r="B27" s="490" t="str">
        <f>+VLOOKUP($A27,Master!$D$29:$G$225,4,FALSE)</f>
        <v>Primici od otplate kredita i sredstva prenesena iz prethodne godine</v>
      </c>
      <c r="C27" s="491"/>
      <c r="D27" s="491"/>
      <c r="E27" s="491"/>
      <c r="F27" s="491"/>
      <c r="G27" s="175">
        <f>'2021'!S27</f>
        <v>931463.15</v>
      </c>
      <c r="H27" s="175">
        <f>'2021'!S101</f>
        <v>445108.03709493607</v>
      </c>
      <c r="I27" s="176">
        <f t="shared" si="0"/>
        <v>486355.11290506396</v>
      </c>
      <c r="J27" s="178">
        <f t="shared" si="1"/>
        <v>1.0926675601710838</v>
      </c>
      <c r="K27" s="175">
        <f>SUM('2020'!G27:H27)</f>
        <v>894547.07000000007</v>
      </c>
      <c r="L27" s="176">
        <f t="shared" si="7"/>
        <v>36916.079999999958</v>
      </c>
      <c r="M27" s="178">
        <f t="shared" si="2"/>
        <v>4.1267901084288239E-2</v>
      </c>
      <c r="N27" s="175">
        <f>'2021'!H27</f>
        <v>820681.81</v>
      </c>
      <c r="O27" s="175">
        <f>'2021'!H101</f>
        <v>376318.3495044958</v>
      </c>
      <c r="P27" s="176">
        <f t="shared" si="6"/>
        <v>444363.46049550426</v>
      </c>
      <c r="Q27" s="178">
        <f t="shared" si="3"/>
        <v>1.1808179459774006</v>
      </c>
      <c r="R27" s="175">
        <f>'2020'!H27</f>
        <v>813727.89</v>
      </c>
      <c r="S27" s="176">
        <f t="shared" si="4"/>
        <v>6953.9200000000419</v>
      </c>
      <c r="T27" s="178">
        <f t="shared" si="5"/>
        <v>8.545756002046323E-3</v>
      </c>
    </row>
    <row r="28" spans="1:20" ht="15.75" thickBot="1">
      <c r="A28" s="150">
        <v>74</v>
      </c>
      <c r="B28" s="494" t="str">
        <f>+VLOOKUP($A28,Master!$D$29:$G$225,4,FALSE)</f>
        <v>Donacije i transferi</v>
      </c>
      <c r="C28" s="495"/>
      <c r="D28" s="495"/>
      <c r="E28" s="495"/>
      <c r="F28" s="495"/>
      <c r="G28" s="175">
        <f>'2021'!S28</f>
        <v>1555317.79</v>
      </c>
      <c r="H28" s="175">
        <f>'2021'!S102</f>
        <v>5185044.8179811416</v>
      </c>
      <c r="I28" s="176">
        <f t="shared" si="0"/>
        <v>-3629727.0279811416</v>
      </c>
      <c r="J28" s="178">
        <f t="shared" si="1"/>
        <v>-0.70003773456184293</v>
      </c>
      <c r="K28" s="175">
        <f>SUM('2020'!G28:H28)</f>
        <v>2384706.7400000002</v>
      </c>
      <c r="L28" s="176">
        <f t="shared" si="7"/>
        <v>-829388.95000000019</v>
      </c>
      <c r="M28" s="178">
        <f t="shared" si="2"/>
        <v>-0.34779494521829557</v>
      </c>
      <c r="N28" s="175">
        <f>'2021'!H28</f>
        <v>1359247.78</v>
      </c>
      <c r="O28" s="175">
        <f>'2021'!H102</f>
        <v>2845013.9141026605</v>
      </c>
      <c r="P28" s="176">
        <f t="shared" si="6"/>
        <v>-1485766.1341026605</v>
      </c>
      <c r="Q28" s="178">
        <f t="shared" si="3"/>
        <v>-0.52223510287164365</v>
      </c>
      <c r="R28" s="175">
        <f>'2020'!H28</f>
        <v>1634973.52</v>
      </c>
      <c r="S28" s="176">
        <f t="shared" si="4"/>
        <v>-275725.74</v>
      </c>
      <c r="T28" s="178">
        <f t="shared" si="5"/>
        <v>-0.16864232761396647</v>
      </c>
    </row>
    <row r="29" spans="1:20" ht="15.75" thickBot="1">
      <c r="A29" s="150">
        <v>4</v>
      </c>
      <c r="B29" s="496" t="str">
        <f>+VLOOKUP($A29,Master!$D$29:$G$225,4,FALSE)</f>
        <v>Izdaci budžeta</v>
      </c>
      <c r="C29" s="497"/>
      <c r="D29" s="497"/>
      <c r="E29" s="497"/>
      <c r="F29" s="497"/>
      <c r="G29" s="151">
        <f>'2021'!S29</f>
        <v>284396974</v>
      </c>
      <c r="H29" s="151">
        <f>'2021'!S103</f>
        <v>358994544.5212</v>
      </c>
      <c r="I29" s="152">
        <f t="shared" si="0"/>
        <v>-74597570.521200001</v>
      </c>
      <c r="J29" s="154">
        <f t="shared" si="1"/>
        <v>-0.20779583327844897</v>
      </c>
      <c r="K29" s="151">
        <f>SUM('2020'!G29:H29)</f>
        <v>274340536.85800004</v>
      </c>
      <c r="L29" s="152">
        <f t="shared" si="7"/>
        <v>10056437.14199996</v>
      </c>
      <c r="M29" s="154">
        <f t="shared" si="2"/>
        <v>3.6656767013637515E-2</v>
      </c>
      <c r="N29" s="151">
        <f>'2021'!H29</f>
        <v>156993878.97000003</v>
      </c>
      <c r="O29" s="151">
        <f>'2021'!H103</f>
        <v>171688751.44849998</v>
      </c>
      <c r="P29" s="152">
        <f t="shared" si="6"/>
        <v>-14694872.478499949</v>
      </c>
      <c r="Q29" s="154">
        <f t="shared" si="3"/>
        <v>-8.5590187793449291E-2</v>
      </c>
      <c r="R29" s="151">
        <f>'2020'!H29</f>
        <v>145734321.47400001</v>
      </c>
      <c r="S29" s="152">
        <f t="shared" si="4"/>
        <v>11259557.496000022</v>
      </c>
      <c r="T29" s="154">
        <f t="shared" si="5"/>
        <v>7.7260849620854888E-2</v>
      </c>
    </row>
    <row r="30" spans="1:20">
      <c r="A30" s="150">
        <v>41</v>
      </c>
      <c r="B30" s="500" t="str">
        <f>+VLOOKUP($A30,Master!$D$29:$G$225,4,FALSE)</f>
        <v>Tekući izdaci</v>
      </c>
      <c r="C30" s="501"/>
      <c r="D30" s="501"/>
      <c r="E30" s="501"/>
      <c r="F30" s="501"/>
      <c r="G30" s="313">
        <f>'2021'!S30</f>
        <v>114076043.28000002</v>
      </c>
      <c r="H30" s="313">
        <f>'2021'!S104</f>
        <v>141883900.01350001</v>
      </c>
      <c r="I30" s="188">
        <f t="shared" si="0"/>
        <v>-27807856.733499989</v>
      </c>
      <c r="J30" s="190">
        <f t="shared" si="1"/>
        <v>-0.19599021968563113</v>
      </c>
      <c r="K30" s="313">
        <f>SUM('2020'!G30:H30)</f>
        <v>115953970.27000001</v>
      </c>
      <c r="L30" s="188">
        <f t="shared" si="7"/>
        <v>-1877926.9899999946</v>
      </c>
      <c r="M30" s="190">
        <f t="shared" si="2"/>
        <v>-1.6195452261162147E-2</v>
      </c>
      <c r="N30" s="313">
        <f>'2021'!H30</f>
        <v>62864361.590000011</v>
      </c>
      <c r="O30" s="313">
        <f>'2021'!H104</f>
        <v>71774857.2861</v>
      </c>
      <c r="P30" s="188">
        <f t="shared" si="6"/>
        <v>-8910495.6960999891</v>
      </c>
      <c r="Q30" s="190">
        <f t="shared" si="3"/>
        <v>-0.12414508412858394</v>
      </c>
      <c r="R30" s="313">
        <f>'2020'!H30</f>
        <v>62289276.800000004</v>
      </c>
      <c r="S30" s="188">
        <f t="shared" si="4"/>
        <v>575084.79000000656</v>
      </c>
      <c r="T30" s="190">
        <f t="shared" si="5"/>
        <v>9.2324846192468613E-3</v>
      </c>
    </row>
    <row r="31" spans="1:20">
      <c r="A31" s="150">
        <v>411</v>
      </c>
      <c r="B31" s="488" t="str">
        <f>+VLOOKUP($A31,Master!$D$29:$G$225,4,FALSE)</f>
        <v>Bruto zarade i doprinosi na teret poslodavca</v>
      </c>
      <c r="C31" s="489"/>
      <c r="D31" s="489"/>
      <c r="E31" s="489"/>
      <c r="F31" s="489"/>
      <c r="G31" s="163">
        <f>'2021'!S31</f>
        <v>89912024.689999998</v>
      </c>
      <c r="H31" s="163">
        <f>'2021'!S105</f>
        <v>88328717.694199994</v>
      </c>
      <c r="I31" s="164">
        <f t="shared" si="0"/>
        <v>1583306.9958000034</v>
      </c>
      <c r="J31" s="166">
        <f t="shared" si="1"/>
        <v>1.7925166776240564E-2</v>
      </c>
      <c r="K31" s="163">
        <f>SUM('2020'!G31:H31)</f>
        <v>82247682.550000012</v>
      </c>
      <c r="L31" s="164">
        <f t="shared" si="7"/>
        <v>7664342.1399999857</v>
      </c>
      <c r="M31" s="166">
        <f t="shared" si="2"/>
        <v>9.3186116646395201E-2</v>
      </c>
      <c r="N31" s="163">
        <f>'2021'!H31</f>
        <v>49306948.350000001</v>
      </c>
      <c r="O31" s="163">
        <f>'2021'!H105</f>
        <v>47328717.694199994</v>
      </c>
      <c r="P31" s="164">
        <f>+N31-O31</f>
        <v>1978230.6558000073</v>
      </c>
      <c r="Q31" s="166">
        <f>IF(+IF(ISERROR(N31/O31),"…",N31/O31-1)&gt;200%,"...",IF(ISERROR(N31/O31),"…",N31/O31-1))</f>
        <v>4.1797681242533136E-2</v>
      </c>
      <c r="R31" s="163">
        <f>'2020'!H31</f>
        <v>41362850.270000003</v>
      </c>
      <c r="S31" s="164">
        <f t="shared" si="4"/>
        <v>7944098.0799999982</v>
      </c>
      <c r="T31" s="166">
        <f t="shared" si="5"/>
        <v>0.19205876839105929</v>
      </c>
    </row>
    <row r="32" spans="1:20">
      <c r="A32" s="150">
        <v>412</v>
      </c>
      <c r="B32" s="488" t="str">
        <f>+VLOOKUP($A32,Master!$D$29:$G$225,4,FALSE)</f>
        <v>Ostala lična primanja</v>
      </c>
      <c r="C32" s="489"/>
      <c r="D32" s="489"/>
      <c r="E32" s="489"/>
      <c r="F32" s="489"/>
      <c r="G32" s="163">
        <f>'2021'!S32</f>
        <v>998081.15999999992</v>
      </c>
      <c r="H32" s="163">
        <f>'2021'!S106</f>
        <v>2304709.686999999</v>
      </c>
      <c r="I32" s="164">
        <f t="shared" si="0"/>
        <v>-1306628.5269999991</v>
      </c>
      <c r="J32" s="166">
        <f t="shared" si="1"/>
        <v>-0.56693844537999705</v>
      </c>
      <c r="K32" s="163">
        <f>SUM('2020'!G32:H32)</f>
        <v>1558773.0699999998</v>
      </c>
      <c r="L32" s="164">
        <f t="shared" si="7"/>
        <v>-560691.90999999992</v>
      </c>
      <c r="M32" s="166">
        <f t="shared" si="2"/>
        <v>-0.35970079339387095</v>
      </c>
      <c r="N32" s="163">
        <f>'2021'!H32</f>
        <v>889477.21</v>
      </c>
      <c r="O32" s="163">
        <f>'2021'!H106</f>
        <v>1211788.716299999</v>
      </c>
      <c r="P32" s="164">
        <f t="shared" si="6"/>
        <v>-322311.50629999908</v>
      </c>
      <c r="Q32" s="166">
        <f t="shared" si="3"/>
        <v>-0.26597995340650238</v>
      </c>
      <c r="R32" s="163">
        <f>'2020'!H32</f>
        <v>1082169.6499999999</v>
      </c>
      <c r="S32" s="164">
        <f t="shared" si="4"/>
        <v>-192692.43999999994</v>
      </c>
      <c r="T32" s="166">
        <f t="shared" si="5"/>
        <v>-0.1780612124910359</v>
      </c>
    </row>
    <row r="33" spans="1:20">
      <c r="A33" s="150">
        <v>413</v>
      </c>
      <c r="B33" s="488" t="str">
        <f>+VLOOKUP($A33,Master!$D$29:$G$225,4,FALSE)</f>
        <v>Rashodi za materijal</v>
      </c>
      <c r="C33" s="489"/>
      <c r="D33" s="489"/>
      <c r="E33" s="489"/>
      <c r="F33" s="489"/>
      <c r="G33" s="163">
        <f>'2021'!S33</f>
        <v>2258687.2000000002</v>
      </c>
      <c r="H33" s="163">
        <f>'2021'!S107</f>
        <v>5140694.8570999987</v>
      </c>
      <c r="I33" s="164">
        <f t="shared" si="0"/>
        <v>-2882007.6570999986</v>
      </c>
      <c r="J33" s="166">
        <f t="shared" si="1"/>
        <v>-0.56062608989902485</v>
      </c>
      <c r="K33" s="163">
        <f>SUM('2020'!G33:H33)</f>
        <v>5093573.92</v>
      </c>
      <c r="L33" s="164">
        <f t="shared" si="7"/>
        <v>-2834886.7199999997</v>
      </c>
      <c r="M33" s="166">
        <f t="shared" si="2"/>
        <v>-0.55656141729263442</v>
      </c>
      <c r="N33" s="163">
        <f>'2021'!H33</f>
        <v>1661848.94</v>
      </c>
      <c r="O33" s="163">
        <f>'2021'!H107</f>
        <v>2607238.5881999996</v>
      </c>
      <c r="P33" s="164">
        <f t="shared" si="6"/>
        <v>-945389.6481999997</v>
      </c>
      <c r="Q33" s="166">
        <f t="shared" si="3"/>
        <v>-0.36260189323627767</v>
      </c>
      <c r="R33" s="163">
        <f>'2020'!H33</f>
        <v>4249565.51</v>
      </c>
      <c r="S33" s="164">
        <f t="shared" si="4"/>
        <v>-2587716.5699999998</v>
      </c>
      <c r="T33" s="166">
        <f t="shared" si="5"/>
        <v>-0.60893674045279045</v>
      </c>
    </row>
    <row r="34" spans="1:20">
      <c r="A34" s="150">
        <v>414</v>
      </c>
      <c r="B34" s="488" t="str">
        <f>+VLOOKUP($A34,Master!$D$29:$G$225,4,FALSE)</f>
        <v>Rashodi za usluge</v>
      </c>
      <c r="C34" s="489"/>
      <c r="D34" s="489"/>
      <c r="E34" s="489"/>
      <c r="F34" s="489"/>
      <c r="G34" s="163">
        <f>'2021'!S34</f>
        <v>3675722.41</v>
      </c>
      <c r="H34" s="163">
        <f>'2021'!S108</f>
        <v>15571037.7542</v>
      </c>
      <c r="I34" s="164">
        <f t="shared" si="0"/>
        <v>-11895315.3442</v>
      </c>
      <c r="J34" s="166">
        <f t="shared" si="1"/>
        <v>-0.76393850763038951</v>
      </c>
      <c r="K34" s="163">
        <f>SUM('2020'!G34:H34)</f>
        <v>7233543.4800000004</v>
      </c>
      <c r="L34" s="164">
        <f t="shared" si="7"/>
        <v>-3557821.0700000003</v>
      </c>
      <c r="M34" s="166">
        <f t="shared" si="2"/>
        <v>-0.49185037455529335</v>
      </c>
      <c r="N34" s="163">
        <f>'2021'!H34</f>
        <v>2624320.42</v>
      </c>
      <c r="O34" s="163">
        <f>'2021'!H108</f>
        <v>9096739.9087000005</v>
      </c>
      <c r="P34" s="164">
        <f t="shared" si="6"/>
        <v>-6472419.4887000006</v>
      </c>
      <c r="Q34" s="166">
        <f t="shared" si="3"/>
        <v>-0.71150978852433333</v>
      </c>
      <c r="R34" s="163">
        <f>'2020'!H34</f>
        <v>5735111.25</v>
      </c>
      <c r="S34" s="164">
        <f t="shared" si="4"/>
        <v>-3110790.83</v>
      </c>
      <c r="T34" s="166">
        <f t="shared" si="5"/>
        <v>-0.54241159314913023</v>
      </c>
    </row>
    <row r="35" spans="1:20">
      <c r="A35" s="150">
        <v>415</v>
      </c>
      <c r="B35" s="488" t="str">
        <f>+VLOOKUP($A35,Master!$D$29:$G$225,4,FALSE)</f>
        <v>Rashodi za tekuće održavanje</v>
      </c>
      <c r="C35" s="489"/>
      <c r="D35" s="489"/>
      <c r="E35" s="489"/>
      <c r="F35" s="489"/>
      <c r="G35" s="163">
        <f>'2021'!S35</f>
        <v>1103955.1299999999</v>
      </c>
      <c r="H35" s="163">
        <f>'2021'!S109</f>
        <v>4069114.969</v>
      </c>
      <c r="I35" s="164">
        <f t="shared" si="0"/>
        <v>-2965159.8390000002</v>
      </c>
      <c r="J35" s="166">
        <f t="shared" si="1"/>
        <v>-0.72869895827217168</v>
      </c>
      <c r="K35" s="163">
        <f>SUM('2020'!G35:H35)</f>
        <v>2363917.6700000004</v>
      </c>
      <c r="L35" s="164">
        <f t="shared" si="7"/>
        <v>-1259962.5400000005</v>
      </c>
      <c r="M35" s="166">
        <f t="shared" si="2"/>
        <v>-0.53299764031122132</v>
      </c>
      <c r="N35" s="163">
        <f>'2021'!H35</f>
        <v>914551.09</v>
      </c>
      <c r="O35" s="163">
        <f>'2021'!H109</f>
        <v>2056207.8837000001</v>
      </c>
      <c r="P35" s="164">
        <f t="shared" si="6"/>
        <v>-1141656.7937000003</v>
      </c>
      <c r="Q35" s="166">
        <f t="shared" si="3"/>
        <v>-0.55522440252766159</v>
      </c>
      <c r="R35" s="163">
        <f>'2020'!H35</f>
        <v>2255656.6800000002</v>
      </c>
      <c r="S35" s="164">
        <f t="shared" si="4"/>
        <v>-1341105.5900000003</v>
      </c>
      <c r="T35" s="166">
        <f t="shared" si="5"/>
        <v>-0.59455217715135622</v>
      </c>
    </row>
    <row r="36" spans="1:20">
      <c r="A36" s="150">
        <v>416</v>
      </c>
      <c r="B36" s="488" t="str">
        <f>+VLOOKUP($A36,Master!$D$29:$G$225,4,FALSE)</f>
        <v>Kamate</v>
      </c>
      <c r="C36" s="489"/>
      <c r="D36" s="489"/>
      <c r="E36" s="489"/>
      <c r="F36" s="489"/>
      <c r="G36" s="163">
        <f>'2021'!S36</f>
        <v>9433486.4500000011</v>
      </c>
      <c r="H36" s="163">
        <f>'2021'!S110</f>
        <v>9067160.9581000004</v>
      </c>
      <c r="I36" s="164">
        <f t="shared" si="0"/>
        <v>366325.49190000072</v>
      </c>
      <c r="J36" s="166">
        <f t="shared" si="1"/>
        <v>4.0401344322971378E-2</v>
      </c>
      <c r="K36" s="163">
        <f>SUM('2020'!G36:H36)</f>
        <v>9494647.2699999996</v>
      </c>
      <c r="L36" s="164">
        <f t="shared" si="7"/>
        <v>-61160.819999998435</v>
      </c>
      <c r="M36" s="166">
        <f t="shared" si="2"/>
        <v>-6.4416105475815222E-3</v>
      </c>
      <c r="N36" s="163">
        <f>'2021'!H36</f>
        <v>1855329.34</v>
      </c>
      <c r="O36" s="163">
        <f>'2021'!H110</f>
        <v>1178757.1535000007</v>
      </c>
      <c r="P36" s="164">
        <f t="shared" si="6"/>
        <v>676572.18649999937</v>
      </c>
      <c r="Q36" s="166">
        <f t="shared" si="3"/>
        <v>0.57397080008473433</v>
      </c>
      <c r="R36" s="163">
        <f>'2020'!H36</f>
        <v>1839801.88</v>
      </c>
      <c r="S36" s="164">
        <f t="shared" si="4"/>
        <v>15527.460000000196</v>
      </c>
      <c r="T36" s="166">
        <f t="shared" si="5"/>
        <v>8.4397456969660389E-3</v>
      </c>
    </row>
    <row r="37" spans="1:20">
      <c r="A37" s="150">
        <v>417</v>
      </c>
      <c r="B37" s="488" t="str">
        <f>+VLOOKUP($A37,Master!$D$29:$G$225,4,FALSE)</f>
        <v>Renta</v>
      </c>
      <c r="C37" s="489"/>
      <c r="D37" s="489"/>
      <c r="E37" s="489"/>
      <c r="F37" s="489"/>
      <c r="G37" s="163">
        <f>'2021'!S37</f>
        <v>1005757.6799999999</v>
      </c>
      <c r="H37" s="163">
        <f>'2021'!S111</f>
        <v>1716152.1873999997</v>
      </c>
      <c r="I37" s="164">
        <f t="shared" si="0"/>
        <v>-710394.50739999977</v>
      </c>
      <c r="J37" s="166">
        <f t="shared" si="1"/>
        <v>-0.41394610140972388</v>
      </c>
      <c r="K37" s="163">
        <f>SUM('2020'!G37:H37)</f>
        <v>1359311.99</v>
      </c>
      <c r="L37" s="164">
        <f t="shared" si="7"/>
        <v>-353554.31000000006</v>
      </c>
      <c r="M37" s="166">
        <f t="shared" si="2"/>
        <v>-0.26009798530505135</v>
      </c>
      <c r="N37" s="163">
        <f>'2021'!H37</f>
        <v>967161.85</v>
      </c>
      <c r="O37" s="163">
        <f>'2021'!H111</f>
        <v>859323.00959999976</v>
      </c>
      <c r="P37" s="164">
        <f t="shared" si="6"/>
        <v>107838.84040000022</v>
      </c>
      <c r="Q37" s="166">
        <f t="shared" si="3"/>
        <v>0.12549278815447673</v>
      </c>
      <c r="R37" s="163">
        <f>'2020'!H37</f>
        <v>744117.39</v>
      </c>
      <c r="S37" s="164">
        <f t="shared" si="4"/>
        <v>223044.45999999996</v>
      </c>
      <c r="T37" s="166">
        <f t="shared" si="5"/>
        <v>0.29974364663080899</v>
      </c>
    </row>
    <row r="38" spans="1:20">
      <c r="A38" s="150">
        <v>418</v>
      </c>
      <c r="B38" s="488" t="str">
        <f>+VLOOKUP($A38,Master!$D$29:$G$225,4,FALSE)</f>
        <v>Subvencije</v>
      </c>
      <c r="C38" s="489"/>
      <c r="D38" s="489"/>
      <c r="E38" s="489"/>
      <c r="F38" s="489"/>
      <c r="G38" s="163">
        <f>'2021'!S38</f>
        <v>2575474.2199999997</v>
      </c>
      <c r="H38" s="163">
        <f>'2021'!S112</f>
        <v>7842733.8974000001</v>
      </c>
      <c r="I38" s="164">
        <f t="shared" si="0"/>
        <v>-5267259.6774000004</v>
      </c>
      <c r="J38" s="166">
        <f t="shared" si="1"/>
        <v>-0.67161014848995282</v>
      </c>
      <c r="K38" s="163">
        <f>SUM('2020'!G38:H38)</f>
        <v>1398623.19</v>
      </c>
      <c r="L38" s="164">
        <f t="shared" si="7"/>
        <v>1176851.0299999998</v>
      </c>
      <c r="M38" s="166">
        <f t="shared" si="2"/>
        <v>0.84143537617161912</v>
      </c>
      <c r="N38" s="163">
        <f>'2021'!H38</f>
        <v>2324834.88</v>
      </c>
      <c r="O38" s="163">
        <f>'2021'!H112</f>
        <v>3859908.0137000005</v>
      </c>
      <c r="P38" s="164">
        <f t="shared" si="6"/>
        <v>-1535073.1337000006</v>
      </c>
      <c r="Q38" s="166">
        <f t="shared" si="3"/>
        <v>-0.39769681770952936</v>
      </c>
      <c r="R38" s="163">
        <f>'2020'!H38</f>
        <v>1211715.27</v>
      </c>
      <c r="S38" s="164">
        <f t="shared" si="4"/>
        <v>1113119.6099999999</v>
      </c>
      <c r="T38" s="166">
        <f t="shared" si="5"/>
        <v>0.91863132994932051</v>
      </c>
    </row>
    <row r="39" spans="1:20">
      <c r="A39" s="150">
        <v>419</v>
      </c>
      <c r="B39" s="488" t="str">
        <f>+VLOOKUP($A39,Master!$D$29:$G$225,4,FALSE)</f>
        <v>Ostali izdaci</v>
      </c>
      <c r="C39" s="489"/>
      <c r="D39" s="489"/>
      <c r="E39" s="489"/>
      <c r="F39" s="489"/>
      <c r="G39" s="163">
        <f>'2021'!S39</f>
        <v>3112854.34</v>
      </c>
      <c r="H39" s="163">
        <f>'2021'!S113</f>
        <v>7843578.0090999985</v>
      </c>
      <c r="I39" s="164">
        <f t="shared" si="0"/>
        <v>-4730723.6690999987</v>
      </c>
      <c r="J39" s="166">
        <f t="shared" si="1"/>
        <v>-0.60313337403051082</v>
      </c>
      <c r="K39" s="163">
        <f>SUM('2020'!G39:H39)</f>
        <v>5203897.13</v>
      </c>
      <c r="L39" s="164">
        <f t="shared" si="7"/>
        <v>-2091042.79</v>
      </c>
      <c r="M39" s="166">
        <f t="shared" si="2"/>
        <v>-0.40182246838534263</v>
      </c>
      <c r="N39" s="163">
        <f>'2021'!H39</f>
        <v>2319889.5099999998</v>
      </c>
      <c r="O39" s="163">
        <f>'2021'!H113</f>
        <v>3576176.3181999996</v>
      </c>
      <c r="P39" s="164">
        <f t="shared" si="6"/>
        <v>-1256286.8081999999</v>
      </c>
      <c r="Q39" s="166">
        <f t="shared" si="3"/>
        <v>-0.35129330782894064</v>
      </c>
      <c r="R39" s="163">
        <f>'2020'!H39</f>
        <v>3808288.9</v>
      </c>
      <c r="S39" s="164">
        <f t="shared" si="4"/>
        <v>-1488399.3900000001</v>
      </c>
      <c r="T39" s="166">
        <f t="shared" si="5"/>
        <v>-0.39083153329044973</v>
      </c>
    </row>
    <row r="40" spans="1:20">
      <c r="A40" s="150">
        <v>42</v>
      </c>
      <c r="B40" s="504" t="str">
        <f>+VLOOKUP($A40,Master!$D$29:$G$225,4,FALSE)</f>
        <v>Transferi za socijalnu zaštitu</v>
      </c>
      <c r="C40" s="505"/>
      <c r="D40" s="505"/>
      <c r="E40" s="505"/>
      <c r="F40" s="505"/>
      <c r="G40" s="193">
        <f>'2021'!S40</f>
        <v>89620630.610000014</v>
      </c>
      <c r="H40" s="193">
        <f>'2021'!S114</f>
        <v>97882045.707700014</v>
      </c>
      <c r="I40" s="194">
        <f t="shared" si="0"/>
        <v>-8261415.0976999998</v>
      </c>
      <c r="J40" s="196">
        <f t="shared" si="1"/>
        <v>-8.440174127919875E-2</v>
      </c>
      <c r="K40" s="193">
        <f>SUM('2020'!G40:H40)</f>
        <v>91682403.307999983</v>
      </c>
      <c r="L40" s="194">
        <f t="shared" si="7"/>
        <v>-2061772.6979999691</v>
      </c>
      <c r="M40" s="196">
        <f t="shared" si="2"/>
        <v>-2.248820519106165E-2</v>
      </c>
      <c r="N40" s="193">
        <f>'2021'!H40</f>
        <v>45834669.350000009</v>
      </c>
      <c r="O40" s="193">
        <f>'2021'!H114</f>
        <v>48799260.338100001</v>
      </c>
      <c r="P40" s="194">
        <f t="shared" si="6"/>
        <v>-2964590.9880999923</v>
      </c>
      <c r="Q40" s="196">
        <f t="shared" si="3"/>
        <v>-6.0750736129198901E-2</v>
      </c>
      <c r="R40" s="193">
        <f>'2020'!H40</f>
        <v>47700409.223999992</v>
      </c>
      <c r="S40" s="194">
        <f t="shared" si="4"/>
        <v>-1865739.8739999831</v>
      </c>
      <c r="T40" s="196">
        <f t="shared" si="5"/>
        <v>-3.9113707918909335E-2</v>
      </c>
    </row>
    <row r="41" spans="1:20">
      <c r="A41" s="150">
        <v>421</v>
      </c>
      <c r="B41" s="488" t="str">
        <f>+VLOOKUP($A41,Master!$D$29:$G$225,4,FALSE)</f>
        <v>Prava iz oblasti socijalne zaštite</v>
      </c>
      <c r="C41" s="489"/>
      <c r="D41" s="489"/>
      <c r="E41" s="489"/>
      <c r="F41" s="489"/>
      <c r="G41" s="163">
        <f>'2021'!S41</f>
        <v>13204389.16</v>
      </c>
      <c r="H41" s="163">
        <f>'2021'!S115</f>
        <v>14457719.359999999</v>
      </c>
      <c r="I41" s="164">
        <f t="shared" si="0"/>
        <v>-1253330.1999999993</v>
      </c>
      <c r="J41" s="166">
        <f t="shared" si="1"/>
        <v>-8.6689343512059924E-2</v>
      </c>
      <c r="K41" s="163">
        <f>SUM('2020'!G41:H41)</f>
        <v>13622859.85</v>
      </c>
      <c r="L41" s="164">
        <f t="shared" si="7"/>
        <v>-418470.68999999948</v>
      </c>
      <c r="M41" s="166">
        <f t="shared" si="2"/>
        <v>-3.0718270216954391E-2</v>
      </c>
      <c r="N41" s="163">
        <f>'2021'!H41</f>
        <v>6750144.4400000004</v>
      </c>
      <c r="O41" s="163">
        <f>'2021'!H115</f>
        <v>7087097.3600000003</v>
      </c>
      <c r="P41" s="164">
        <f t="shared" si="6"/>
        <v>-336952.91999999993</v>
      </c>
      <c r="Q41" s="166">
        <f t="shared" si="3"/>
        <v>-4.7544559201596726E-2</v>
      </c>
      <c r="R41" s="163">
        <f>'2020'!H41</f>
        <v>7174722.5199999996</v>
      </c>
      <c r="S41" s="164">
        <f t="shared" si="4"/>
        <v>-424578.07999999914</v>
      </c>
      <c r="T41" s="166">
        <f t="shared" si="5"/>
        <v>-5.9176933855833558E-2</v>
      </c>
    </row>
    <row r="42" spans="1:20">
      <c r="A42" s="150">
        <v>422</v>
      </c>
      <c r="B42" s="488" t="str">
        <f>+VLOOKUP($A42,Master!$D$29:$G$225,4,FALSE)</f>
        <v>Sredstva za tehnološke viškove</v>
      </c>
      <c r="C42" s="489"/>
      <c r="D42" s="489"/>
      <c r="E42" s="489"/>
      <c r="F42" s="489"/>
      <c r="G42" s="163">
        <f>'2021'!S42</f>
        <v>1498010</v>
      </c>
      <c r="H42" s="163">
        <f>'2021'!S116</f>
        <v>3326853.6971999998</v>
      </c>
      <c r="I42" s="164">
        <f t="shared" si="0"/>
        <v>-1828843.6971999998</v>
      </c>
      <c r="J42" s="166">
        <f t="shared" si="1"/>
        <v>-0.54972170815302779</v>
      </c>
      <c r="K42" s="163">
        <f>SUM('2020'!G42:H42)</f>
        <v>1661437.6</v>
      </c>
      <c r="L42" s="164">
        <f t="shared" si="7"/>
        <v>-163427.60000000009</v>
      </c>
      <c r="M42" s="166">
        <f t="shared" si="2"/>
        <v>-9.8365174834131652E-2</v>
      </c>
      <c r="N42" s="163">
        <f>'2021'!H42</f>
        <v>1490578.4</v>
      </c>
      <c r="O42" s="163">
        <f>'2021'!H116</f>
        <v>1663426.8485999999</v>
      </c>
      <c r="P42" s="164">
        <f t="shared" si="6"/>
        <v>-172848.4486</v>
      </c>
      <c r="Q42" s="166">
        <f t="shared" si="3"/>
        <v>-0.10391106091949609</v>
      </c>
      <c r="R42" s="163">
        <f>'2020'!H42</f>
        <v>1607182</v>
      </c>
      <c r="S42" s="164">
        <f t="shared" si="4"/>
        <v>-116603.60000000009</v>
      </c>
      <c r="T42" s="166">
        <f t="shared" si="5"/>
        <v>-7.2551584076974485E-2</v>
      </c>
    </row>
    <row r="43" spans="1:20">
      <c r="A43" s="150">
        <v>423</v>
      </c>
      <c r="B43" s="488" t="str">
        <f>+VLOOKUP($A43,Master!$D$29:$G$225,4,FALSE)</f>
        <v>Prava iz oblasti penzijskog i invalidskog osiguranja</v>
      </c>
      <c r="C43" s="489"/>
      <c r="D43" s="489"/>
      <c r="E43" s="489"/>
      <c r="F43" s="489"/>
      <c r="G43" s="163">
        <f>'2021'!S43</f>
        <v>72129049.040000007</v>
      </c>
      <c r="H43" s="163">
        <f>'2021'!S117</f>
        <v>74569087.315699995</v>
      </c>
      <c r="I43" s="164">
        <f t="shared" si="0"/>
        <v>-2440038.275699988</v>
      </c>
      <c r="J43" s="166">
        <f t="shared" si="1"/>
        <v>-3.2721847129088544E-2</v>
      </c>
      <c r="K43" s="163">
        <f>SUM('2020'!G43:H43)</f>
        <v>71361148.687999994</v>
      </c>
      <c r="L43" s="164">
        <f t="shared" si="7"/>
        <v>767900.35200001299</v>
      </c>
      <c r="M43" s="166">
        <f t="shared" si="2"/>
        <v>1.0760762209103047E-2</v>
      </c>
      <c r="N43" s="163">
        <f>'2021'!H43</f>
        <v>36247440.840000004</v>
      </c>
      <c r="O43" s="163">
        <f>'2021'!H117</f>
        <v>37284543.462099999</v>
      </c>
      <c r="P43" s="164">
        <f t="shared" si="6"/>
        <v>-1037102.6220999956</v>
      </c>
      <c r="Q43" s="166">
        <f t="shared" si="3"/>
        <v>-2.781588631101839E-2</v>
      </c>
      <c r="R43" s="163">
        <f>'2020'!H43</f>
        <v>36248365.684</v>
      </c>
      <c r="S43" s="164">
        <f t="shared" si="4"/>
        <v>-924.84399999678135</v>
      </c>
      <c r="T43" s="166">
        <f t="shared" si="5"/>
        <v>-2.5514088222933218E-5</v>
      </c>
    </row>
    <row r="44" spans="1:20">
      <c r="A44" s="150">
        <v>424</v>
      </c>
      <c r="B44" s="488" t="str">
        <f>+VLOOKUP($A44,Master!$D$29:$G$225,4,FALSE)</f>
        <v>Ostala prava iz oblasti zdravstvene zaštite</v>
      </c>
      <c r="C44" s="489"/>
      <c r="D44" s="489"/>
      <c r="E44" s="489"/>
      <c r="F44" s="489"/>
      <c r="G44" s="163">
        <f>'2021'!S44</f>
        <v>1976891.77</v>
      </c>
      <c r="H44" s="163">
        <f>'2021'!S118</f>
        <v>3515400.1673999997</v>
      </c>
      <c r="I44" s="164">
        <f t="shared" si="0"/>
        <v>-1538508.3973999997</v>
      </c>
      <c r="J44" s="166">
        <f t="shared" si="1"/>
        <v>-0.43764815501442189</v>
      </c>
      <c r="K44" s="163">
        <f>SUM('2020'!G44:H44)</f>
        <v>3452817.48</v>
      </c>
      <c r="L44" s="164">
        <f t="shared" si="7"/>
        <v>-1475925.71</v>
      </c>
      <c r="M44" s="166">
        <f t="shared" si="2"/>
        <v>-0.42745546746942442</v>
      </c>
      <c r="N44" s="163">
        <f>'2021'!H44</f>
        <v>1147931.58</v>
      </c>
      <c r="O44" s="163">
        <f>'2021'!H118</f>
        <v>1757700.0836999998</v>
      </c>
      <c r="P44" s="164">
        <f t="shared" si="6"/>
        <v>-609768.50369999977</v>
      </c>
      <c r="Q44" s="166">
        <f t="shared" si="3"/>
        <v>-0.34691271244433397</v>
      </c>
      <c r="R44" s="163">
        <f>'2020'!H44</f>
        <v>1831428.58</v>
      </c>
      <c r="S44" s="164">
        <f t="shared" si="4"/>
        <v>-683497</v>
      </c>
      <c r="T44" s="166">
        <f t="shared" si="5"/>
        <v>-0.37320428842494091</v>
      </c>
    </row>
    <row r="45" spans="1:20">
      <c r="A45" s="150">
        <v>425</v>
      </c>
      <c r="B45" s="488" t="str">
        <f>+VLOOKUP($A45,Master!$D$29:$G$225,4,FALSE)</f>
        <v>Ostala prava iz zdravstvenog osiguranja</v>
      </c>
      <c r="C45" s="489"/>
      <c r="D45" s="489"/>
      <c r="E45" s="489"/>
      <c r="F45" s="489"/>
      <c r="G45" s="163">
        <f>'2021'!S45</f>
        <v>812290.64</v>
      </c>
      <c r="H45" s="163">
        <f>'2021'!S119</f>
        <v>2012985.1673999999</v>
      </c>
      <c r="I45" s="164">
        <f t="shared" si="0"/>
        <v>-1200694.5274</v>
      </c>
      <c r="J45" s="166">
        <f t="shared" si="1"/>
        <v>-0.59647460241887118</v>
      </c>
      <c r="K45" s="163">
        <f>SUM('2020'!G45:H45)</f>
        <v>1584139.69</v>
      </c>
      <c r="L45" s="164">
        <f t="shared" si="7"/>
        <v>-771849.04999999993</v>
      </c>
      <c r="M45" s="166">
        <f t="shared" si="2"/>
        <v>-0.48723547227075659</v>
      </c>
      <c r="N45" s="163">
        <f>'2021'!H45</f>
        <v>198574.09</v>
      </c>
      <c r="O45" s="163">
        <f>'2021'!H119</f>
        <v>1006492.5837</v>
      </c>
      <c r="P45" s="164">
        <f t="shared" si="6"/>
        <v>-807918.49369999999</v>
      </c>
      <c r="Q45" s="166">
        <f t="shared" si="3"/>
        <v>-0.80270685227504079</v>
      </c>
      <c r="R45" s="163">
        <f>'2020'!H45</f>
        <v>838710.44</v>
      </c>
      <c r="S45" s="164">
        <f t="shared" si="4"/>
        <v>-640136.35</v>
      </c>
      <c r="T45" s="166">
        <f t="shared" si="5"/>
        <v>-0.76323880027056767</v>
      </c>
    </row>
    <row r="46" spans="1:20">
      <c r="A46" s="150">
        <v>43</v>
      </c>
      <c r="B46" s="502" t="str">
        <f>+VLOOKUP($A46,Master!$D$29:$G$225,4,FALSE)</f>
        <v xml:space="preserve">Transferi institucijama, pojedincima, nevladinom i javnom sektoru </v>
      </c>
      <c r="C46" s="503"/>
      <c r="D46" s="503"/>
      <c r="E46" s="503"/>
      <c r="F46" s="503"/>
      <c r="G46" s="175">
        <f>'2021'!S46</f>
        <v>33482863.609999999</v>
      </c>
      <c r="H46" s="175">
        <f>'2021'!S120</f>
        <v>47914043.464200005</v>
      </c>
      <c r="I46" s="176">
        <f t="shared" si="0"/>
        <v>-14431179.854200006</v>
      </c>
      <c r="J46" s="178">
        <f t="shared" si="1"/>
        <v>-0.30118893774812738</v>
      </c>
      <c r="K46" s="175">
        <f>SUM('2020'!G46:H46)</f>
        <v>47546315.799999997</v>
      </c>
      <c r="L46" s="176">
        <f t="shared" si="7"/>
        <v>-14063452.189999998</v>
      </c>
      <c r="M46" s="178">
        <f t="shared" si="2"/>
        <v>-0.29578426747420039</v>
      </c>
      <c r="N46" s="175">
        <f>'2021'!H46</f>
        <v>21090087.879999999</v>
      </c>
      <c r="O46" s="175">
        <f>'2021'!H120</f>
        <v>26791916.465900004</v>
      </c>
      <c r="P46" s="176">
        <f t="shared" si="6"/>
        <v>-5701828.585900005</v>
      </c>
      <c r="Q46" s="178">
        <f t="shared" si="3"/>
        <v>-0.21281898938275401</v>
      </c>
      <c r="R46" s="175">
        <f>'2020'!H46</f>
        <v>23914749.120000001</v>
      </c>
      <c r="S46" s="176">
        <f t="shared" si="4"/>
        <v>-2824661.2400000021</v>
      </c>
      <c r="T46" s="178">
        <f t="shared" si="5"/>
        <v>-0.11811377262735856</v>
      </c>
    </row>
    <row r="47" spans="1:20">
      <c r="A47" s="150">
        <v>44</v>
      </c>
      <c r="B47" s="502" t="str">
        <f>+VLOOKUP($A47,Master!$D$29:$G$225,4,FALSE)</f>
        <v>Kapitalni izdaci</v>
      </c>
      <c r="C47" s="503"/>
      <c r="D47" s="503"/>
      <c r="E47" s="503"/>
      <c r="F47" s="503"/>
      <c r="G47" s="175">
        <f>'2021'!S47</f>
        <v>16177828.550000001</v>
      </c>
      <c r="H47" s="175">
        <f>'2021'!S121</f>
        <v>31455995.971700002</v>
      </c>
      <c r="I47" s="176">
        <f t="shared" si="0"/>
        <v>-15278167.421700001</v>
      </c>
      <c r="J47" s="178">
        <f t="shared" si="1"/>
        <v>-0.48569968776208206</v>
      </c>
      <c r="K47" s="175">
        <f>SUM('2020'!G47:H47)</f>
        <v>13062896.77</v>
      </c>
      <c r="L47" s="176">
        <f t="shared" si="7"/>
        <v>3114931.7800000012</v>
      </c>
      <c r="M47" s="178">
        <f t="shared" si="2"/>
        <v>0.2384564338863715</v>
      </c>
      <c r="N47" s="175">
        <f>'2021'!H47</f>
        <v>4574318.42</v>
      </c>
      <c r="O47" s="175">
        <f>'2021'!H121</f>
        <v>16188480.221700002</v>
      </c>
      <c r="P47" s="176">
        <f t="shared" si="6"/>
        <v>-11614161.801700002</v>
      </c>
      <c r="Q47" s="178">
        <f t="shared" si="3"/>
        <v>-0.71743373328718585</v>
      </c>
      <c r="R47" s="175">
        <f>'2020'!H47</f>
        <v>8910217.8200000003</v>
      </c>
      <c r="S47" s="176">
        <f t="shared" si="4"/>
        <v>-4335899.4000000004</v>
      </c>
      <c r="T47" s="178">
        <f t="shared" si="5"/>
        <v>-0.48662103301981907</v>
      </c>
    </row>
    <row r="48" spans="1:20">
      <c r="A48" s="150">
        <v>451</v>
      </c>
      <c r="B48" s="506" t="str">
        <f>+VLOOKUP($A48,Master!$D$29:$G$225,4,FALSE)</f>
        <v>Pozajmice i krediti</v>
      </c>
      <c r="C48" s="507"/>
      <c r="D48" s="507"/>
      <c r="E48" s="507"/>
      <c r="F48" s="507"/>
      <c r="G48" s="163">
        <f>'2021'!S48</f>
        <v>259894</v>
      </c>
      <c r="H48" s="163">
        <f>'2021'!S122</f>
        <v>277127.33480000001</v>
      </c>
      <c r="I48" s="164">
        <f>G48-H48</f>
        <v>-17233.334800000011</v>
      </c>
      <c r="J48" s="282">
        <f t="shared" si="1"/>
        <v>-6.2185618796634201E-2</v>
      </c>
      <c r="K48" s="163">
        <f>SUM('2020'!G48:H48)</f>
        <v>277634</v>
      </c>
      <c r="L48" s="279">
        <f t="shared" si="7"/>
        <v>-17740</v>
      </c>
      <c r="M48" s="282">
        <f t="shared" si="2"/>
        <v>-6.3897073125049553E-2</v>
      </c>
      <c r="N48" s="163">
        <f>'2021'!H48</f>
        <v>259894</v>
      </c>
      <c r="O48" s="163">
        <f>'2021'!H122</f>
        <v>142881.16740000001</v>
      </c>
      <c r="P48" s="164">
        <f t="shared" si="6"/>
        <v>117012.83259999999</v>
      </c>
      <c r="Q48" s="282">
        <f t="shared" si="3"/>
        <v>0.81895210355063197</v>
      </c>
      <c r="R48" s="163">
        <f>'2020'!H48</f>
        <v>277634</v>
      </c>
      <c r="S48" s="279">
        <f t="shared" si="4"/>
        <v>-17740</v>
      </c>
      <c r="T48" s="282">
        <f t="shared" si="5"/>
        <v>-6.3897073125049553E-2</v>
      </c>
    </row>
    <row r="49" spans="1:23">
      <c r="A49" s="150">
        <v>47</v>
      </c>
      <c r="B49" s="506" t="str">
        <f>+VLOOKUP($A49,Master!$D$29:$G$225,4,FALSE)</f>
        <v>Rezerve</v>
      </c>
      <c r="C49" s="507"/>
      <c r="D49" s="507"/>
      <c r="E49" s="507"/>
      <c r="F49" s="507"/>
      <c r="G49" s="163">
        <f>'2021'!S49</f>
        <v>24282119.879999999</v>
      </c>
      <c r="H49" s="163">
        <f>'2021'!S123</f>
        <v>31478211.52</v>
      </c>
      <c r="I49" s="164">
        <f t="shared" ref="I49:I50" si="8">G49-H49</f>
        <v>-7196091.6400000006</v>
      </c>
      <c r="J49" s="283">
        <f t="shared" si="1"/>
        <v>-0.22860547955298827</v>
      </c>
      <c r="K49" s="163">
        <f>SUM('2020'!G49:H49)</f>
        <v>2661194</v>
      </c>
      <c r="L49" s="280">
        <f t="shared" si="7"/>
        <v>21620925.879999999</v>
      </c>
      <c r="M49" s="283" t="str">
        <f t="shared" si="2"/>
        <v>...</v>
      </c>
      <c r="N49" s="163">
        <f>'2021'!H49</f>
        <v>20728264.5</v>
      </c>
      <c r="O49" s="163">
        <f>'2021'!H123</f>
        <v>5314577.66</v>
      </c>
      <c r="P49" s="164">
        <f t="shared" si="6"/>
        <v>15413686.84</v>
      </c>
      <c r="Q49" s="283" t="str">
        <f t="shared" si="3"/>
        <v>...</v>
      </c>
      <c r="R49" s="163">
        <f>'2020'!H49</f>
        <v>720000</v>
      </c>
      <c r="S49" s="280">
        <f t="shared" si="4"/>
        <v>20008264.5</v>
      </c>
      <c r="T49" s="283" t="str">
        <f t="shared" si="5"/>
        <v>...</v>
      </c>
      <c r="W49" s="345"/>
    </row>
    <row r="50" spans="1:23" ht="15.75" thickBot="1">
      <c r="A50" s="150">
        <v>462</v>
      </c>
      <c r="B50" s="508" t="str">
        <f>+VLOOKUP($A50,Master!$D$29:$G$225,4,FALSE)</f>
        <v>Otplata garancija</v>
      </c>
      <c r="C50" s="509"/>
      <c r="D50" s="509"/>
      <c r="E50" s="509"/>
      <c r="F50" s="509"/>
      <c r="G50" s="163">
        <f>'2021'!S50</f>
        <v>3836366.14</v>
      </c>
      <c r="H50" s="163">
        <f>'2021'!S124</f>
        <v>3856366.14</v>
      </c>
      <c r="I50" s="164">
        <f t="shared" si="8"/>
        <v>-20000</v>
      </c>
      <c r="J50" s="284">
        <f t="shared" si="1"/>
        <v>-5.1862295419905502E-3</v>
      </c>
      <c r="K50" s="163">
        <f>SUM('2020'!G50:H50)</f>
        <v>0</v>
      </c>
      <c r="L50" s="280">
        <f t="shared" si="7"/>
        <v>3836366.14</v>
      </c>
      <c r="M50" s="284" t="str">
        <f t="shared" si="2"/>
        <v>...</v>
      </c>
      <c r="N50" s="163">
        <f>'2021'!H50</f>
        <v>0</v>
      </c>
      <c r="O50" s="163">
        <f>'2021'!H124</f>
        <v>20000</v>
      </c>
      <c r="P50" s="164">
        <f t="shared" si="6"/>
        <v>-20000</v>
      </c>
      <c r="Q50" s="284">
        <f t="shared" si="3"/>
        <v>-1</v>
      </c>
      <c r="R50" s="163">
        <f>'2020'!H50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08" t="str">
        <f>+VLOOKUP($A51,Master!$D$29:$G$225,4,FALSE)</f>
        <v>Otplata obaveza iz prethodnog perioda</v>
      </c>
      <c r="C51" s="509"/>
      <c r="D51" s="509"/>
      <c r="E51" s="509"/>
      <c r="F51" s="509"/>
      <c r="G51" s="314">
        <f>'2021'!S51</f>
        <v>2661227.9299999997</v>
      </c>
      <c r="H51" s="314">
        <f>'2021'!S125</f>
        <v>4246854.3692999929</v>
      </c>
      <c r="I51" s="281">
        <f>G51-H51</f>
        <v>-1585626.4392999932</v>
      </c>
      <c r="J51" s="285">
        <f t="shared" si="1"/>
        <v>-0.37336491940065075</v>
      </c>
      <c r="K51" s="314">
        <f>SUM('2020'!G51:H51)</f>
        <v>3156122.71</v>
      </c>
      <c r="L51" s="287">
        <f t="shared" si="7"/>
        <v>-494894.78000000026</v>
      </c>
      <c r="M51" s="285">
        <f t="shared" si="2"/>
        <v>-0.15680466999332865</v>
      </c>
      <c r="N51" s="314">
        <f>'2021'!H51</f>
        <v>1642283.23</v>
      </c>
      <c r="O51" s="314">
        <f>'2021'!H125</f>
        <v>2656778.3092999929</v>
      </c>
      <c r="P51" s="281">
        <f>N51-O51</f>
        <v>-1014495.0792999929</v>
      </c>
      <c r="Q51" s="285">
        <f t="shared" si="3"/>
        <v>-0.38185161168652104</v>
      </c>
      <c r="R51" s="314">
        <f>'2020'!H51</f>
        <v>1922034.51</v>
      </c>
      <c r="S51" s="287">
        <f>+N51-R51</f>
        <v>-279751.28000000003</v>
      </c>
      <c r="T51" s="285">
        <f t="shared" si="5"/>
        <v>-0.14554956143841558</v>
      </c>
    </row>
    <row r="52" spans="1:23" ht="15.75" thickBot="1">
      <c r="A52" s="144">
        <v>1005</v>
      </c>
      <c r="B52" s="508" t="str">
        <f>+VLOOKUP($A52,Master!$D$29:$G$227,4,FALSE)</f>
        <v>Neto povećanje obaveza</v>
      </c>
      <c r="C52" s="509"/>
      <c r="D52" s="509"/>
      <c r="E52" s="509"/>
      <c r="F52" s="509"/>
      <c r="G52" s="163">
        <f>'2021'!S52</f>
        <v>0</v>
      </c>
      <c r="H52" s="163">
        <f>'2021'!S126</f>
        <v>0</v>
      </c>
      <c r="I52" s="281">
        <f>G52-H52</f>
        <v>0</v>
      </c>
      <c r="J52" s="285" t="str">
        <f t="shared" si="1"/>
        <v>...</v>
      </c>
      <c r="K52" s="163">
        <f>SUM('2020'!G52:H52)</f>
        <v>0</v>
      </c>
      <c r="L52" s="287">
        <f t="shared" si="7"/>
        <v>0</v>
      </c>
      <c r="M52" s="285" t="str">
        <f t="shared" si="2"/>
        <v>...</v>
      </c>
      <c r="N52" s="163">
        <f>'2021'!H52</f>
        <v>0</v>
      </c>
      <c r="O52" s="163">
        <f>'2021'!H126</f>
        <v>0</v>
      </c>
      <c r="P52" s="281">
        <f>N52-O52</f>
        <v>0</v>
      </c>
      <c r="Q52" s="285" t="str">
        <f t="shared" si="3"/>
        <v>...</v>
      </c>
      <c r="R52" s="163">
        <f>'2020'!H52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10" t="str">
        <f>+VLOOKUP($A53,Master!$D$29:$G$225,4,FALSE)</f>
        <v>Suficit / deficit</v>
      </c>
      <c r="C53" s="511"/>
      <c r="D53" s="511"/>
      <c r="E53" s="511"/>
      <c r="F53" s="511"/>
      <c r="G53" s="151">
        <f>'2021'!S53</f>
        <v>-90180918.840000018</v>
      </c>
      <c r="H53" s="151">
        <f>'2021'!S127</f>
        <v>-161505884.52447021</v>
      </c>
      <c r="I53" s="321">
        <f>+G53-H53</f>
        <v>71324965.684470192</v>
      </c>
      <c r="J53" s="286">
        <f t="shared" si="1"/>
        <v>-0.44162456305834197</v>
      </c>
      <c r="K53" s="151">
        <f>SUM('2020'!G53:H53)</f>
        <v>-60165087.018000022</v>
      </c>
      <c r="L53" s="288">
        <f t="shared" si="7"/>
        <v>-30015831.821999997</v>
      </c>
      <c r="M53" s="286">
        <f t="shared" si="2"/>
        <v>0.49889118938729271</v>
      </c>
      <c r="N53" s="151">
        <f>'2021'!H53</f>
        <v>-51423255.940000027</v>
      </c>
      <c r="O53" s="151">
        <f>'2021'!H127</f>
        <v>-62778309.733188093</v>
      </c>
      <c r="P53" s="321">
        <f>N53-O53</f>
        <v>11355053.793188065</v>
      </c>
      <c r="Q53" s="286">
        <f t="shared" si="3"/>
        <v>-0.18087543040658127</v>
      </c>
      <c r="R53" s="151">
        <f>'2020'!H53</f>
        <v>-25881113.184000015</v>
      </c>
      <c r="S53" s="288">
        <f t="shared" si="4"/>
        <v>-25542142.756000012</v>
      </c>
      <c r="T53" s="286">
        <f t="shared" si="5"/>
        <v>0.98690278792917008</v>
      </c>
    </row>
    <row r="54" spans="1:23" ht="15.75" thickBot="1">
      <c r="A54" s="144">
        <v>1001</v>
      </c>
      <c r="B54" s="512" t="str">
        <f>+VLOOKUP($A54,Master!$D$29:$G$225,4,FALSE)</f>
        <v>Primarni suficit/deficit</v>
      </c>
      <c r="C54" s="513"/>
      <c r="D54" s="513"/>
      <c r="E54" s="513"/>
      <c r="F54" s="513"/>
      <c r="G54" s="151">
        <f>'2021'!S54</f>
        <v>-80747432.390000015</v>
      </c>
      <c r="H54" s="151">
        <f>'2021'!S128</f>
        <v>-152438723.56637022</v>
      </c>
      <c r="I54" s="206">
        <f t="shared" si="0"/>
        <v>71691291.176370203</v>
      </c>
      <c r="J54" s="208">
        <f t="shared" si="1"/>
        <v>-0.47029579820088541</v>
      </c>
      <c r="K54" s="151">
        <f>SUM('2020'!G54:H54)</f>
        <v>-50670439.748000026</v>
      </c>
      <c r="L54" s="206">
        <f t="shared" si="7"/>
        <v>-30076992.64199999</v>
      </c>
      <c r="M54" s="208">
        <f t="shared" si="2"/>
        <v>0.59358065159059792</v>
      </c>
      <c r="N54" s="151">
        <f>'2021'!H54</f>
        <v>-49567926.600000024</v>
      </c>
      <c r="O54" s="151">
        <f>'2021'!H128</f>
        <v>-61599552.579688095</v>
      </c>
      <c r="P54" s="206">
        <f t="shared" si="6"/>
        <v>12031625.979688071</v>
      </c>
      <c r="Q54" s="208">
        <f t="shared" si="3"/>
        <v>-0.19532002223755429</v>
      </c>
      <c r="R54" s="151">
        <f>'2020'!H54</f>
        <v>-24041311.304000016</v>
      </c>
      <c r="S54" s="206">
        <f t="shared" si="4"/>
        <v>-25526615.296000008</v>
      </c>
      <c r="T54" s="208">
        <f t="shared" si="5"/>
        <v>1.0617813218762682</v>
      </c>
    </row>
    <row r="55" spans="1:23">
      <c r="A55" s="144">
        <v>46</v>
      </c>
      <c r="B55" s="504" t="str">
        <f>+VLOOKUP($A55,Master!$D$29:$G$225,4,FALSE)</f>
        <v>Otplata dugova</v>
      </c>
      <c r="C55" s="505"/>
      <c r="D55" s="505"/>
      <c r="E55" s="505"/>
      <c r="F55" s="505"/>
      <c r="G55" s="157">
        <f>'2021'!S55</f>
        <v>47585790.170000002</v>
      </c>
      <c r="H55" s="157">
        <f>'2021'!S129</f>
        <v>33222936</v>
      </c>
      <c r="I55" s="194">
        <f t="shared" si="0"/>
        <v>14362854.170000002</v>
      </c>
      <c r="J55" s="196">
        <f t="shared" si="1"/>
        <v>0.4323174258289515</v>
      </c>
      <c r="K55" s="157">
        <f>SUM('2020'!G55:H55)</f>
        <v>89892016.030000001</v>
      </c>
      <c r="L55" s="194">
        <f t="shared" si="7"/>
        <v>-42306225.859999999</v>
      </c>
      <c r="M55" s="196">
        <f t="shared" si="2"/>
        <v>-0.47063385302072858</v>
      </c>
      <c r="N55" s="157">
        <f>'2021'!H55</f>
        <v>24255021.350000001</v>
      </c>
      <c r="O55" s="157">
        <f>'2021'!H129</f>
        <v>16107433</v>
      </c>
      <c r="P55" s="194">
        <f t="shared" si="6"/>
        <v>8147588.3500000015</v>
      </c>
      <c r="Q55" s="196">
        <f t="shared" si="3"/>
        <v>0.5058278591008265</v>
      </c>
      <c r="R55" s="157">
        <f>'2020'!H55</f>
        <v>65365822.75</v>
      </c>
      <c r="S55" s="194">
        <f t="shared" si="4"/>
        <v>-41110801.399999999</v>
      </c>
      <c r="T55" s="196">
        <f t="shared" si="5"/>
        <v>-0.62893419940927764</v>
      </c>
    </row>
    <row r="56" spans="1:23">
      <c r="A56" s="144">
        <v>4611</v>
      </c>
      <c r="B56" s="530" t="str">
        <f>+VLOOKUP($A56,Master!$D$29:$G$225,4,FALSE)</f>
        <v>Otplata hartija od vrijednosti i kredita rezidentima</v>
      </c>
      <c r="C56" s="531"/>
      <c r="D56" s="531"/>
      <c r="E56" s="531"/>
      <c r="F56" s="531"/>
      <c r="G56" s="163">
        <f>'2021'!S56</f>
        <v>35434429.810000002</v>
      </c>
      <c r="H56" s="163">
        <f>'2021'!S130</f>
        <v>15165199</v>
      </c>
      <c r="I56" s="212">
        <f t="shared" si="0"/>
        <v>20269230.810000002</v>
      </c>
      <c r="J56" s="214">
        <f t="shared" si="1"/>
        <v>1.3365621387493829</v>
      </c>
      <c r="K56" s="163">
        <f>SUM('2020'!G56:H56)</f>
        <v>77931267.969999999</v>
      </c>
      <c r="L56" s="212">
        <f t="shared" si="7"/>
        <v>-42496838.159999996</v>
      </c>
      <c r="M56" s="214">
        <f t="shared" si="2"/>
        <v>-0.54531177622259852</v>
      </c>
      <c r="N56" s="163">
        <f>'2021'!H56</f>
        <v>13534429.810000001</v>
      </c>
      <c r="O56" s="163">
        <f>'2021'!H130</f>
        <v>13534430</v>
      </c>
      <c r="P56" s="212">
        <f t="shared" si="6"/>
        <v>-0.18999999947845936</v>
      </c>
      <c r="Q56" s="214">
        <f t="shared" si="3"/>
        <v>-1.4038271212157838E-8</v>
      </c>
      <c r="R56" s="163">
        <f>'2020'!H56</f>
        <v>54840868.399999999</v>
      </c>
      <c r="S56" s="212">
        <f t="shared" si="4"/>
        <v>-41306438.589999996</v>
      </c>
      <c r="T56" s="214">
        <f t="shared" si="5"/>
        <v>-0.75320540675464576</v>
      </c>
    </row>
    <row r="57" spans="1:23">
      <c r="A57" s="144">
        <v>4612</v>
      </c>
      <c r="B57" s="506" t="str">
        <f>+VLOOKUP($A57,Master!$D$29:$G$225,4,FALSE)</f>
        <v>Otplata hartija od vrijednosti i kredita nerezidentima</v>
      </c>
      <c r="C57" s="507"/>
      <c r="D57" s="507"/>
      <c r="E57" s="507"/>
      <c r="F57" s="507"/>
      <c r="G57" s="163">
        <f>'2021'!S57</f>
        <v>12151360.359999999</v>
      </c>
      <c r="H57" s="163">
        <f>'2021'!S131</f>
        <v>18057737</v>
      </c>
      <c r="I57" s="212">
        <f t="shared" si="0"/>
        <v>-5906376.6400000006</v>
      </c>
      <c r="J57" s="214">
        <f t="shared" si="1"/>
        <v>-0.32708288087261439</v>
      </c>
      <c r="K57" s="163">
        <f>SUM('2020'!G57:H57)</f>
        <v>11960748.059999999</v>
      </c>
      <c r="L57" s="212">
        <f t="shared" si="7"/>
        <v>190612.30000000075</v>
      </c>
      <c r="M57" s="214">
        <f t="shared" si="2"/>
        <v>1.5936486500995661E-2</v>
      </c>
      <c r="N57" s="163">
        <f>'2021'!H57</f>
        <v>10720591.539999999</v>
      </c>
      <c r="O57" s="163">
        <f>'2021'!H131</f>
        <v>2573003</v>
      </c>
      <c r="P57" s="212">
        <f t="shared" si="6"/>
        <v>8147588.5399999991</v>
      </c>
      <c r="Q57" s="214" t="str">
        <f t="shared" si="3"/>
        <v>...</v>
      </c>
      <c r="R57" s="163">
        <f>'2020'!H57</f>
        <v>10524954.35</v>
      </c>
      <c r="S57" s="212">
        <f t="shared" si="4"/>
        <v>195637.18999999948</v>
      </c>
      <c r="T57" s="214">
        <f t="shared" si="5"/>
        <v>1.8587937153380585E-2</v>
      </c>
    </row>
    <row r="58" spans="1:23" ht="15.75" thickBot="1">
      <c r="A58" s="144">
        <v>4418</v>
      </c>
      <c r="B58" s="504" t="str">
        <f>+VLOOKUP($A58,Master!$D$29:$G$225,4,FALSE)</f>
        <v>Izdaci za kupovinu hartija od vrijednosti</v>
      </c>
      <c r="C58" s="505"/>
      <c r="D58" s="505"/>
      <c r="E58" s="505"/>
      <c r="F58" s="505"/>
      <c r="G58" s="336">
        <f>'2021'!S58</f>
        <v>0</v>
      </c>
      <c r="H58" s="336">
        <f>'2021'!S132</f>
        <v>536784</v>
      </c>
      <c r="I58" s="337">
        <f t="shared" ref="I58:I64" si="9">+G58-H58</f>
        <v>-536784</v>
      </c>
      <c r="J58" s="338">
        <f t="shared" si="1"/>
        <v>-1</v>
      </c>
      <c r="K58" s="336">
        <f>SUM('2020'!G58:H58)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'2021'!H58</f>
        <v>0</v>
      </c>
      <c r="O58" s="336">
        <f>'2021'!H132</f>
        <v>13392</v>
      </c>
      <c r="P58" s="337">
        <f t="shared" ref="P58:P64" si="11">+N58-O58</f>
        <v>-13392</v>
      </c>
      <c r="Q58" s="338">
        <f t="shared" si="3"/>
        <v>-1</v>
      </c>
      <c r="R58" s="336">
        <f>'2020'!H58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32" t="str">
        <f>+VLOOKUP($A59,Master!$D$29:$G$225,4,FALSE)</f>
        <v>Nedostajuća sredstva</v>
      </c>
      <c r="C59" s="533"/>
      <c r="D59" s="533"/>
      <c r="E59" s="533"/>
      <c r="F59" s="533"/>
      <c r="G59" s="320">
        <f>'2021'!S59</f>
        <v>-137766709.01000002</v>
      </c>
      <c r="H59" s="320">
        <f>'2021'!S133</f>
        <v>-195265604.52447021</v>
      </c>
      <c r="I59" s="322">
        <f t="shared" si="9"/>
        <v>57498895.51447019</v>
      </c>
      <c r="J59" s="323">
        <f t="shared" si="1"/>
        <v>-0.29446504751564972</v>
      </c>
      <c r="K59" s="320">
        <f>SUM('2020'!G59:H59)</f>
        <v>-150057103.04800004</v>
      </c>
      <c r="L59" s="322">
        <f t="shared" si="10"/>
        <v>12290394.038000017</v>
      </c>
      <c r="M59" s="323">
        <f t="shared" si="2"/>
        <v>-8.1904780169377189E-2</v>
      </c>
      <c r="N59" s="320">
        <f>'2021'!H59</f>
        <v>-75678277.290000021</v>
      </c>
      <c r="O59" s="320">
        <f>'2021'!H133</f>
        <v>-78899134.733188093</v>
      </c>
      <c r="P59" s="322">
        <f t="shared" si="11"/>
        <v>3220857.4431880713</v>
      </c>
      <c r="Q59" s="323">
        <f t="shared" si="3"/>
        <v>-4.0822468510966492E-2</v>
      </c>
      <c r="R59" s="320">
        <f>'2020'!H59</f>
        <v>-91246935.934000015</v>
      </c>
      <c r="S59" s="322">
        <f t="shared" si="12"/>
        <v>15568658.643999994</v>
      </c>
      <c r="T59" s="323">
        <f t="shared" si="5"/>
        <v>-0.17062116644947933</v>
      </c>
    </row>
    <row r="60" spans="1:23" ht="15.75" thickBot="1">
      <c r="A60" s="144">
        <v>1003</v>
      </c>
      <c r="B60" s="496" t="str">
        <f>+VLOOKUP($A60,Master!$D$29:$G$225,4,FALSE)</f>
        <v>Finansiranje</v>
      </c>
      <c r="C60" s="497"/>
      <c r="D60" s="497"/>
      <c r="E60" s="497"/>
      <c r="F60" s="497"/>
      <c r="G60" s="151">
        <f>'2021'!S60</f>
        <v>137766709.01000002</v>
      </c>
      <c r="H60" s="151">
        <f>'2021'!S134</f>
        <v>195265604.52447021</v>
      </c>
      <c r="I60" s="321">
        <f t="shared" si="9"/>
        <v>-57498895.51447019</v>
      </c>
      <c r="J60" s="324">
        <f t="shared" si="1"/>
        <v>-0.29446504751564972</v>
      </c>
      <c r="K60" s="151">
        <f>SUM('2020'!G60:H60)</f>
        <v>150057103.04800004</v>
      </c>
      <c r="L60" s="321">
        <f t="shared" si="10"/>
        <v>-12290394.038000017</v>
      </c>
      <c r="M60" s="324">
        <f t="shared" si="2"/>
        <v>-8.1904780169377189E-2</v>
      </c>
      <c r="N60" s="151">
        <f>'2021'!H60</f>
        <v>75678277.290000021</v>
      </c>
      <c r="O60" s="151">
        <f>'2021'!H134</f>
        <v>78899134.733188093</v>
      </c>
      <c r="P60" s="321">
        <f t="shared" si="11"/>
        <v>-3220857.4431880713</v>
      </c>
      <c r="Q60" s="324">
        <f t="shared" si="3"/>
        <v>-4.0822468510966492E-2</v>
      </c>
      <c r="R60" s="151">
        <f>'2020'!H60</f>
        <v>91246935.934000015</v>
      </c>
      <c r="S60" s="321">
        <f t="shared" si="12"/>
        <v>-15568658.643999994</v>
      </c>
      <c r="T60" s="324">
        <f t="shared" si="5"/>
        <v>-0.17062116644947933</v>
      </c>
    </row>
    <row r="61" spans="1:23">
      <c r="A61" s="144">
        <v>7511</v>
      </c>
      <c r="B61" s="530" t="str">
        <f>+VLOOKUP($A61,Master!$D$29:$G$225,4,FALSE)</f>
        <v>Pozajmice i krediti od domaćih izvora</v>
      </c>
      <c r="C61" s="531"/>
      <c r="D61" s="531"/>
      <c r="E61" s="531"/>
      <c r="F61" s="531"/>
      <c r="G61" s="163">
        <f>'2021'!S61</f>
        <v>0</v>
      </c>
      <c r="H61" s="163">
        <f>'2021'!S135</f>
        <v>0</v>
      </c>
      <c r="I61" s="212">
        <f t="shared" si="9"/>
        <v>0</v>
      </c>
      <c r="J61" s="214" t="str">
        <f t="shared" si="1"/>
        <v>...</v>
      </c>
      <c r="K61" s="163">
        <f>SUM('2020'!G61:H61)</f>
        <v>37900000</v>
      </c>
      <c r="L61" s="212">
        <f t="shared" si="10"/>
        <v>-37900000</v>
      </c>
      <c r="M61" s="214">
        <f t="shared" si="2"/>
        <v>-1</v>
      </c>
      <c r="N61" s="163">
        <f>'2021'!H61</f>
        <v>0</v>
      </c>
      <c r="O61" s="163">
        <f>'2021'!H135</f>
        <v>0</v>
      </c>
      <c r="P61" s="212">
        <f t="shared" si="11"/>
        <v>0</v>
      </c>
      <c r="Q61" s="214" t="str">
        <f t="shared" si="3"/>
        <v>...</v>
      </c>
      <c r="R61" s="163">
        <f>'2020'!H61</f>
        <v>23000000</v>
      </c>
      <c r="S61" s="212">
        <f t="shared" si="12"/>
        <v>-23000000</v>
      </c>
      <c r="T61" s="214">
        <f t="shared" si="5"/>
        <v>-1</v>
      </c>
    </row>
    <row r="62" spans="1:23">
      <c r="A62" s="144">
        <v>7512</v>
      </c>
      <c r="B62" s="506" t="str">
        <f>+VLOOKUP($A62,Master!$D$29:$G$225,4,FALSE)</f>
        <v>Pozajmice i krediti od inostranih izvora</v>
      </c>
      <c r="C62" s="507"/>
      <c r="D62" s="507"/>
      <c r="E62" s="507"/>
      <c r="F62" s="507"/>
      <c r="G62" s="163">
        <f>'2021'!S62</f>
        <v>7514458.6900000004</v>
      </c>
      <c r="H62" s="163">
        <f>'2021'!S136</f>
        <v>7200000</v>
      </c>
      <c r="I62" s="212">
        <f t="shared" si="9"/>
        <v>314458.69000000041</v>
      </c>
      <c r="J62" s="214">
        <f t="shared" si="1"/>
        <v>4.3674818055555509E-2</v>
      </c>
      <c r="K62" s="163">
        <f>SUM('2020'!G62:H62)</f>
        <v>1827701.6</v>
      </c>
      <c r="L62" s="212">
        <f t="shared" si="10"/>
        <v>5686757.0899999999</v>
      </c>
      <c r="M62" s="214" t="str">
        <f t="shared" si="2"/>
        <v>...</v>
      </c>
      <c r="N62" s="163">
        <f>'2021'!H62</f>
        <v>125810.71</v>
      </c>
      <c r="O62" s="163">
        <f>'2021'!H136</f>
        <v>200000</v>
      </c>
      <c r="P62" s="212">
        <f t="shared" si="11"/>
        <v>-74189.289999999994</v>
      </c>
      <c r="Q62" s="214">
        <f t="shared" si="3"/>
        <v>-0.37094644999999993</v>
      </c>
      <c r="R62" s="163">
        <f>'2020'!H62</f>
        <v>1511136.76</v>
      </c>
      <c r="S62" s="212">
        <f t="shared" si="12"/>
        <v>-1385326.05</v>
      </c>
      <c r="T62" s="214">
        <f t="shared" si="5"/>
        <v>-0.91674432564263741</v>
      </c>
    </row>
    <row r="63" spans="1:23">
      <c r="A63" s="144">
        <v>72</v>
      </c>
      <c r="B63" s="506" t="str">
        <f>+VLOOKUP($A63,Master!$D$29:$G$225,4,FALSE)</f>
        <v>Primici od prodaje imovine</v>
      </c>
      <c r="C63" s="507"/>
      <c r="D63" s="507"/>
      <c r="E63" s="507"/>
      <c r="F63" s="507"/>
      <c r="G63" s="163">
        <f>'2021'!S63</f>
        <v>64316.94</v>
      </c>
      <c r="H63" s="163">
        <f>'2021'!S137</f>
        <v>92782.510000000009</v>
      </c>
      <c r="I63" s="212">
        <f t="shared" si="9"/>
        <v>-28465.570000000007</v>
      </c>
      <c r="J63" s="214">
        <f t="shared" si="1"/>
        <v>-0.30679887836619213</v>
      </c>
      <c r="K63" s="163">
        <f>SUM('2020'!G63:H63)</f>
        <v>500770.73</v>
      </c>
      <c r="L63" s="212">
        <f t="shared" si="10"/>
        <v>-436453.79</v>
      </c>
      <c r="M63" s="214">
        <f t="shared" si="2"/>
        <v>-0.87156409880425723</v>
      </c>
      <c r="N63" s="163">
        <f>'2021'!H63</f>
        <v>29568.33</v>
      </c>
      <c r="O63" s="163">
        <f>'2021'!H137</f>
        <v>30000</v>
      </c>
      <c r="P63" s="212">
        <f t="shared" si="11"/>
        <v>-431.66999999999825</v>
      </c>
      <c r="Q63" s="214">
        <f t="shared" si="3"/>
        <v>-1.4388999999999985E-2</v>
      </c>
      <c r="R63" s="163">
        <f>'2020'!H63</f>
        <v>437988.22</v>
      </c>
      <c r="S63" s="212">
        <f t="shared" si="12"/>
        <v>-408419.88999999996</v>
      </c>
      <c r="T63" s="214">
        <f t="shared" si="5"/>
        <v>-0.93249058159600728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8">
        <f>'2021'!S64</f>
        <v>130187933.38</v>
      </c>
      <c r="H64" s="318">
        <f>'2021'!S138</f>
        <v>187972822.01447022</v>
      </c>
      <c r="I64" s="226">
        <f t="shared" si="9"/>
        <v>-57784888.634470224</v>
      </c>
      <c r="J64" s="228">
        <f t="shared" si="1"/>
        <v>-0.30741086937569051</v>
      </c>
      <c r="K64" s="318">
        <f>SUM('2020'!G64:H64)</f>
        <v>109828630.71800002</v>
      </c>
      <c r="L64" s="226">
        <f t="shared" si="10"/>
        <v>20359302.661999971</v>
      </c>
      <c r="M64" s="228">
        <f t="shared" si="2"/>
        <v>0.18537336329244836</v>
      </c>
      <c r="N64" s="318">
        <f>'2021'!H64</f>
        <v>75522898.250000015</v>
      </c>
      <c r="O64" s="318">
        <f>'2021'!H138</f>
        <v>78669134.733188093</v>
      </c>
      <c r="P64" s="226">
        <f t="shared" si="11"/>
        <v>-3146236.4831880778</v>
      </c>
      <c r="Q64" s="228">
        <f t="shared" si="3"/>
        <v>-3.9993276827802404E-2</v>
      </c>
      <c r="R64" s="318">
        <f>'2020'!H64</f>
        <v>66297810.954000011</v>
      </c>
      <c r="S64" s="226">
        <f t="shared" si="12"/>
        <v>9225087.2960000038</v>
      </c>
      <c r="T64" s="228">
        <f t="shared" si="5"/>
        <v>0.1391461824041329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3Pp6X4x+O6Mx+GJ7mZE9ZqPN2e58PAToPirxi9nSfVIPNZVyDMmydZE+bxxxGo+o/OEPIOGzVnjMXCgXdgN6hA==" saltValue="5levMaq9z6VcaPq09Gt1nw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8"/>
  <sheetViews>
    <sheetView zoomScaleNormal="100" workbookViewId="0">
      <pane ySplit="1" topLeftCell="A2" activePane="bottomLeft" state="frozen"/>
      <selection pane="bottomLeft" activeCell="G23" sqref="G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34" t="str">
        <f>+Master!G251</f>
        <v>Ostvarenje budžeta</v>
      </c>
      <c r="C7" s="517"/>
      <c r="D7" s="517"/>
      <c r="E7" s="517"/>
      <c r="F7" s="517"/>
      <c r="G7" s="525">
        <v>2021</v>
      </c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9"/>
      <c r="S7" s="235" t="str">
        <f>+Master!G248</f>
        <v>BDP</v>
      </c>
      <c r="T7" s="236">
        <v>4636600000</v>
      </c>
    </row>
    <row r="8" spans="1:20" ht="16.5" customHeight="1">
      <c r="A8" s="144"/>
      <c r="B8" s="518"/>
      <c r="C8" s="519"/>
      <c r="D8" s="519"/>
      <c r="E8" s="519"/>
      <c r="F8" s="52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5" t="str">
        <f>+Master!G246</f>
        <v>Jan - Dec</v>
      </c>
      <c r="T8" s="529"/>
    </row>
    <row r="9" spans="1:20" ht="13.5" thickBot="1">
      <c r="A9" s="144"/>
      <c r="B9" s="521"/>
      <c r="C9" s="522"/>
      <c r="D9" s="522"/>
      <c r="E9" s="522"/>
      <c r="F9" s="52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484" t="str">
        <f>+VLOOKUP($A10,Master!$D$29:$G$225,4,FALSE)</f>
        <v>Prihodi budžeta</v>
      </c>
      <c r="C10" s="485"/>
      <c r="D10" s="485"/>
      <c r="E10" s="485"/>
      <c r="F10" s="485"/>
      <c r="G10" s="151">
        <f>+G11+G19+SUM(G24:G28)</f>
        <v>88645432.13000001</v>
      </c>
      <c r="H10" s="151">
        <f t="shared" ref="H10:R10" si="1">+H11+H19+SUM(H24:H28)</f>
        <v>105570623.03</v>
      </c>
      <c r="I10" s="151">
        <f t="shared" si="1"/>
        <v>0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194216055.16000003</v>
      </c>
      <c r="T10" s="463">
        <f>+S10/$T$7*100</f>
        <v>4.1887601941077515</v>
      </c>
    </row>
    <row r="11" spans="1:20">
      <c r="A11" s="150">
        <v>711</v>
      </c>
      <c r="B11" s="486" t="str">
        <f>+VLOOKUP($A11,Master!$D$29:$G$225,4,FALSE)</f>
        <v>Porezi</v>
      </c>
      <c r="C11" s="487"/>
      <c r="D11" s="487"/>
      <c r="E11" s="487"/>
      <c r="F11" s="487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0</v>
      </c>
      <c r="J11" s="157">
        <f t="shared" si="2"/>
        <v>0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128846486.86000001</v>
      </c>
      <c r="T11" s="464">
        <f t="shared" ref="T11:T64" si="3">+S11/$T$7*100</f>
        <v>2.7789002040288144</v>
      </c>
    </row>
    <row r="12" spans="1:20">
      <c r="A12" s="150">
        <v>7111</v>
      </c>
      <c r="B12" s="488" t="str">
        <f>+VLOOKUP($A12,Master!$D$29:$G$225,4,FALSE)</f>
        <v>Porez na dohodak fizičkih lica</v>
      </c>
      <c r="C12" s="489"/>
      <c r="D12" s="489"/>
      <c r="E12" s="489"/>
      <c r="F12" s="489"/>
      <c r="G12" s="163">
        <v>3976518.5</v>
      </c>
      <c r="H12" s="163">
        <v>8360437.5599999996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12336956.059999999</v>
      </c>
      <c r="T12" s="465">
        <f t="shared" si="3"/>
        <v>0.26607764439459947</v>
      </c>
    </row>
    <row r="13" spans="1:20">
      <c r="A13" s="150">
        <v>7112</v>
      </c>
      <c r="B13" s="488" t="str">
        <f>+VLOOKUP($A13,Master!$D$29:$G$225,4,FALSE)</f>
        <v>Porez na dobit pravnih lica</v>
      </c>
      <c r="C13" s="489"/>
      <c r="D13" s="489"/>
      <c r="E13" s="489"/>
      <c r="F13" s="489"/>
      <c r="G13" s="163">
        <v>779973.22</v>
      </c>
      <c r="H13" s="163">
        <v>1616177.79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2396151.0099999998</v>
      </c>
      <c r="T13" s="465">
        <f t="shared" si="3"/>
        <v>5.1679053832549705E-2</v>
      </c>
    </row>
    <row r="14" spans="1:20">
      <c r="A14" s="150">
        <v>7113</v>
      </c>
      <c r="B14" s="488" t="str">
        <f>+VLOOKUP($A14,Master!$D$29:$G$225,4,FALSE)</f>
        <v>Porez na promet nepokretnosti</v>
      </c>
      <c r="C14" s="489"/>
      <c r="D14" s="489"/>
      <c r="E14" s="489"/>
      <c r="F14" s="489"/>
      <c r="G14" s="163">
        <v>115386.02</v>
      </c>
      <c r="H14" s="163">
        <v>87272.18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202658.2</v>
      </c>
      <c r="T14" s="465">
        <f t="shared" si="3"/>
        <v>4.3708363887331242E-3</v>
      </c>
    </row>
    <row r="15" spans="1:20">
      <c r="A15" s="150">
        <v>7114</v>
      </c>
      <c r="B15" s="488" t="str">
        <f>+VLOOKUP($A15,Master!$D$29:$G$225,4,FALSE)</f>
        <v>Porez na dodatu vrijednost</v>
      </c>
      <c r="C15" s="489"/>
      <c r="D15" s="489"/>
      <c r="E15" s="489"/>
      <c r="F15" s="489"/>
      <c r="G15" s="163">
        <v>44109794.259999998</v>
      </c>
      <c r="H15" s="163">
        <v>35917952.619999997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80027746.879999995</v>
      </c>
      <c r="T15" s="465">
        <f t="shared" si="3"/>
        <v>1.7260006660052625</v>
      </c>
    </row>
    <row r="16" spans="1:20">
      <c r="A16" s="150">
        <v>7115</v>
      </c>
      <c r="B16" s="488" t="str">
        <f>+VLOOKUP($A16,Master!$D$29:$G$225,4,FALSE)</f>
        <v>Akcize</v>
      </c>
      <c r="C16" s="489"/>
      <c r="D16" s="489"/>
      <c r="E16" s="489"/>
      <c r="F16" s="489"/>
      <c r="G16" s="163">
        <v>16359067.73</v>
      </c>
      <c r="H16" s="163">
        <v>13163287.779999999</v>
      </c>
      <c r="I16" s="163">
        <v>0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29522355.509999998</v>
      </c>
      <c r="T16" s="465">
        <f t="shared" si="3"/>
        <v>0.63672422701979892</v>
      </c>
    </row>
    <row r="17" spans="1:23">
      <c r="A17" s="150">
        <v>7116</v>
      </c>
      <c r="B17" s="488" t="str">
        <f>+VLOOKUP($A17,Master!$D$29:$G$225,4,FALSE)</f>
        <v>Porez na međunarodnu trgovinu i transakcije</v>
      </c>
      <c r="C17" s="489"/>
      <c r="D17" s="489"/>
      <c r="E17" s="489"/>
      <c r="F17" s="489"/>
      <c r="G17" s="163">
        <v>1266274.3400000001</v>
      </c>
      <c r="H17" s="163">
        <v>1543418.52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2809692.8600000003</v>
      </c>
      <c r="T17" s="465">
        <f t="shared" si="3"/>
        <v>6.0598129232627362E-2</v>
      </c>
    </row>
    <row r="18" spans="1:23">
      <c r="A18" s="150">
        <v>7118</v>
      </c>
      <c r="B18" s="488" t="str">
        <f>+VLOOKUP($A18,Master!$D$29:$G$225,4,FALSE)</f>
        <v>Ostali državni porezi</v>
      </c>
      <c r="C18" s="489"/>
      <c r="D18" s="489"/>
      <c r="E18" s="489"/>
      <c r="F18" s="489"/>
      <c r="G18" s="163">
        <v>805882.43</v>
      </c>
      <c r="H18" s="163">
        <v>745043.91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1550926.34</v>
      </c>
      <c r="T18" s="465">
        <f t="shared" si="3"/>
        <v>3.3449647155243067E-2</v>
      </c>
    </row>
    <row r="19" spans="1:23">
      <c r="A19" s="150">
        <v>712</v>
      </c>
      <c r="B19" s="492" t="str">
        <f>+VLOOKUP($A19,Master!$D$29:$G$225,4,FALSE)</f>
        <v>Doprinosi</v>
      </c>
      <c r="C19" s="493"/>
      <c r="D19" s="493"/>
      <c r="E19" s="493"/>
      <c r="F19" s="493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0</v>
      </c>
      <c r="J19" s="169">
        <f t="shared" si="5"/>
        <v>0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53049105.019999996</v>
      </c>
      <c r="T19" s="466">
        <f t="shared" si="3"/>
        <v>1.14413805417763</v>
      </c>
    </row>
    <row r="20" spans="1:23">
      <c r="A20" s="150">
        <v>7121</v>
      </c>
      <c r="B20" s="488" t="str">
        <f>+VLOOKUP($A20,Master!$D$29:$G$225,4,FALSE)</f>
        <v>Doprinosi za penzijsko i invalidsko osiguranje</v>
      </c>
      <c r="C20" s="489"/>
      <c r="D20" s="489"/>
      <c r="E20" s="489"/>
      <c r="F20" s="489"/>
      <c r="G20" s="163">
        <v>9950495.5</v>
      </c>
      <c r="H20" s="163">
        <v>22994578.370000001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32945073.870000001</v>
      </c>
      <c r="T20" s="465">
        <f t="shared" si="3"/>
        <v>0.7105438008454471</v>
      </c>
    </row>
    <row r="21" spans="1:23">
      <c r="A21" s="150">
        <v>7122</v>
      </c>
      <c r="B21" s="488" t="str">
        <f>+VLOOKUP($A21,Master!$D$29:$G$225,4,FALSE)</f>
        <v>Doprinosi za zdravstveno osiguranje</v>
      </c>
      <c r="C21" s="489"/>
      <c r="D21" s="489"/>
      <c r="E21" s="489"/>
      <c r="F21" s="489"/>
      <c r="G21" s="163">
        <v>5150520.4400000004</v>
      </c>
      <c r="H21" s="163">
        <v>12116620.91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17267141.350000001</v>
      </c>
      <c r="T21" s="465">
        <f t="shared" si="3"/>
        <v>0.37240955333649661</v>
      </c>
    </row>
    <row r="22" spans="1:23">
      <c r="A22" s="150">
        <v>7123</v>
      </c>
      <c r="B22" s="488" t="str">
        <f>+VLOOKUP($A22,Master!$D$29:$G$225,4,FALSE)</f>
        <v>Doprinosi za osiguranje od nezaposlenosti</v>
      </c>
      <c r="C22" s="489"/>
      <c r="D22" s="489"/>
      <c r="E22" s="489"/>
      <c r="F22" s="489"/>
      <c r="G22" s="163">
        <v>466272.92</v>
      </c>
      <c r="H22" s="163">
        <v>1105749.08</v>
      </c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1572022</v>
      </c>
      <c r="T22" s="465">
        <f t="shared" si="3"/>
        <v>3.3904628391493767E-2</v>
      </c>
    </row>
    <row r="23" spans="1:23">
      <c r="A23" s="150">
        <v>7124</v>
      </c>
      <c r="B23" s="488" t="str">
        <f>+VLOOKUP($A23,Master!$D$29:$G$225,4,FALSE)</f>
        <v>Ostali doprinosi</v>
      </c>
      <c r="C23" s="489"/>
      <c r="D23" s="489"/>
      <c r="E23" s="489"/>
      <c r="F23" s="489"/>
      <c r="G23" s="163">
        <v>364915.44</v>
      </c>
      <c r="H23" s="163">
        <v>899952.36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1264867.8</v>
      </c>
      <c r="T23" s="465">
        <f t="shared" si="3"/>
        <v>2.7280071604192727E-2</v>
      </c>
      <c r="W23" s="305"/>
    </row>
    <row r="24" spans="1:23">
      <c r="A24" s="150">
        <v>713</v>
      </c>
      <c r="B24" s="490" t="str">
        <f>+VLOOKUP($A24,Master!$D$29:$G$225,4,FALSE)</f>
        <v>Takse</v>
      </c>
      <c r="C24" s="491"/>
      <c r="D24" s="491"/>
      <c r="E24" s="491"/>
      <c r="F24" s="491"/>
      <c r="G24" s="175">
        <v>584646.94000000006</v>
      </c>
      <c r="H24" s="175">
        <v>672709.77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1257356.71</v>
      </c>
      <c r="T24" s="466">
        <f t="shared" si="3"/>
        <v>2.711807596083337E-2</v>
      </c>
      <c r="W24" s="305"/>
    </row>
    <row r="25" spans="1:23">
      <c r="A25" s="150">
        <v>714</v>
      </c>
      <c r="B25" s="490" t="str">
        <f>+VLOOKUP($A25,Master!$D$29:$G$225,4,FALSE)</f>
        <v>Naknade</v>
      </c>
      <c r="C25" s="491"/>
      <c r="D25" s="491"/>
      <c r="E25" s="491"/>
      <c r="F25" s="491"/>
      <c r="G25" s="175">
        <v>2883058.19</v>
      </c>
      <c r="H25" s="175">
        <v>2375091.2999999998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5258149.49</v>
      </c>
      <c r="T25" s="466">
        <f t="shared" si="3"/>
        <v>0.11340528598542036</v>
      </c>
    </row>
    <row r="26" spans="1:23">
      <c r="A26" s="150">
        <v>715</v>
      </c>
      <c r="B26" s="490" t="str">
        <f>+VLOOKUP($A26,Master!$D$29:$G$225,4,FALSE)</f>
        <v>Ostali prihodi</v>
      </c>
      <c r="C26" s="491"/>
      <c r="D26" s="491"/>
      <c r="E26" s="491"/>
      <c r="F26" s="491"/>
      <c r="G26" s="175">
        <v>1525774.85</v>
      </c>
      <c r="H26" s="175">
        <v>1792401.29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3318176.14</v>
      </c>
      <c r="T26" s="466">
        <f t="shared" si="3"/>
        <v>7.1564856575939279E-2</v>
      </c>
    </row>
    <row r="27" spans="1:23">
      <c r="A27" s="150">
        <v>73</v>
      </c>
      <c r="B27" s="490" t="str">
        <f>+VLOOKUP($A27,Master!$D$29:$G$225,4,FALSE)</f>
        <v>Primici od otplate kredita i sredstva prenesena iz prethodne godine</v>
      </c>
      <c r="C27" s="491"/>
      <c r="D27" s="491"/>
      <c r="E27" s="491"/>
      <c r="F27" s="491"/>
      <c r="G27" s="175">
        <v>110781.34</v>
      </c>
      <c r="H27" s="175">
        <v>820681.81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931463.15</v>
      </c>
      <c r="T27" s="466">
        <f t="shared" si="3"/>
        <v>2.0089357503342967E-2</v>
      </c>
    </row>
    <row r="28" spans="1:23" ht="13.5" thickBot="1">
      <c r="A28" s="150">
        <v>74</v>
      </c>
      <c r="B28" s="494" t="str">
        <f>+VLOOKUP($A28,Master!$D$29:$G$225,4,FALSE)</f>
        <v>Donacije i transferi</v>
      </c>
      <c r="C28" s="495"/>
      <c r="D28" s="495"/>
      <c r="E28" s="495"/>
      <c r="F28" s="495"/>
      <c r="G28" s="175">
        <v>196070.01</v>
      </c>
      <c r="H28" s="175">
        <v>1359247.78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1555317.79</v>
      </c>
      <c r="T28" s="467">
        <f t="shared" si="3"/>
        <v>3.3544359875771042E-2</v>
      </c>
    </row>
    <row r="29" spans="1:23" ht="13.5" thickBot="1">
      <c r="A29" s="150">
        <v>4</v>
      </c>
      <c r="B29" s="496" t="str">
        <f>+VLOOKUP($A29,Master!$D$29:$G$225,4,FALSE)</f>
        <v>Izdaci budžeta</v>
      </c>
      <c r="C29" s="497"/>
      <c r="D29" s="497"/>
      <c r="E29" s="497"/>
      <c r="F29" s="497"/>
      <c r="G29" s="151">
        <f>+G30+G40+G46+SUM(G47:G51)</f>
        <v>127403095.03</v>
      </c>
      <c r="H29" s="151">
        <f t="shared" ref="H29:R29" si="6">+H30+H40+H46+SUM(H47:H51)</f>
        <v>156993878.97000003</v>
      </c>
      <c r="I29" s="151">
        <f t="shared" si="6"/>
        <v>0</v>
      </c>
      <c r="J29" s="151">
        <f t="shared" si="6"/>
        <v>0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284396974</v>
      </c>
      <c r="T29" s="468">
        <f t="shared" si="3"/>
        <v>6.1337396799378858</v>
      </c>
    </row>
    <row r="30" spans="1:23">
      <c r="A30" s="150">
        <v>41</v>
      </c>
      <c r="B30" s="500" t="str">
        <f>+VLOOKUP($A30,Master!$D$29:$G$225,4,FALSE)</f>
        <v>Tekući izdaci</v>
      </c>
      <c r="C30" s="501"/>
      <c r="D30" s="501"/>
      <c r="E30" s="501"/>
      <c r="F30" s="501"/>
      <c r="G30" s="187">
        <f t="shared" ref="G30:R30" si="7">+SUM(G31:G39)</f>
        <v>51211681.690000005</v>
      </c>
      <c r="H30" s="187">
        <f t="shared" si="7"/>
        <v>62864361.590000011</v>
      </c>
      <c r="I30" s="187">
        <f t="shared" si="7"/>
        <v>0</v>
      </c>
      <c r="J30" s="187">
        <f t="shared" si="7"/>
        <v>0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114076043.28000002</v>
      </c>
      <c r="T30" s="464">
        <f t="shared" si="3"/>
        <v>2.4603382495794337</v>
      </c>
      <c r="U30" s="242"/>
    </row>
    <row r="31" spans="1:23">
      <c r="A31" s="150">
        <v>411</v>
      </c>
      <c r="B31" s="488" t="str">
        <f>+VLOOKUP($A31,Master!$D$29:$G$225,4,FALSE)</f>
        <v>Bruto zarade i doprinosi na teret poslodavca</v>
      </c>
      <c r="C31" s="489"/>
      <c r="D31" s="489"/>
      <c r="E31" s="489"/>
      <c r="F31" s="489"/>
      <c r="G31" s="163">
        <v>40605076.340000004</v>
      </c>
      <c r="H31" s="163">
        <v>49306948.350000001</v>
      </c>
      <c r="I31" s="163">
        <v>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89912024.689999998</v>
      </c>
      <c r="T31" s="465">
        <f t="shared" si="3"/>
        <v>1.9391801037398091</v>
      </c>
    </row>
    <row r="32" spans="1:23">
      <c r="A32" s="150">
        <v>412</v>
      </c>
      <c r="B32" s="488" t="str">
        <f>+VLOOKUP($A32,Master!$D$29:$G$225,4,FALSE)</f>
        <v>Ostala lična primanja</v>
      </c>
      <c r="C32" s="489"/>
      <c r="D32" s="489"/>
      <c r="E32" s="489"/>
      <c r="F32" s="489"/>
      <c r="G32" s="163">
        <v>108603.95</v>
      </c>
      <c r="H32" s="163">
        <v>889477.21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998081.15999999992</v>
      </c>
      <c r="T32" s="465">
        <f t="shared" si="3"/>
        <v>2.1526143294655565E-2</v>
      </c>
      <c r="U32" s="458"/>
    </row>
    <row r="33" spans="1:21">
      <c r="A33" s="150">
        <v>413</v>
      </c>
      <c r="B33" s="488" t="str">
        <f>+VLOOKUP($A33,Master!$D$29:$G$225,4,FALSE)</f>
        <v>Rashodi za materijal</v>
      </c>
      <c r="C33" s="489"/>
      <c r="D33" s="489"/>
      <c r="E33" s="489"/>
      <c r="F33" s="489"/>
      <c r="G33" s="163">
        <v>596838.26</v>
      </c>
      <c r="H33" s="163">
        <v>1661848.94</v>
      </c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2258687.2000000002</v>
      </c>
      <c r="T33" s="465">
        <f t="shared" si="3"/>
        <v>4.8714299271017558E-2</v>
      </c>
      <c r="U33" s="458"/>
    </row>
    <row r="34" spans="1:21" s="362" customFormat="1">
      <c r="A34" s="361">
        <v>414</v>
      </c>
      <c r="B34" s="535" t="str">
        <f>+VLOOKUP($A34,Master!$D$29:$G$225,4,FALSE)</f>
        <v>Rashodi za usluge</v>
      </c>
      <c r="C34" s="536"/>
      <c r="D34" s="536"/>
      <c r="E34" s="536"/>
      <c r="F34" s="536"/>
      <c r="G34" s="163">
        <v>1051401.99</v>
      </c>
      <c r="H34" s="163">
        <v>2624320.42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3675722.41</v>
      </c>
      <c r="T34" s="465">
        <f t="shared" si="3"/>
        <v>7.927624574041324E-2</v>
      </c>
      <c r="U34" s="458"/>
    </row>
    <row r="35" spans="1:21">
      <c r="A35" s="150">
        <v>415</v>
      </c>
      <c r="B35" s="488" t="str">
        <f>+VLOOKUP($A35,Master!$D$29:$G$225,4,FALSE)</f>
        <v>Rashodi za tekuće održavanje</v>
      </c>
      <c r="C35" s="489"/>
      <c r="D35" s="489"/>
      <c r="E35" s="489"/>
      <c r="F35" s="489"/>
      <c r="G35" s="163">
        <v>189404.04</v>
      </c>
      <c r="H35" s="163">
        <v>914551.09</v>
      </c>
      <c r="I35" s="163">
        <v>0</v>
      </c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1103955.1299999999</v>
      </c>
      <c r="T35" s="465">
        <f t="shared" si="3"/>
        <v>2.3809583099685113E-2</v>
      </c>
      <c r="U35" s="458"/>
    </row>
    <row r="36" spans="1:21">
      <c r="A36" s="150">
        <v>416</v>
      </c>
      <c r="B36" s="488" t="str">
        <f>+VLOOKUP($A36,Master!$D$29:$G$225,4,FALSE)</f>
        <v>Kamate</v>
      </c>
      <c r="C36" s="489"/>
      <c r="D36" s="489"/>
      <c r="E36" s="489"/>
      <c r="F36" s="489"/>
      <c r="G36" s="163">
        <v>7578157.1100000003</v>
      </c>
      <c r="H36" s="163">
        <v>1855329.34</v>
      </c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9433486.4500000011</v>
      </c>
      <c r="T36" s="465">
        <f t="shared" si="3"/>
        <v>0.20345698248716734</v>
      </c>
      <c r="U36" s="458"/>
    </row>
    <row r="37" spans="1:21">
      <c r="A37" s="150">
        <v>417</v>
      </c>
      <c r="B37" s="488" t="str">
        <f>+VLOOKUP($A37,Master!$D$29:$G$225,4,FALSE)</f>
        <v>Renta</v>
      </c>
      <c r="C37" s="489"/>
      <c r="D37" s="489"/>
      <c r="E37" s="489"/>
      <c r="F37" s="489"/>
      <c r="G37" s="163">
        <v>38595.83</v>
      </c>
      <c r="H37" s="163">
        <v>967161.85</v>
      </c>
      <c r="I37" s="163">
        <v>0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1005757.6799999999</v>
      </c>
      <c r="T37" s="465">
        <f t="shared" si="3"/>
        <v>2.1691706854160376E-2</v>
      </c>
      <c r="U37" s="458"/>
    </row>
    <row r="38" spans="1:21">
      <c r="A38" s="150">
        <v>418</v>
      </c>
      <c r="B38" s="488" t="str">
        <f>+VLOOKUP($A38,Master!$D$29:$G$225,4,FALSE)</f>
        <v>Subvencije</v>
      </c>
      <c r="C38" s="489"/>
      <c r="D38" s="489"/>
      <c r="E38" s="489"/>
      <c r="F38" s="489"/>
      <c r="G38" s="163">
        <v>250639.34</v>
      </c>
      <c r="H38" s="163">
        <v>2324834.88</v>
      </c>
      <c r="I38" s="163">
        <v>0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2575474.2199999997</v>
      </c>
      <c r="T38" s="465">
        <f t="shared" si="3"/>
        <v>5.5546612172712763E-2</v>
      </c>
      <c r="U38" s="458"/>
    </row>
    <row r="39" spans="1:21" s="362" customFormat="1">
      <c r="A39" s="361">
        <v>419</v>
      </c>
      <c r="B39" s="535" t="str">
        <f>+VLOOKUP($A39,Master!$D$29:$G$225,4,FALSE)</f>
        <v>Ostali izdaci</v>
      </c>
      <c r="C39" s="536"/>
      <c r="D39" s="536"/>
      <c r="E39" s="536"/>
      <c r="F39" s="536"/>
      <c r="G39" s="163">
        <v>792964.83</v>
      </c>
      <c r="H39" s="163">
        <v>2319889.5099999998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3112854.34</v>
      </c>
      <c r="T39" s="465">
        <f t="shared" si="3"/>
        <v>6.7136572919811927E-2</v>
      </c>
      <c r="U39" s="458"/>
    </row>
    <row r="40" spans="1:21">
      <c r="A40" s="150">
        <v>42</v>
      </c>
      <c r="B40" s="504" t="str">
        <f>+VLOOKUP($A40,Master!$D$29:$G$225,4,FALSE)</f>
        <v>Transferi za socijalnu zaštitu</v>
      </c>
      <c r="C40" s="505"/>
      <c r="D40" s="505"/>
      <c r="E40" s="505"/>
      <c r="F40" s="505"/>
      <c r="G40" s="193">
        <f>+SUM(G41:G45)</f>
        <v>43785961.259999998</v>
      </c>
      <c r="H40" s="193">
        <f t="shared" ref="H40:R40" si="8">+SUM(H41:H45)</f>
        <v>45834669.350000009</v>
      </c>
      <c r="I40" s="193">
        <f t="shared" si="8"/>
        <v>0</v>
      </c>
      <c r="J40" s="175">
        <f t="shared" si="8"/>
        <v>0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243">
        <f t="shared" si="4"/>
        <v>89620630.610000014</v>
      </c>
      <c r="T40" s="466">
        <f t="shared" si="3"/>
        <v>1.9328954537807881</v>
      </c>
      <c r="U40" s="242"/>
    </row>
    <row r="41" spans="1:21">
      <c r="A41" s="150">
        <v>421</v>
      </c>
      <c r="B41" s="488" t="str">
        <f>+VLOOKUP($A41,Master!$D$29:$G$225,4,FALSE)</f>
        <v>Prava iz oblasti socijalne zaštite</v>
      </c>
      <c r="C41" s="489"/>
      <c r="D41" s="489"/>
      <c r="E41" s="489"/>
      <c r="F41" s="489"/>
      <c r="G41" s="163">
        <v>6454244.7199999997</v>
      </c>
      <c r="H41" s="163">
        <v>6750144.4400000004</v>
      </c>
      <c r="I41" s="163">
        <v>0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13204389.16</v>
      </c>
      <c r="T41" s="465">
        <f t="shared" si="3"/>
        <v>0.28478603200621144</v>
      </c>
      <c r="U41" s="458"/>
    </row>
    <row r="42" spans="1:21">
      <c r="A42" s="150">
        <v>422</v>
      </c>
      <c r="B42" s="488" t="str">
        <f>+VLOOKUP($A42,Master!$D$29:$G$225,4,FALSE)</f>
        <v>Sredstva za tehnološke viškove</v>
      </c>
      <c r="C42" s="489"/>
      <c r="D42" s="489"/>
      <c r="E42" s="489"/>
      <c r="F42" s="489"/>
      <c r="G42" s="163">
        <v>7431.6</v>
      </c>
      <c r="H42" s="163">
        <v>1490578.4</v>
      </c>
      <c r="I42" s="163">
        <v>0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1498010</v>
      </c>
      <c r="T42" s="465">
        <f t="shared" si="3"/>
        <v>3.2308372514342404E-2</v>
      </c>
      <c r="U42" s="458"/>
    </row>
    <row r="43" spans="1:21">
      <c r="A43" s="150">
        <v>423</v>
      </c>
      <c r="B43" s="488" t="str">
        <f>+VLOOKUP($A43,Master!$D$29:$G$225,4,FALSE)</f>
        <v>Prava iz oblasti penzijskog i invalidskog osiguranja</v>
      </c>
      <c r="C43" s="489"/>
      <c r="D43" s="489"/>
      <c r="E43" s="489"/>
      <c r="F43" s="489"/>
      <c r="G43" s="163">
        <v>35881608.200000003</v>
      </c>
      <c r="H43" s="163">
        <v>36247440.840000004</v>
      </c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72129049.040000007</v>
      </c>
      <c r="T43" s="465">
        <f t="shared" si="3"/>
        <v>1.5556452797308373</v>
      </c>
      <c r="U43" s="458"/>
    </row>
    <row r="44" spans="1:21">
      <c r="A44" s="150">
        <v>424</v>
      </c>
      <c r="B44" s="488" t="str">
        <f>+VLOOKUP($A44,Master!$D$29:$G$225,4,FALSE)</f>
        <v>Ostala prava iz oblasti zdravstvene zaštite</v>
      </c>
      <c r="C44" s="489"/>
      <c r="D44" s="489"/>
      <c r="E44" s="489"/>
      <c r="F44" s="489"/>
      <c r="G44" s="163">
        <v>828960.19</v>
      </c>
      <c r="H44" s="163">
        <v>1147931.58</v>
      </c>
      <c r="I44" s="163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1976891.77</v>
      </c>
      <c r="T44" s="465">
        <f t="shared" si="3"/>
        <v>4.2636668463960664E-2</v>
      </c>
      <c r="U44" s="458"/>
    </row>
    <row r="45" spans="1:21" s="362" customFormat="1">
      <c r="A45" s="361">
        <v>425</v>
      </c>
      <c r="B45" s="537" t="str">
        <f>+VLOOKUP($A45,Master!$D$29:$G$225,4,FALSE)</f>
        <v>Ostala prava iz zdravstvenog osiguranja</v>
      </c>
      <c r="C45" s="538"/>
      <c r="D45" s="538"/>
      <c r="E45" s="538"/>
      <c r="F45" s="538"/>
      <c r="G45" s="163">
        <v>613716.55000000005</v>
      </c>
      <c r="H45" s="163">
        <v>198574.09</v>
      </c>
      <c r="I45" s="163">
        <v>0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812290.64</v>
      </c>
      <c r="T45" s="465">
        <f t="shared" si="3"/>
        <v>1.7519101065435881E-2</v>
      </c>
      <c r="U45" s="458"/>
    </row>
    <row r="46" spans="1:21">
      <c r="A46" s="150">
        <v>43</v>
      </c>
      <c r="B46" s="502" t="str">
        <f>+VLOOKUP($A46,Master!$D$29:$G$225,4,FALSE)</f>
        <v xml:space="preserve">Transferi institucijama, pojedincima, nevladinom i javnom sektoru </v>
      </c>
      <c r="C46" s="503"/>
      <c r="D46" s="503"/>
      <c r="E46" s="503"/>
      <c r="F46" s="503"/>
      <c r="G46" s="175">
        <v>12392775.73</v>
      </c>
      <c r="H46" s="175">
        <v>21090087.879999999</v>
      </c>
      <c r="I46" s="175">
        <v>0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33482863.609999999</v>
      </c>
      <c r="T46" s="466">
        <f t="shared" si="3"/>
        <v>0.72214259608333697</v>
      </c>
      <c r="U46" s="482"/>
    </row>
    <row r="47" spans="1:21">
      <c r="A47" s="150">
        <v>44</v>
      </c>
      <c r="B47" s="502" t="str">
        <f>+VLOOKUP($A47,Master!$D$29:$G$225,4,FALSE)</f>
        <v>Kapitalni izdaci</v>
      </c>
      <c r="C47" s="503"/>
      <c r="D47" s="503"/>
      <c r="E47" s="503"/>
      <c r="F47" s="503"/>
      <c r="G47" s="175">
        <v>11603510.130000001</v>
      </c>
      <c r="H47" s="175">
        <v>4574318.42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16177828.550000001</v>
      </c>
      <c r="T47" s="466">
        <f t="shared" si="3"/>
        <v>0.348915769098046</v>
      </c>
      <c r="U47" s="482"/>
    </row>
    <row r="48" spans="1:21">
      <c r="A48" s="150">
        <v>451</v>
      </c>
      <c r="B48" s="539" t="str">
        <f>+VLOOKUP($A48,Master!$D$29:$G$225,4,FALSE)</f>
        <v>Pozajmice i krediti</v>
      </c>
      <c r="C48" s="540"/>
      <c r="D48" s="540"/>
      <c r="E48" s="540"/>
      <c r="F48" s="540"/>
      <c r="G48" s="163">
        <v>0</v>
      </c>
      <c r="H48" s="163">
        <v>259894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259894</v>
      </c>
      <c r="T48" s="465">
        <f t="shared" si="3"/>
        <v>5.605271103826079E-3</v>
      </c>
      <c r="U48" s="482"/>
    </row>
    <row r="49" spans="1:21" s="362" customFormat="1">
      <c r="A49" s="361">
        <v>47</v>
      </c>
      <c r="B49" s="546" t="str">
        <f>+VLOOKUP($A49,Master!$D$29:$G$225,4,FALSE)</f>
        <v>Rezerve</v>
      </c>
      <c r="C49" s="547"/>
      <c r="D49" s="547"/>
      <c r="E49" s="547"/>
      <c r="F49" s="547"/>
      <c r="G49" s="163">
        <v>3553855.38</v>
      </c>
      <c r="H49" s="163">
        <v>20728264.5</v>
      </c>
      <c r="I49" s="163">
        <v>0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24282119.879999999</v>
      </c>
      <c r="T49" s="465">
        <f t="shared" si="3"/>
        <v>0.52370529871026184</v>
      </c>
      <c r="U49" s="482"/>
    </row>
    <row r="50" spans="1:21" ht="13.5" thickBot="1">
      <c r="A50" s="150">
        <v>462</v>
      </c>
      <c r="B50" s="508" t="str">
        <f>+VLOOKUP($A50,Master!$D$29:$G$225,4,FALSE)</f>
        <v>Otplata garancija</v>
      </c>
      <c r="C50" s="509"/>
      <c r="D50" s="509"/>
      <c r="E50" s="509"/>
      <c r="F50" s="509"/>
      <c r="G50" s="163">
        <v>3836366.14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3836366.14</v>
      </c>
      <c r="T50" s="465">
        <f t="shared" si="3"/>
        <v>8.2740933873959366E-2</v>
      </c>
      <c r="U50" s="482"/>
    </row>
    <row r="51" spans="1:21" ht="13.5" thickBot="1">
      <c r="A51" s="144">
        <v>4630</v>
      </c>
      <c r="B51" s="548" t="str">
        <f>+VLOOKUP($A51,Master!$D$29:$G$225,4,TRUE)</f>
        <v>Otplata obaveza iz prethodnog perioda</v>
      </c>
      <c r="C51" s="549"/>
      <c r="D51" s="549"/>
      <c r="E51" s="549"/>
      <c r="F51" s="549"/>
      <c r="G51" s="459">
        <v>1018944.7</v>
      </c>
      <c r="H51" s="459">
        <v>1642283.23</v>
      </c>
      <c r="I51" s="459">
        <v>0</v>
      </c>
      <c r="J51" s="459">
        <v>0</v>
      </c>
      <c r="K51" s="459">
        <v>0</v>
      </c>
      <c r="L51" s="459">
        <v>0</v>
      </c>
      <c r="M51" s="459">
        <v>0</v>
      </c>
      <c r="N51" s="459">
        <v>0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2661227.9299999997</v>
      </c>
      <c r="T51" s="469">
        <f t="shared" si="3"/>
        <v>5.7396107708234473E-2</v>
      </c>
      <c r="U51" s="482"/>
    </row>
    <row r="52" spans="1:21" ht="13.5" thickBot="1">
      <c r="A52" s="70">
        <v>1005</v>
      </c>
      <c r="B52" s="550" t="str">
        <f>+VLOOKUP($A52,Master!$D$29:$G$227,4,FALSE)</f>
        <v>Neto povećanje obaveza</v>
      </c>
      <c r="C52" s="551"/>
      <c r="D52" s="551"/>
      <c r="E52" s="551"/>
      <c r="F52" s="551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10" t="str">
        <f>+VLOOKUP($A53,Master!$D$29:$G$225,4,FALSE)</f>
        <v>Suficit / deficit</v>
      </c>
      <c r="C53" s="511"/>
      <c r="D53" s="511"/>
      <c r="E53" s="511"/>
      <c r="F53" s="511"/>
      <c r="G53" s="151">
        <f t="shared" ref="G53:R53" si="9">+G10-G29</f>
        <v>-38757662.899999991</v>
      </c>
      <c r="H53" s="151">
        <f t="shared" si="9"/>
        <v>-51423255.940000027</v>
      </c>
      <c r="I53" s="151">
        <f t="shared" si="9"/>
        <v>0</v>
      </c>
      <c r="J53" s="151">
        <f t="shared" si="9"/>
        <v>0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-90180918.840000018</v>
      </c>
      <c r="T53" s="471">
        <f t="shared" si="3"/>
        <v>-1.9449794858301346</v>
      </c>
    </row>
    <row r="54" spans="1:21" ht="13.5" thickBot="1">
      <c r="A54" s="144">
        <v>1001</v>
      </c>
      <c r="B54" s="512" t="str">
        <f>+VLOOKUP($A54,Master!$D$29:$G$225,4,FALSE)</f>
        <v>Primarni suficit/deficit</v>
      </c>
      <c r="C54" s="513"/>
      <c r="D54" s="513"/>
      <c r="E54" s="513"/>
      <c r="F54" s="513"/>
      <c r="G54" s="205">
        <f t="shared" ref="G54:R54" si="10">+G53+G36</f>
        <v>-31179505.789999992</v>
      </c>
      <c r="H54" s="205">
        <f t="shared" si="10"/>
        <v>-49567926.600000024</v>
      </c>
      <c r="I54" s="205">
        <f t="shared" si="10"/>
        <v>0</v>
      </c>
      <c r="J54" s="205">
        <f t="shared" si="10"/>
        <v>0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-80747432.390000015</v>
      </c>
      <c r="T54" s="471">
        <f t="shared" si="3"/>
        <v>-1.7415225033429671</v>
      </c>
    </row>
    <row r="55" spans="1:21">
      <c r="A55" s="144">
        <v>46</v>
      </c>
      <c r="B55" s="544" t="str">
        <f>+VLOOKUP($A55,Master!$D$29:$G$225,4,FALSE)</f>
        <v>Otplata dugova</v>
      </c>
      <c r="C55" s="545"/>
      <c r="D55" s="545"/>
      <c r="E55" s="545"/>
      <c r="F55" s="545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0</v>
      </c>
      <c r="J55" s="175">
        <f t="shared" si="11"/>
        <v>0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47585790.170000002</v>
      </c>
      <c r="T55" s="472">
        <f t="shared" si="3"/>
        <v>1.0263078585601519</v>
      </c>
    </row>
    <row r="56" spans="1:21">
      <c r="A56" s="144">
        <v>4611</v>
      </c>
      <c r="B56" s="530" t="str">
        <f>+VLOOKUP($A56,Master!$D$29:$G$225,4,FALSE)</f>
        <v>Otplata hartija od vrijednosti i kredita rezidentima</v>
      </c>
      <c r="C56" s="531"/>
      <c r="D56" s="531"/>
      <c r="E56" s="531"/>
      <c r="F56" s="531"/>
      <c r="G56" s="211">
        <v>21900000</v>
      </c>
      <c r="H56" s="211">
        <v>13534429.810000001</v>
      </c>
      <c r="I56" s="211">
        <v>0</v>
      </c>
      <c r="J56" s="211">
        <v>0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35434429.810000002</v>
      </c>
      <c r="T56" s="473">
        <f t="shared" si="3"/>
        <v>0.76423305460898083</v>
      </c>
    </row>
    <row r="57" spans="1:21" ht="13.5" thickBot="1">
      <c r="A57" s="144">
        <v>4612</v>
      </c>
      <c r="B57" s="506" t="str">
        <f>+VLOOKUP($A57,Master!$D$29:$G$225,4,FALSE)</f>
        <v>Otplata hartija od vrijednosti i kredita nerezidentima</v>
      </c>
      <c r="C57" s="507"/>
      <c r="D57" s="507"/>
      <c r="E57" s="507"/>
      <c r="F57" s="507"/>
      <c r="G57" s="211">
        <v>1430768.82</v>
      </c>
      <c r="H57" s="211">
        <v>10720591.539999999</v>
      </c>
      <c r="I57" s="211">
        <v>0</v>
      </c>
      <c r="J57" s="211">
        <v>0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12151360.359999999</v>
      </c>
      <c r="T57" s="473">
        <f t="shared" si="3"/>
        <v>0.26207480395117111</v>
      </c>
    </row>
    <row r="58" spans="1:21" ht="13.5" thickBot="1">
      <c r="A58" s="144">
        <v>4418</v>
      </c>
      <c r="B58" s="498" t="str">
        <f>+VLOOKUP($A58,Master!$D$29:$G$225,4,FALSE)</f>
        <v>Izdaci za kupovinu hartija od vrijednosti</v>
      </c>
      <c r="C58" s="499"/>
      <c r="D58" s="499"/>
      <c r="E58" s="499"/>
      <c r="F58" s="499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32" t="str">
        <f>+VLOOKUP($A59,Master!$D$29:$G$225,4,FALSE)</f>
        <v>Nedostajuća sredstva</v>
      </c>
      <c r="C59" s="533"/>
      <c r="D59" s="533"/>
      <c r="E59" s="533"/>
      <c r="F59" s="533"/>
      <c r="G59" s="217">
        <f>+G53-G55-G58</f>
        <v>-62088431.719999991</v>
      </c>
      <c r="H59" s="217">
        <f t="shared" ref="H59:R59" si="12">+H53-H55-H58</f>
        <v>-75678277.290000021</v>
      </c>
      <c r="I59" s="217">
        <f t="shared" si="12"/>
        <v>0</v>
      </c>
      <c r="J59" s="217">
        <f t="shared" si="12"/>
        <v>0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-137766709.01000002</v>
      </c>
      <c r="T59" s="475">
        <f t="shared" si="3"/>
        <v>-2.9712873443902863</v>
      </c>
    </row>
    <row r="60" spans="1:21" ht="13.5" thickBot="1">
      <c r="A60" s="144">
        <v>1003</v>
      </c>
      <c r="B60" s="496" t="str">
        <f>+VLOOKUP($A60,Master!$D$29:$G$225,4,FALSE)</f>
        <v>Finansiranje</v>
      </c>
      <c r="C60" s="497"/>
      <c r="D60" s="497"/>
      <c r="E60" s="497"/>
      <c r="F60" s="497"/>
      <c r="G60" s="151">
        <f>+SUM(G61:G64)</f>
        <v>62088431.719999991</v>
      </c>
      <c r="H60" s="151">
        <f t="shared" ref="H60:R60" si="13">+SUM(H61:H64)</f>
        <v>75678277.290000021</v>
      </c>
      <c r="I60" s="151">
        <f t="shared" si="13"/>
        <v>0</v>
      </c>
      <c r="J60" s="151">
        <f t="shared" si="13"/>
        <v>0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137766709.01000002</v>
      </c>
      <c r="T60" s="476">
        <f t="shared" si="3"/>
        <v>2.9712873443902863</v>
      </c>
    </row>
    <row r="61" spans="1:21">
      <c r="A61" s="144">
        <v>7511</v>
      </c>
      <c r="B61" s="530" t="str">
        <f>+VLOOKUP($A61,Master!$D$29:$G$225,4,FALSE)</f>
        <v>Pozajmice i krediti od domaćih izvora</v>
      </c>
      <c r="C61" s="531"/>
      <c r="D61" s="531"/>
      <c r="E61" s="531"/>
      <c r="F61" s="53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06" t="str">
        <f>+VLOOKUP($A62,Master!$D$29:$G$225,4,FALSE)</f>
        <v>Pozajmice i krediti od inostranih izvora</v>
      </c>
      <c r="C62" s="507"/>
      <c r="D62" s="507"/>
      <c r="E62" s="507"/>
      <c r="F62" s="507"/>
      <c r="G62" s="211">
        <v>7388647.9800000004</v>
      </c>
      <c r="H62" s="211">
        <v>125810.71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7514458.6900000004</v>
      </c>
      <c r="T62" s="473">
        <f t="shared" si="3"/>
        <v>0.16206829767502051</v>
      </c>
    </row>
    <row r="63" spans="1:21">
      <c r="A63" s="144">
        <v>72</v>
      </c>
      <c r="B63" s="506" t="str">
        <f>+VLOOKUP($A63,Master!$D$29:$G$225,4,FALSE)</f>
        <v>Primici od prodaje imovine</v>
      </c>
      <c r="C63" s="507"/>
      <c r="D63" s="507"/>
      <c r="E63" s="507"/>
      <c r="F63" s="507"/>
      <c r="G63" s="211">
        <v>34748.61</v>
      </c>
      <c r="H63" s="211">
        <v>29568.33</v>
      </c>
      <c r="I63" s="211">
        <v>0</v>
      </c>
      <c r="J63" s="211">
        <v>0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64316.94</v>
      </c>
      <c r="T63" s="473">
        <f t="shared" si="3"/>
        <v>1.387157399818833E-3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54665035.129999988</v>
      </c>
      <c r="H64" s="225">
        <f t="shared" ref="H64:R64" si="14">-H59-SUM(H61:H63)</f>
        <v>75522898.250000015</v>
      </c>
      <c r="I64" s="225">
        <f t="shared" si="14"/>
        <v>0</v>
      </c>
      <c r="J64" s="225">
        <f t="shared" si="14"/>
        <v>0</v>
      </c>
      <c r="K64" s="225">
        <f t="shared" si="14"/>
        <v>0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130187933.38</v>
      </c>
      <c r="T64" s="477">
        <f t="shared" si="3"/>
        <v>2.8078318893154464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58" t="str">
        <f>+Master!G252</f>
        <v>Plan ostvarenja budžeta</v>
      </c>
      <c r="C81" s="559"/>
      <c r="D81" s="559"/>
      <c r="E81" s="559"/>
      <c r="F81" s="559"/>
      <c r="G81" s="541">
        <v>2021</v>
      </c>
      <c r="H81" s="542"/>
      <c r="I81" s="542"/>
      <c r="J81" s="542"/>
      <c r="K81" s="542"/>
      <c r="L81" s="542"/>
      <c r="M81" s="542"/>
      <c r="N81" s="542"/>
      <c r="O81" s="542"/>
      <c r="P81" s="542"/>
      <c r="Q81" s="542"/>
      <c r="R81" s="543"/>
      <c r="S81" s="107" t="str">
        <f>+S7</f>
        <v>BDP</v>
      </c>
      <c r="T81" s="108">
        <v>4636600000</v>
      </c>
    </row>
    <row r="82" spans="1:21" ht="15.75" customHeight="1">
      <c r="B82" s="560"/>
      <c r="C82" s="561"/>
      <c r="D82" s="561"/>
      <c r="E82" s="561"/>
      <c r="F82" s="562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41" t="str">
        <f>+Master!G246</f>
        <v>Jan - Dec</v>
      </c>
      <c r="T82" s="543">
        <f>+T8</f>
        <v>0</v>
      </c>
    </row>
    <row r="83" spans="1:21" ht="13.5" thickBot="1">
      <c r="B83" s="563"/>
      <c r="C83" s="564"/>
      <c r="D83" s="564"/>
      <c r="E83" s="564"/>
      <c r="F83" s="565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52" t="str">
        <f>+VLOOKUP(LEFT($A84,LEN(A84)-1)*1,Master!$D$29:$G$225,4,FALSE)</f>
        <v>Prihodi budžeta</v>
      </c>
      <c r="C84" s="553"/>
      <c r="D84" s="553"/>
      <c r="E84" s="553"/>
      <c r="F84" s="553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0</v>
      </c>
      <c r="J84" s="93">
        <f t="shared" si="18"/>
        <v>0</v>
      </c>
      <c r="K84" s="93">
        <f t="shared" si="18"/>
        <v>0</v>
      </c>
      <c r="L84" s="93">
        <f t="shared" si="18"/>
        <v>0</v>
      </c>
      <c r="M84" s="93">
        <f t="shared" si="18"/>
        <v>0</v>
      </c>
      <c r="N84" s="93">
        <f t="shared" si="18"/>
        <v>0</v>
      </c>
      <c r="O84" s="93">
        <f t="shared" si="18"/>
        <v>0</v>
      </c>
      <c r="P84" s="93">
        <f t="shared" si="18"/>
        <v>0</v>
      </c>
      <c r="Q84" s="93">
        <f t="shared" si="18"/>
        <v>0</v>
      </c>
      <c r="R84" s="93">
        <f t="shared" si="18"/>
        <v>0</v>
      </c>
      <c r="S84" s="454">
        <f>+SUM(G84:R84)</f>
        <v>197488659.99672979</v>
      </c>
      <c r="T84" s="478">
        <f>+S84/$T$81*100</f>
        <v>4.2593421903276063</v>
      </c>
    </row>
    <row r="85" spans="1:21">
      <c r="A85" s="116" t="str">
        <f t="shared" si="17"/>
        <v>711p</v>
      </c>
      <c r="B85" s="554" t="str">
        <f>+VLOOKUP(LEFT($A85,LEN(A85)-1)*1,Master!$D$29:$G$225,4,FALSE)</f>
        <v>Porezi</v>
      </c>
      <c r="C85" s="555"/>
      <c r="D85" s="555"/>
      <c r="E85" s="555"/>
      <c r="F85" s="555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0</v>
      </c>
      <c r="J85" s="79">
        <f t="shared" si="19"/>
        <v>0</v>
      </c>
      <c r="K85" s="79">
        <f t="shared" si="19"/>
        <v>0</v>
      </c>
      <c r="L85" s="79">
        <f t="shared" si="19"/>
        <v>0</v>
      </c>
      <c r="M85" s="79">
        <f t="shared" si="19"/>
        <v>0</v>
      </c>
      <c r="N85" s="79">
        <f t="shared" si="19"/>
        <v>0</v>
      </c>
      <c r="O85" s="79">
        <f t="shared" si="19"/>
        <v>0</v>
      </c>
      <c r="P85" s="79">
        <f t="shared" si="19"/>
        <v>0</v>
      </c>
      <c r="Q85" s="79">
        <f t="shared" si="19"/>
        <v>0</v>
      </c>
      <c r="R85" s="80">
        <f t="shared" si="19"/>
        <v>0</v>
      </c>
      <c r="S85" s="111">
        <f t="shared" ref="S85:S138" si="20">+SUM(G85:R85)</f>
        <v>126062887.78173652</v>
      </c>
      <c r="T85" s="464">
        <f t="shared" ref="T85:T138" si="21">+S85/$T$81*100</f>
        <v>2.7188648531625876</v>
      </c>
      <c r="U85" s="257"/>
    </row>
    <row r="86" spans="1:21">
      <c r="A86" s="116" t="str">
        <f t="shared" si="17"/>
        <v>7111p</v>
      </c>
      <c r="B86" s="556" t="str">
        <f>+VLOOKUP(LEFT($A86,LEN(A86)-1)*1,Master!$D$29:$G$228,4,FALSE)</f>
        <v>Porez na dohodak fizičkih lica</v>
      </c>
      <c r="C86" s="557"/>
      <c r="D86" s="557"/>
      <c r="E86" s="557"/>
      <c r="F86" s="557"/>
      <c r="G86" s="87">
        <v>4204850.3434498608</v>
      </c>
      <c r="H86" s="87">
        <v>9282052.3748957608</v>
      </c>
      <c r="I86" s="87">
        <v>0</v>
      </c>
      <c r="J86" s="87">
        <v>0</v>
      </c>
      <c r="K86" s="87">
        <v>0</v>
      </c>
      <c r="L86" s="87">
        <v>0</v>
      </c>
      <c r="M86" s="87">
        <v>0</v>
      </c>
      <c r="N86" s="87">
        <v>0</v>
      </c>
      <c r="O86" s="87">
        <v>0</v>
      </c>
      <c r="P86" s="87">
        <v>0</v>
      </c>
      <c r="Q86" s="87">
        <v>0</v>
      </c>
      <c r="R86" s="87">
        <v>0</v>
      </c>
      <c r="S86" s="112">
        <f t="shared" si="20"/>
        <v>13486902.718345622</v>
      </c>
      <c r="T86" s="465">
        <f t="shared" si="21"/>
        <v>0.29087915106641982</v>
      </c>
    </row>
    <row r="87" spans="1:21">
      <c r="A87" s="116" t="str">
        <f t="shared" si="17"/>
        <v>7112p</v>
      </c>
      <c r="B87" s="556" t="str">
        <f>+VLOOKUP(LEFT($A87,LEN(A87)-1)*1,Master!$D$29:$G$228,4,FALSE)</f>
        <v>Porez na dobit pravnih lica</v>
      </c>
      <c r="C87" s="557"/>
      <c r="D87" s="557"/>
      <c r="E87" s="557"/>
      <c r="F87" s="557"/>
      <c r="G87" s="87">
        <v>762584.85039051238</v>
      </c>
      <c r="H87" s="87">
        <v>1597504.5279576874</v>
      </c>
      <c r="I87" s="87">
        <v>0</v>
      </c>
      <c r="J87" s="87">
        <v>0</v>
      </c>
      <c r="K87" s="87">
        <v>0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87">
        <v>0</v>
      </c>
      <c r="S87" s="112">
        <f t="shared" si="20"/>
        <v>2360089.3783481997</v>
      </c>
      <c r="T87" s="465">
        <f t="shared" si="21"/>
        <v>5.090129358469999E-2</v>
      </c>
    </row>
    <row r="88" spans="1:21">
      <c r="A88" s="116" t="str">
        <f t="shared" si="17"/>
        <v>7113p</v>
      </c>
      <c r="B88" s="556" t="str">
        <f>+VLOOKUP(LEFT($A88,LEN(A88)-1)*1,Master!$D$29:$G$228,4,FALSE)</f>
        <v>Porez na promet nepokretnosti</v>
      </c>
      <c r="C88" s="557"/>
      <c r="D88" s="557"/>
      <c r="E88" s="557"/>
      <c r="F88" s="557"/>
      <c r="G88" s="87">
        <v>106237.04972025521</v>
      </c>
      <c r="H88" s="87">
        <v>152350.26587005192</v>
      </c>
      <c r="I88" s="87">
        <v>0</v>
      </c>
      <c r="J88" s="87">
        <v>0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112">
        <f t="shared" si="20"/>
        <v>258587.31559030712</v>
      </c>
      <c r="T88" s="465">
        <f t="shared" si="21"/>
        <v>5.5770891513243995E-3</v>
      </c>
    </row>
    <row r="89" spans="1:21">
      <c r="A89" s="116" t="str">
        <f t="shared" si="17"/>
        <v>7114p</v>
      </c>
      <c r="B89" s="556" t="str">
        <f>+VLOOKUP(LEFT($A89,LEN(A89)-1)*1,Master!$D$29:$G$228,4,FALSE)</f>
        <v>Porez na dodatu vrijednost</v>
      </c>
      <c r="C89" s="557"/>
      <c r="D89" s="557"/>
      <c r="E89" s="557"/>
      <c r="F89" s="557"/>
      <c r="G89" s="87">
        <v>44084379.54246141</v>
      </c>
      <c r="H89" s="87">
        <v>34454383.95727095</v>
      </c>
      <c r="I89" s="87">
        <v>0</v>
      </c>
      <c r="J89" s="87">
        <v>0</v>
      </c>
      <c r="K89" s="87">
        <v>0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7">
        <v>0</v>
      </c>
      <c r="R89" s="87">
        <v>0</v>
      </c>
      <c r="S89" s="112">
        <f t="shared" si="20"/>
        <v>78538763.49973236</v>
      </c>
      <c r="T89" s="465">
        <f t="shared" si="21"/>
        <v>1.6938869753641106</v>
      </c>
    </row>
    <row r="90" spans="1:21">
      <c r="A90" s="116" t="str">
        <f t="shared" si="17"/>
        <v>7115p</v>
      </c>
      <c r="B90" s="556" t="str">
        <f>+VLOOKUP(LEFT($A90,LEN(A90)-1)*1,Master!$D$29:$G$228,4,FALSE)</f>
        <v>Akcize</v>
      </c>
      <c r="C90" s="557"/>
      <c r="D90" s="557"/>
      <c r="E90" s="557"/>
      <c r="F90" s="557"/>
      <c r="G90" s="87">
        <v>14858204.26307172</v>
      </c>
      <c r="H90" s="87">
        <v>12154549.421156941</v>
      </c>
      <c r="I90" s="87">
        <v>0</v>
      </c>
      <c r="J90" s="87">
        <v>0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20"/>
        <v>27012753.684228659</v>
      </c>
      <c r="T90" s="465">
        <f t="shared" si="21"/>
        <v>0.58259831954942543</v>
      </c>
    </row>
    <row r="91" spans="1:21">
      <c r="A91" s="116" t="str">
        <f t="shared" si="17"/>
        <v>7116p</v>
      </c>
      <c r="B91" s="556" t="str">
        <f>+VLOOKUP(LEFT($A91,LEN(A91)-1)*1,Master!$D$29:$G$228,4,FALSE)</f>
        <v>Porez na međunarodnu trgovinu i transakcije</v>
      </c>
      <c r="C91" s="557"/>
      <c r="D91" s="557"/>
      <c r="E91" s="557"/>
      <c r="F91" s="557"/>
      <c r="G91" s="87">
        <v>1300944.0462549233</v>
      </c>
      <c r="H91" s="87">
        <v>1582885.0395362838</v>
      </c>
      <c r="I91" s="87">
        <v>0</v>
      </c>
      <c r="J91" s="87">
        <v>0</v>
      </c>
      <c r="K91" s="87">
        <v>0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7">
        <v>0</v>
      </c>
      <c r="R91" s="87">
        <v>0</v>
      </c>
      <c r="S91" s="112">
        <f t="shared" si="20"/>
        <v>2883829.0857912069</v>
      </c>
      <c r="T91" s="465">
        <f t="shared" si="21"/>
        <v>6.2197064353000195E-2</v>
      </c>
    </row>
    <row r="92" spans="1:21">
      <c r="A92" s="116" t="str">
        <f t="shared" si="17"/>
        <v>7118p</v>
      </c>
      <c r="B92" s="556" t="str">
        <f>+VLOOKUP(LEFT($A92,LEN(A92)-1)*1,Master!$D$29:$G$228,4,FALSE)</f>
        <v>Ostali državni porezi</v>
      </c>
      <c r="C92" s="557"/>
      <c r="D92" s="557"/>
      <c r="E92" s="557"/>
      <c r="F92" s="557"/>
      <c r="G92" s="87">
        <v>797116.47983805265</v>
      </c>
      <c r="H92" s="87">
        <v>724845.61986211163</v>
      </c>
      <c r="I92" s="87">
        <v>0</v>
      </c>
      <c r="J92" s="87">
        <v>0</v>
      </c>
      <c r="K92" s="87">
        <v>0</v>
      </c>
      <c r="L92" s="87">
        <v>0</v>
      </c>
      <c r="M92" s="87">
        <v>0</v>
      </c>
      <c r="N92" s="87">
        <v>0</v>
      </c>
      <c r="O92" s="87">
        <v>0</v>
      </c>
      <c r="P92" s="87">
        <v>0</v>
      </c>
      <c r="Q92" s="87">
        <v>0</v>
      </c>
      <c r="R92" s="87">
        <v>0</v>
      </c>
      <c r="S92" s="112">
        <f t="shared" si="20"/>
        <v>1521962.0997001643</v>
      </c>
      <c r="T92" s="465">
        <f t="shared" si="21"/>
        <v>3.2824960093606609E-2</v>
      </c>
    </row>
    <row r="93" spans="1:21">
      <c r="A93" s="116" t="str">
        <f t="shared" si="17"/>
        <v>712p</v>
      </c>
      <c r="B93" s="568" t="str">
        <f>+VLOOKUP(LEFT($A93,LEN(A93)-1)*1,Master!$D$29:$G$228,4,FALSE)</f>
        <v>Doprinosi</v>
      </c>
      <c r="C93" s="569"/>
      <c r="D93" s="569"/>
      <c r="E93" s="569"/>
      <c r="F93" s="569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0</v>
      </c>
      <c r="J93" s="81">
        <f t="shared" si="22"/>
        <v>0</v>
      </c>
      <c r="K93" s="81">
        <f t="shared" si="22"/>
        <v>0</v>
      </c>
      <c r="L93" s="81">
        <f t="shared" si="22"/>
        <v>0</v>
      </c>
      <c r="M93" s="81">
        <f t="shared" si="22"/>
        <v>0</v>
      </c>
      <c r="N93" s="81">
        <f t="shared" si="22"/>
        <v>0</v>
      </c>
      <c r="O93" s="81">
        <f t="shared" si="22"/>
        <v>0</v>
      </c>
      <c r="P93" s="81">
        <f t="shared" si="22"/>
        <v>0</v>
      </c>
      <c r="Q93" s="81">
        <f t="shared" si="22"/>
        <v>0</v>
      </c>
      <c r="R93" s="82">
        <f t="shared" si="22"/>
        <v>0</v>
      </c>
      <c r="S93" s="113">
        <f t="shared" si="20"/>
        <v>57682473.858031869</v>
      </c>
      <c r="T93" s="466">
        <f t="shared" si="21"/>
        <v>1.2440683660016363</v>
      </c>
    </row>
    <row r="94" spans="1:21">
      <c r="A94" s="116" t="str">
        <f t="shared" si="17"/>
        <v>7121p</v>
      </c>
      <c r="B94" s="556" t="str">
        <f>+VLOOKUP(LEFT($A94,LEN(A94)-1)*1,Master!$D$29:$G$228,4,FALSE)</f>
        <v>Doprinosi za penzijsko i invalidsko osiguranje</v>
      </c>
      <c r="C94" s="557"/>
      <c r="D94" s="557"/>
      <c r="E94" s="557"/>
      <c r="F94" s="557"/>
      <c r="G94" s="87">
        <v>9910259.361363437</v>
      </c>
      <c r="H94" s="87">
        <v>25137864.374354426</v>
      </c>
      <c r="I94" s="87">
        <v>0</v>
      </c>
      <c r="J94" s="87">
        <v>0</v>
      </c>
      <c r="K94" s="87">
        <v>0</v>
      </c>
      <c r="L94" s="87">
        <v>0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7">
        <v>0</v>
      </c>
      <c r="S94" s="112">
        <f t="shared" si="20"/>
        <v>35048123.735717863</v>
      </c>
      <c r="T94" s="465">
        <f t="shared" si="21"/>
        <v>0.75590138756239189</v>
      </c>
    </row>
    <row r="95" spans="1:21">
      <c r="A95" s="116" t="str">
        <f t="shared" si="17"/>
        <v>7122p</v>
      </c>
      <c r="B95" s="556" t="str">
        <f>+VLOOKUP(LEFT($A95,LEN(A95)-1)*1,Master!$D$29:$G$228,4,FALSE)</f>
        <v>Doprinosi za zdravstveno osiguranje</v>
      </c>
      <c r="C95" s="557"/>
      <c r="D95" s="557"/>
      <c r="E95" s="557"/>
      <c r="F95" s="557"/>
      <c r="G95" s="87">
        <v>5507682.5565703586</v>
      </c>
      <c r="H95" s="87">
        <v>13967653.022079941</v>
      </c>
      <c r="I95" s="87">
        <v>0</v>
      </c>
      <c r="J95" s="87">
        <v>0</v>
      </c>
      <c r="K95" s="87">
        <v>0</v>
      </c>
      <c r="L95" s="87">
        <v>0</v>
      </c>
      <c r="M95" s="87">
        <v>0</v>
      </c>
      <c r="N95" s="87">
        <v>0</v>
      </c>
      <c r="O95" s="87">
        <v>0</v>
      </c>
      <c r="P95" s="87">
        <v>0</v>
      </c>
      <c r="Q95" s="87">
        <v>0</v>
      </c>
      <c r="R95" s="87">
        <v>0</v>
      </c>
      <c r="S95" s="112">
        <f t="shared" si="20"/>
        <v>19475335.578650299</v>
      </c>
      <c r="T95" s="465">
        <f t="shared" si="21"/>
        <v>0.42003484403766339</v>
      </c>
    </row>
    <row r="96" spans="1:21">
      <c r="A96" s="116" t="str">
        <f t="shared" si="17"/>
        <v>7123p</v>
      </c>
      <c r="B96" s="556" t="str">
        <f>+VLOOKUP(LEFT($A96,LEN(A96)-1)*1,Master!$D$29:$G$228,4,FALSE)</f>
        <v>Doprinosi za osiguranje od nezaposlenosti</v>
      </c>
      <c r="C96" s="557"/>
      <c r="D96" s="557"/>
      <c r="E96" s="557"/>
      <c r="F96" s="557"/>
      <c r="G96" s="87">
        <v>493138.80101936322</v>
      </c>
      <c r="H96" s="87">
        <v>1244226.7553943871</v>
      </c>
      <c r="I96" s="87">
        <v>0</v>
      </c>
      <c r="J96" s="87">
        <v>0</v>
      </c>
      <c r="K96" s="87">
        <v>0</v>
      </c>
      <c r="L96" s="87">
        <v>0</v>
      </c>
      <c r="M96" s="87">
        <v>0</v>
      </c>
      <c r="N96" s="87">
        <v>0</v>
      </c>
      <c r="O96" s="87">
        <v>0</v>
      </c>
      <c r="P96" s="87">
        <v>0</v>
      </c>
      <c r="Q96" s="87">
        <v>0</v>
      </c>
      <c r="R96" s="87">
        <v>0</v>
      </c>
      <c r="S96" s="112">
        <f t="shared" si="20"/>
        <v>1737365.5564137502</v>
      </c>
      <c r="T96" s="465">
        <f t="shared" si="21"/>
        <v>3.7470680162484372E-2</v>
      </c>
    </row>
    <row r="97" spans="1:20">
      <c r="A97" s="116" t="str">
        <f t="shared" si="17"/>
        <v>7124p</v>
      </c>
      <c r="B97" s="556" t="str">
        <f>+VLOOKUP(LEFT($A97,LEN(A97)-1)*1,Master!$D$29:$G$228,4,FALSE)</f>
        <v>Ostali doprinosi</v>
      </c>
      <c r="C97" s="557"/>
      <c r="D97" s="557"/>
      <c r="E97" s="557"/>
      <c r="F97" s="557"/>
      <c r="G97" s="87">
        <v>381736.58923248976</v>
      </c>
      <c r="H97" s="87">
        <v>1039912.3980174726</v>
      </c>
      <c r="I97" s="87">
        <v>0</v>
      </c>
      <c r="J97" s="87">
        <v>0</v>
      </c>
      <c r="K97" s="87">
        <v>0</v>
      </c>
      <c r="L97" s="87">
        <v>0</v>
      </c>
      <c r="M97" s="87">
        <v>0</v>
      </c>
      <c r="N97" s="87">
        <v>0</v>
      </c>
      <c r="O97" s="87">
        <v>0</v>
      </c>
      <c r="P97" s="87">
        <v>0</v>
      </c>
      <c r="Q97" s="87">
        <v>0</v>
      </c>
      <c r="R97" s="87">
        <v>0</v>
      </c>
      <c r="S97" s="112">
        <f t="shared" si="20"/>
        <v>1421648.9872499623</v>
      </c>
      <c r="T97" s="465">
        <f t="shared" si="21"/>
        <v>3.0661454239096799E-2</v>
      </c>
    </row>
    <row r="98" spans="1:20">
      <c r="A98" s="116" t="str">
        <f t="shared" si="17"/>
        <v>713p</v>
      </c>
      <c r="B98" s="566" t="str">
        <f>+VLOOKUP(LEFT($A98,LEN(A98)-1)*1,Master!$D$29:$G$228,4,FALSE)</f>
        <v>Takse</v>
      </c>
      <c r="C98" s="567"/>
      <c r="D98" s="567"/>
      <c r="E98" s="567"/>
      <c r="F98" s="567"/>
      <c r="G98" s="83">
        <v>730802.9109107214</v>
      </c>
      <c r="H98" s="83">
        <v>897580.50917497964</v>
      </c>
      <c r="I98" s="83">
        <v>0</v>
      </c>
      <c r="J98" s="83">
        <v>0</v>
      </c>
      <c r="K98" s="83">
        <v>0</v>
      </c>
      <c r="L98" s="83">
        <v>0</v>
      </c>
      <c r="M98" s="83">
        <v>0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113">
        <f t="shared" si="20"/>
        <v>1628383.4200857012</v>
      </c>
      <c r="T98" s="466">
        <f t="shared" si="21"/>
        <v>3.5120204893363698E-2</v>
      </c>
    </row>
    <row r="99" spans="1:20">
      <c r="A99" s="116" t="str">
        <f t="shared" si="17"/>
        <v>714p</v>
      </c>
      <c r="B99" s="566" t="str">
        <f>+VLOOKUP(LEFT($A99,LEN(A99)-1)*1,Master!$D$29:$G$228,4,FALSE)</f>
        <v>Naknade</v>
      </c>
      <c r="C99" s="567"/>
      <c r="D99" s="567"/>
      <c r="E99" s="567"/>
      <c r="F99" s="567"/>
      <c r="G99" s="83">
        <v>1903748.332444215</v>
      </c>
      <c r="H99" s="83">
        <v>1651746.7601752742</v>
      </c>
      <c r="I99" s="83">
        <v>0</v>
      </c>
      <c r="J99" s="83">
        <v>0</v>
      </c>
      <c r="K99" s="83">
        <v>0</v>
      </c>
      <c r="L99" s="83">
        <v>0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113">
        <f t="shared" si="20"/>
        <v>3555495.0926194889</v>
      </c>
      <c r="T99" s="466">
        <f t="shared" si="21"/>
        <v>7.668323971486625E-2</v>
      </c>
    </row>
    <row r="100" spans="1:20">
      <c r="A100" s="116" t="str">
        <f t="shared" si="17"/>
        <v>715p</v>
      </c>
      <c r="B100" s="566" t="str">
        <f>+VLOOKUP(LEFT($A100,LEN(A100)-1)*1,Master!$D$29:$G$228,4,FALSE)</f>
        <v>Ostali prihodi</v>
      </c>
      <c r="C100" s="567"/>
      <c r="D100" s="567"/>
      <c r="E100" s="567"/>
      <c r="F100" s="567"/>
      <c r="G100" s="83">
        <v>1127712.5632216579</v>
      </c>
      <c r="H100" s="83">
        <v>1801554.4259584644</v>
      </c>
      <c r="I100" s="83">
        <v>0</v>
      </c>
      <c r="J100" s="83">
        <v>0</v>
      </c>
      <c r="K100" s="83">
        <v>0</v>
      </c>
      <c r="L100" s="83">
        <v>0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113">
        <f t="shared" si="20"/>
        <v>2929266.9891801225</v>
      </c>
      <c r="T100" s="466">
        <f t="shared" si="21"/>
        <v>6.317704760341894E-2</v>
      </c>
    </row>
    <row r="101" spans="1:20">
      <c r="A101" s="116" t="str">
        <f t="shared" si="17"/>
        <v>73p</v>
      </c>
      <c r="B101" s="566" t="str">
        <f>+VLOOKUP(LEFT($A101,LEN(A101)-1)*1,Master!$D$29:$G$228,4,FALSE)</f>
        <v>Primici od otplate kredita i sredstva prenesena iz prethodne godine</v>
      </c>
      <c r="C101" s="567"/>
      <c r="D101" s="567"/>
      <c r="E101" s="567"/>
      <c r="F101" s="567"/>
      <c r="G101" s="83">
        <v>68789.687590440255</v>
      </c>
      <c r="H101" s="83">
        <v>376318.3495044958</v>
      </c>
      <c r="I101" s="83">
        <v>0</v>
      </c>
      <c r="J101" s="83">
        <v>0</v>
      </c>
      <c r="K101" s="83">
        <v>0</v>
      </c>
      <c r="L101" s="83">
        <v>0</v>
      </c>
      <c r="M101" s="83">
        <v>0</v>
      </c>
      <c r="N101" s="83">
        <v>0</v>
      </c>
      <c r="O101" s="83">
        <v>0</v>
      </c>
      <c r="P101" s="83">
        <v>0</v>
      </c>
      <c r="Q101" s="83">
        <v>0</v>
      </c>
      <c r="R101" s="83">
        <v>0</v>
      </c>
      <c r="S101" s="113">
        <f t="shared" si="20"/>
        <v>445108.03709493607</v>
      </c>
      <c r="T101" s="466">
        <f t="shared" si="21"/>
        <v>9.5998800218896618E-3</v>
      </c>
    </row>
    <row r="102" spans="1:20" ht="13.5" thickBot="1">
      <c r="A102" s="116" t="str">
        <f t="shared" si="17"/>
        <v>74p</v>
      </c>
      <c r="B102" s="570" t="str">
        <f>+VLOOKUP(LEFT($A102,LEN(A102)-1)*1,Master!$D$29:$G$228,4,FALSE)</f>
        <v>Donacije i transferi</v>
      </c>
      <c r="C102" s="571"/>
      <c r="D102" s="571"/>
      <c r="E102" s="571"/>
      <c r="F102" s="571"/>
      <c r="G102" s="83">
        <v>2340030.9038784811</v>
      </c>
      <c r="H102" s="83">
        <v>2845013.9141026605</v>
      </c>
      <c r="I102" s="83">
        <v>0</v>
      </c>
      <c r="J102" s="83">
        <v>0</v>
      </c>
      <c r="K102" s="83">
        <v>0</v>
      </c>
      <c r="L102" s="83">
        <v>0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114">
        <f t="shared" si="20"/>
        <v>5185044.8179811416</v>
      </c>
      <c r="T102" s="467">
        <f t="shared" si="21"/>
        <v>0.11182859892984388</v>
      </c>
    </row>
    <row r="103" spans="1:20" ht="13.5" thickBot="1">
      <c r="A103" s="116" t="str">
        <f t="shared" si="17"/>
        <v>4p</v>
      </c>
      <c r="B103" s="572" t="str">
        <f>+VLOOKUP(LEFT($A103,LEN(A103)-1)*1,Master!$D$29:$G$228,4,FALSE)</f>
        <v>Izdaci budžeta</v>
      </c>
      <c r="C103" s="573"/>
      <c r="D103" s="573"/>
      <c r="E103" s="573"/>
      <c r="F103" s="573"/>
      <c r="G103" s="93">
        <f t="shared" ref="G103:R103" si="23">+G104+G114+G120+SUM(G121:G125)</f>
        <v>187305793.07270002</v>
      </c>
      <c r="H103" s="93">
        <f t="shared" si="23"/>
        <v>171688751.44849998</v>
      </c>
      <c r="I103" s="93">
        <f t="shared" si="23"/>
        <v>0</v>
      </c>
      <c r="J103" s="93">
        <f t="shared" si="23"/>
        <v>0</v>
      </c>
      <c r="K103" s="93">
        <f t="shared" si="23"/>
        <v>0</v>
      </c>
      <c r="L103" s="93">
        <f t="shared" si="23"/>
        <v>0</v>
      </c>
      <c r="M103" s="93">
        <f t="shared" si="23"/>
        <v>0</v>
      </c>
      <c r="N103" s="93">
        <f t="shared" si="23"/>
        <v>0</v>
      </c>
      <c r="O103" s="93">
        <f t="shared" si="23"/>
        <v>0</v>
      </c>
      <c r="P103" s="93">
        <f t="shared" si="23"/>
        <v>0</v>
      </c>
      <c r="Q103" s="93">
        <f t="shared" si="23"/>
        <v>0</v>
      </c>
      <c r="R103" s="93">
        <f t="shared" si="23"/>
        <v>0</v>
      </c>
      <c r="S103" s="452">
        <f>+SUM(G103:R103)</f>
        <v>358994544.5212</v>
      </c>
      <c r="T103" s="479">
        <f t="shared" si="21"/>
        <v>7.7426248656601819</v>
      </c>
    </row>
    <row r="104" spans="1:20">
      <c r="A104" s="116" t="str">
        <f t="shared" si="17"/>
        <v>41p</v>
      </c>
      <c r="B104" s="574" t="str">
        <f>+VLOOKUP(LEFT($A104,LEN(A104)-1)*1,Master!$D$29:$G$228,4,FALSE)</f>
        <v>Tekući izdaci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0</v>
      </c>
      <c r="J104" s="85">
        <f t="shared" si="24"/>
        <v>0</v>
      </c>
      <c r="K104" s="85">
        <f t="shared" si="24"/>
        <v>0</v>
      </c>
      <c r="L104" s="85">
        <f t="shared" si="24"/>
        <v>0</v>
      </c>
      <c r="M104" s="85">
        <f t="shared" si="24"/>
        <v>0</v>
      </c>
      <c r="N104" s="85">
        <f t="shared" si="24"/>
        <v>0</v>
      </c>
      <c r="O104" s="85">
        <f t="shared" si="24"/>
        <v>0</v>
      </c>
      <c r="P104" s="85">
        <f t="shared" si="24"/>
        <v>0</v>
      </c>
      <c r="Q104" s="85">
        <f t="shared" si="24"/>
        <v>0</v>
      </c>
      <c r="R104" s="86">
        <f t="shared" si="24"/>
        <v>0</v>
      </c>
      <c r="S104" s="111">
        <f t="shared" si="20"/>
        <v>141883900.01350001</v>
      </c>
      <c r="T104" s="464">
        <f t="shared" si="21"/>
        <v>3.0600849763512059</v>
      </c>
    </row>
    <row r="105" spans="1:20">
      <c r="A105" s="116" t="str">
        <f t="shared" si="17"/>
        <v>411p</v>
      </c>
      <c r="B105" s="556" t="str">
        <f>+VLOOKUP(LEFT($A105,LEN(A105)-1)*1,Master!$D$29:$G$228,4,FALSE)</f>
        <v>Bruto zarade i doprinosi na teret poslodavca</v>
      </c>
      <c r="C105" s="557"/>
      <c r="D105" s="557"/>
      <c r="E105" s="557"/>
      <c r="F105" s="557"/>
      <c r="G105" s="87">
        <v>41000000</v>
      </c>
      <c r="H105" s="87">
        <v>47328717.694199994</v>
      </c>
      <c r="I105" s="87">
        <v>0</v>
      </c>
      <c r="J105" s="87">
        <v>0</v>
      </c>
      <c r="K105" s="87">
        <v>0</v>
      </c>
      <c r="L105" s="87">
        <v>0</v>
      </c>
      <c r="M105" s="87">
        <v>0</v>
      </c>
      <c r="N105" s="87">
        <v>0</v>
      </c>
      <c r="O105" s="87">
        <v>0</v>
      </c>
      <c r="P105" s="87">
        <v>0</v>
      </c>
      <c r="Q105" s="87">
        <v>0</v>
      </c>
      <c r="R105" s="87">
        <v>0</v>
      </c>
      <c r="S105" s="112">
        <f t="shared" si="20"/>
        <v>88328717.694199994</v>
      </c>
      <c r="T105" s="465">
        <f t="shared" si="21"/>
        <v>1.9050320858862095</v>
      </c>
    </row>
    <row r="106" spans="1:20">
      <c r="A106" s="116" t="str">
        <f t="shared" si="17"/>
        <v>412p</v>
      </c>
      <c r="B106" s="556" t="str">
        <f>+VLOOKUP(LEFT($A106,LEN(A106)-1)*1,Master!$D$29:$G$228,4,FALSE)</f>
        <v>Ostala lična primanja</v>
      </c>
      <c r="C106" s="557"/>
      <c r="D106" s="557"/>
      <c r="E106" s="557"/>
      <c r="F106" s="557"/>
      <c r="G106" s="87">
        <v>1092920.9707000002</v>
      </c>
      <c r="H106" s="87">
        <v>1211788.716299999</v>
      </c>
      <c r="I106" s="87">
        <v>0</v>
      </c>
      <c r="J106" s="87">
        <v>0</v>
      </c>
      <c r="K106" s="87">
        <v>0</v>
      </c>
      <c r="L106" s="87">
        <v>0</v>
      </c>
      <c r="M106" s="87">
        <v>0</v>
      </c>
      <c r="N106" s="87">
        <v>0</v>
      </c>
      <c r="O106" s="87">
        <v>0</v>
      </c>
      <c r="P106" s="87">
        <v>0</v>
      </c>
      <c r="Q106" s="87">
        <v>0</v>
      </c>
      <c r="R106" s="87">
        <v>0</v>
      </c>
      <c r="S106" s="112">
        <f t="shared" si="20"/>
        <v>2304709.686999999</v>
      </c>
      <c r="T106" s="465">
        <f t="shared" si="21"/>
        <v>4.9706890544795733E-2</v>
      </c>
    </row>
    <row r="107" spans="1:20">
      <c r="A107" s="116" t="str">
        <f t="shared" si="17"/>
        <v>413p</v>
      </c>
      <c r="B107" s="556" t="str">
        <f>+VLOOKUP(LEFT($A107,LEN(A107)-1)*1,Master!$D$29:$G$228,4,FALSE)</f>
        <v>Rashodi za materijal</v>
      </c>
      <c r="C107" s="557"/>
      <c r="D107" s="557"/>
      <c r="E107" s="557"/>
      <c r="F107" s="557"/>
      <c r="G107" s="87">
        <v>2533456.2688999991</v>
      </c>
      <c r="H107" s="87">
        <v>2607238.5881999996</v>
      </c>
      <c r="I107" s="87">
        <v>0</v>
      </c>
      <c r="J107" s="87">
        <v>0</v>
      </c>
      <c r="K107" s="87">
        <v>0</v>
      </c>
      <c r="L107" s="87">
        <v>0</v>
      </c>
      <c r="M107" s="87">
        <v>0</v>
      </c>
      <c r="N107" s="87">
        <v>0</v>
      </c>
      <c r="O107" s="87">
        <v>0</v>
      </c>
      <c r="P107" s="87">
        <v>0</v>
      </c>
      <c r="Q107" s="87">
        <v>0</v>
      </c>
      <c r="R107" s="87">
        <v>0</v>
      </c>
      <c r="S107" s="112">
        <f t="shared" si="20"/>
        <v>5140694.8570999987</v>
      </c>
      <c r="T107" s="465">
        <f t="shared" si="21"/>
        <v>0.11087207990984771</v>
      </c>
    </row>
    <row r="108" spans="1:20">
      <c r="A108" s="116" t="str">
        <f t="shared" si="17"/>
        <v>414p</v>
      </c>
      <c r="B108" s="556" t="str">
        <f>+VLOOKUP(LEFT($A108,LEN(A108)-1)*1,Master!$D$29:$G$228,4,FALSE)</f>
        <v>Rashodi za usluge</v>
      </c>
      <c r="C108" s="557"/>
      <c r="D108" s="557"/>
      <c r="E108" s="557"/>
      <c r="F108" s="557"/>
      <c r="G108" s="87">
        <v>6474297.8454999998</v>
      </c>
      <c r="H108" s="87">
        <v>9096739.9087000005</v>
      </c>
      <c r="I108" s="87">
        <v>0</v>
      </c>
      <c r="J108" s="87">
        <v>0</v>
      </c>
      <c r="K108" s="87">
        <v>0</v>
      </c>
      <c r="L108" s="87">
        <v>0</v>
      </c>
      <c r="M108" s="87">
        <v>0</v>
      </c>
      <c r="N108" s="87">
        <v>0</v>
      </c>
      <c r="O108" s="87">
        <v>0</v>
      </c>
      <c r="P108" s="87">
        <v>0</v>
      </c>
      <c r="Q108" s="87">
        <v>0</v>
      </c>
      <c r="R108" s="87">
        <v>0</v>
      </c>
      <c r="S108" s="112">
        <f t="shared" si="20"/>
        <v>15571037.7542</v>
      </c>
      <c r="T108" s="465">
        <f t="shared" si="21"/>
        <v>0.3358287916619937</v>
      </c>
    </row>
    <row r="109" spans="1:20">
      <c r="A109" s="116" t="str">
        <f t="shared" si="17"/>
        <v>415p</v>
      </c>
      <c r="B109" s="556" t="str">
        <f>+VLOOKUP(LEFT($A109,LEN(A109)-1)*1,Master!$D$29:$G$228,4,FALSE)</f>
        <v>Rashodi za tekuće održavanje</v>
      </c>
      <c r="C109" s="557"/>
      <c r="D109" s="557"/>
      <c r="E109" s="557"/>
      <c r="F109" s="557"/>
      <c r="G109" s="87">
        <v>2012907.0852999999</v>
      </c>
      <c r="H109" s="87">
        <v>2056207.8837000001</v>
      </c>
      <c r="I109" s="87">
        <v>0</v>
      </c>
      <c r="J109" s="87">
        <v>0</v>
      </c>
      <c r="K109" s="87">
        <v>0</v>
      </c>
      <c r="L109" s="87">
        <v>0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0</v>
      </c>
      <c r="S109" s="112">
        <f t="shared" si="20"/>
        <v>4069114.969</v>
      </c>
      <c r="T109" s="465">
        <f t="shared" si="21"/>
        <v>8.7760750744079713E-2</v>
      </c>
    </row>
    <row r="110" spans="1:20">
      <c r="A110" s="116" t="str">
        <f t="shared" si="17"/>
        <v>416p</v>
      </c>
      <c r="B110" s="556" t="str">
        <f>+VLOOKUP(LEFT($A110,LEN(A110)-1)*1,Master!$D$29:$G$228,4,FALSE)</f>
        <v>Kamate</v>
      </c>
      <c r="C110" s="557"/>
      <c r="D110" s="557"/>
      <c r="E110" s="557"/>
      <c r="F110" s="557"/>
      <c r="G110" s="87">
        <v>7888403.8046000004</v>
      </c>
      <c r="H110" s="87">
        <v>1178757.1535000007</v>
      </c>
      <c r="I110" s="87">
        <v>0</v>
      </c>
      <c r="J110" s="87">
        <v>0</v>
      </c>
      <c r="K110" s="87">
        <v>0</v>
      </c>
      <c r="L110" s="87">
        <v>0</v>
      </c>
      <c r="M110" s="87">
        <v>0</v>
      </c>
      <c r="N110" s="87">
        <v>0</v>
      </c>
      <c r="O110" s="87">
        <v>0</v>
      </c>
      <c r="P110" s="87">
        <v>0</v>
      </c>
      <c r="Q110" s="87">
        <v>0</v>
      </c>
      <c r="R110" s="87">
        <v>0</v>
      </c>
      <c r="S110" s="112">
        <f t="shared" si="20"/>
        <v>9067160.9581000004</v>
      </c>
      <c r="T110" s="465">
        <f t="shared" si="21"/>
        <v>0.1955562472091619</v>
      </c>
    </row>
    <row r="111" spans="1:20">
      <c r="A111" s="116" t="str">
        <f t="shared" si="17"/>
        <v>417p</v>
      </c>
      <c r="B111" s="556" t="str">
        <f>+VLOOKUP(LEFT($A111,LEN(A111)-1)*1,Master!$D$29:$G$228,4,FALSE)</f>
        <v>Renta</v>
      </c>
      <c r="C111" s="557"/>
      <c r="D111" s="557"/>
      <c r="E111" s="557"/>
      <c r="F111" s="557"/>
      <c r="G111" s="87">
        <v>856829.17779999983</v>
      </c>
      <c r="H111" s="87">
        <v>859323.00959999976</v>
      </c>
      <c r="I111" s="87">
        <v>0</v>
      </c>
      <c r="J111" s="87">
        <v>0</v>
      </c>
      <c r="K111" s="87">
        <v>0</v>
      </c>
      <c r="L111" s="87">
        <v>0</v>
      </c>
      <c r="M111" s="87">
        <v>0</v>
      </c>
      <c r="N111" s="87">
        <v>0</v>
      </c>
      <c r="O111" s="87">
        <v>0</v>
      </c>
      <c r="P111" s="87">
        <v>0</v>
      </c>
      <c r="Q111" s="87">
        <v>0</v>
      </c>
      <c r="R111" s="87">
        <v>0</v>
      </c>
      <c r="S111" s="112">
        <f t="shared" si="20"/>
        <v>1716152.1873999997</v>
      </c>
      <c r="T111" s="465">
        <f t="shared" si="21"/>
        <v>3.7013160233791996E-2</v>
      </c>
    </row>
    <row r="112" spans="1:20">
      <c r="A112" s="116" t="str">
        <f t="shared" si="17"/>
        <v>418p</v>
      </c>
      <c r="B112" s="556" t="str">
        <f>+VLOOKUP(LEFT($A112,LEN(A112)-1)*1,Master!$D$29:$G$228,4,FALSE)</f>
        <v>Subvencije</v>
      </c>
      <c r="C112" s="557"/>
      <c r="D112" s="557"/>
      <c r="E112" s="557"/>
      <c r="F112" s="557"/>
      <c r="G112" s="87">
        <v>3982825.8836999997</v>
      </c>
      <c r="H112" s="87">
        <v>3859908.0137000005</v>
      </c>
      <c r="I112" s="87">
        <v>0</v>
      </c>
      <c r="J112" s="87">
        <v>0</v>
      </c>
      <c r="K112" s="87">
        <v>0</v>
      </c>
      <c r="L112" s="87">
        <v>0</v>
      </c>
      <c r="M112" s="87">
        <v>0</v>
      </c>
      <c r="N112" s="87">
        <v>0</v>
      </c>
      <c r="O112" s="87">
        <v>0</v>
      </c>
      <c r="P112" s="87">
        <v>0</v>
      </c>
      <c r="Q112" s="87">
        <v>0</v>
      </c>
      <c r="R112" s="87">
        <v>0</v>
      </c>
      <c r="S112" s="112">
        <f t="shared" si="20"/>
        <v>7842733.8974000001</v>
      </c>
      <c r="T112" s="465">
        <f t="shared" si="21"/>
        <v>0.16914838237932966</v>
      </c>
    </row>
    <row r="113" spans="1:20">
      <c r="A113" s="116" t="str">
        <f t="shared" si="17"/>
        <v>419p</v>
      </c>
      <c r="B113" s="556" t="str">
        <f>+VLOOKUP(LEFT($A113,LEN(A113)-1)*1,Master!$D$29:$G$228,4,FALSE)</f>
        <v>Ostali izdaci</v>
      </c>
      <c r="C113" s="557"/>
      <c r="D113" s="557"/>
      <c r="E113" s="557"/>
      <c r="F113" s="557"/>
      <c r="G113" s="87">
        <v>4267401.6908999989</v>
      </c>
      <c r="H113" s="87">
        <v>3576176.3181999996</v>
      </c>
      <c r="I113" s="87">
        <v>0</v>
      </c>
      <c r="J113" s="87">
        <v>0</v>
      </c>
      <c r="K113" s="87">
        <v>0</v>
      </c>
      <c r="L113" s="87">
        <v>0</v>
      </c>
      <c r="M113" s="87">
        <v>0</v>
      </c>
      <c r="N113" s="87">
        <v>0</v>
      </c>
      <c r="O113" s="87">
        <v>0</v>
      </c>
      <c r="P113" s="87">
        <v>0</v>
      </c>
      <c r="Q113" s="87">
        <v>0</v>
      </c>
      <c r="R113" s="87">
        <v>0</v>
      </c>
      <c r="S113" s="112">
        <f t="shared" si="20"/>
        <v>7843578.0090999985</v>
      </c>
      <c r="T113" s="465">
        <f t="shared" si="21"/>
        <v>0.16916658778199539</v>
      </c>
    </row>
    <row r="114" spans="1:20">
      <c r="A114" s="116" t="str">
        <f t="shared" si="17"/>
        <v>42p</v>
      </c>
      <c r="B114" s="580" t="str">
        <f>+VLOOKUP(LEFT($A114,LEN(A114)-1)*1,Master!$D$29:$G$228,4,FALSE)</f>
        <v>Transferi za socijalnu zaštitu</v>
      </c>
      <c r="C114" s="581"/>
      <c r="D114" s="581"/>
      <c r="E114" s="581"/>
      <c r="F114" s="581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0</v>
      </c>
      <c r="J114" s="84">
        <f t="shared" si="25"/>
        <v>0</v>
      </c>
      <c r="K114" s="84">
        <f t="shared" si="25"/>
        <v>0</v>
      </c>
      <c r="L114" s="84">
        <f t="shared" si="25"/>
        <v>0</v>
      </c>
      <c r="M114" s="84">
        <f t="shared" si="25"/>
        <v>0</v>
      </c>
      <c r="N114" s="84">
        <f t="shared" si="25"/>
        <v>0</v>
      </c>
      <c r="O114" s="84">
        <f t="shared" si="25"/>
        <v>0</v>
      </c>
      <c r="P114" s="84">
        <f t="shared" si="25"/>
        <v>0</v>
      </c>
      <c r="Q114" s="84">
        <f t="shared" si="25"/>
        <v>0</v>
      </c>
      <c r="R114" s="84">
        <f t="shared" si="25"/>
        <v>0</v>
      </c>
      <c r="S114" s="113">
        <f t="shared" si="20"/>
        <v>97882045.707700014</v>
      </c>
      <c r="T114" s="466">
        <f t="shared" si="21"/>
        <v>2.1110737546413323</v>
      </c>
    </row>
    <row r="115" spans="1:20">
      <c r="A115" s="116" t="str">
        <f t="shared" si="17"/>
        <v>421p</v>
      </c>
      <c r="B115" s="556" t="str">
        <f>+VLOOKUP(LEFT($A115,LEN(A115)-1)*1,Master!$D$29:$G$228,4,FALSE)</f>
        <v>Prava iz oblasti socijalne zaštite</v>
      </c>
      <c r="C115" s="557"/>
      <c r="D115" s="557"/>
      <c r="E115" s="557"/>
      <c r="F115" s="557"/>
      <c r="G115" s="87">
        <v>7370622</v>
      </c>
      <c r="H115" s="87">
        <v>7087097.3600000003</v>
      </c>
      <c r="I115" s="87">
        <v>0</v>
      </c>
      <c r="J115" s="87">
        <v>0</v>
      </c>
      <c r="K115" s="87">
        <v>0</v>
      </c>
      <c r="L115" s="87">
        <v>0</v>
      </c>
      <c r="M115" s="87">
        <v>0</v>
      </c>
      <c r="N115" s="87">
        <v>0</v>
      </c>
      <c r="O115" s="87">
        <v>0</v>
      </c>
      <c r="P115" s="87">
        <v>0</v>
      </c>
      <c r="Q115" s="87">
        <v>0</v>
      </c>
      <c r="R115" s="87">
        <v>0</v>
      </c>
      <c r="S115" s="112">
        <f t="shared" si="20"/>
        <v>14457719.359999999</v>
      </c>
      <c r="T115" s="465">
        <f t="shared" si="21"/>
        <v>0.31181726610015958</v>
      </c>
    </row>
    <row r="116" spans="1:20">
      <c r="A116" s="116" t="str">
        <f t="shared" ref="A116:A138" si="26">+CONCATENATE(A42,"p")</f>
        <v>422p</v>
      </c>
      <c r="B116" s="556" t="str">
        <f>+VLOOKUP(LEFT($A116,LEN(A116)-1)*1,Master!$D$29:$G$228,4,FALSE)</f>
        <v>Sredstva za tehnološke viškove</v>
      </c>
      <c r="C116" s="557"/>
      <c r="D116" s="557"/>
      <c r="E116" s="557"/>
      <c r="F116" s="557"/>
      <c r="G116" s="87">
        <v>1663426.8485999999</v>
      </c>
      <c r="H116" s="87">
        <v>1663426.8485999999</v>
      </c>
      <c r="I116" s="87">
        <v>0</v>
      </c>
      <c r="J116" s="87">
        <v>0</v>
      </c>
      <c r="K116" s="87">
        <v>0</v>
      </c>
      <c r="L116" s="87">
        <v>0</v>
      </c>
      <c r="M116" s="87">
        <v>0</v>
      </c>
      <c r="N116" s="87">
        <v>0</v>
      </c>
      <c r="O116" s="87">
        <v>0</v>
      </c>
      <c r="P116" s="87">
        <v>0</v>
      </c>
      <c r="Q116" s="87">
        <v>0</v>
      </c>
      <c r="R116" s="87">
        <v>0</v>
      </c>
      <c r="S116" s="112">
        <f t="shared" si="20"/>
        <v>3326853.6971999998</v>
      </c>
      <c r="T116" s="465">
        <f t="shared" si="21"/>
        <v>7.1752010033213992E-2</v>
      </c>
    </row>
    <row r="117" spans="1:20">
      <c r="A117" s="116" t="str">
        <f t="shared" si="26"/>
        <v>423p</v>
      </c>
      <c r="B117" s="556" t="str">
        <f>+VLOOKUP(LEFT($A117,LEN(A117)-1)*1,Master!$D$29:$G$228,4,FALSE)</f>
        <v>Prava iz oblasti penzijskog i invalidskog osiguranja</v>
      </c>
      <c r="C117" s="557"/>
      <c r="D117" s="557"/>
      <c r="E117" s="557"/>
      <c r="F117" s="557"/>
      <c r="G117" s="87">
        <v>37284543.853600003</v>
      </c>
      <c r="H117" s="87">
        <v>37284543.462099999</v>
      </c>
      <c r="I117" s="87">
        <v>0</v>
      </c>
      <c r="J117" s="87">
        <v>0</v>
      </c>
      <c r="K117" s="87">
        <v>0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87">
        <v>0</v>
      </c>
      <c r="S117" s="112">
        <f t="shared" si="20"/>
        <v>74569087.315699995</v>
      </c>
      <c r="T117" s="465">
        <f t="shared" si="21"/>
        <v>1.6082708733921407</v>
      </c>
    </row>
    <row r="118" spans="1:20">
      <c r="A118" s="116" t="str">
        <f t="shared" si="26"/>
        <v>424p</v>
      </c>
      <c r="B118" s="556" t="str">
        <f>+VLOOKUP(LEFT($A118,LEN(A118)-1)*1,Master!$D$29:$G$228,4,FALSE)</f>
        <v>Ostala prava iz oblasti zdravstvene zaštite</v>
      </c>
      <c r="C118" s="557"/>
      <c r="D118" s="557"/>
      <c r="E118" s="557"/>
      <c r="F118" s="557"/>
      <c r="G118" s="87">
        <v>1757700.0836999998</v>
      </c>
      <c r="H118" s="87">
        <v>1757700.0836999998</v>
      </c>
      <c r="I118" s="87">
        <v>0</v>
      </c>
      <c r="J118" s="87">
        <v>0</v>
      </c>
      <c r="K118" s="87">
        <v>0</v>
      </c>
      <c r="L118" s="87">
        <v>0</v>
      </c>
      <c r="M118" s="87">
        <v>0</v>
      </c>
      <c r="N118" s="87">
        <v>0</v>
      </c>
      <c r="O118" s="87">
        <v>0</v>
      </c>
      <c r="P118" s="87">
        <v>0</v>
      </c>
      <c r="Q118" s="87">
        <v>0</v>
      </c>
      <c r="R118" s="87">
        <v>0</v>
      </c>
      <c r="S118" s="112">
        <f t="shared" si="20"/>
        <v>3515400.1673999997</v>
      </c>
      <c r="T118" s="465">
        <f t="shared" si="21"/>
        <v>7.5818491295345722E-2</v>
      </c>
    </row>
    <row r="119" spans="1:20">
      <c r="A119" s="116" t="str">
        <f t="shared" si="26"/>
        <v>425p</v>
      </c>
      <c r="B119" s="556" t="str">
        <f>+VLOOKUP(LEFT($A119,LEN(A119)-1)*1,Master!$D$29:$G$228,4,FALSE)</f>
        <v>Ostala prava iz zdravstvenog osiguranja</v>
      </c>
      <c r="C119" s="557"/>
      <c r="D119" s="557"/>
      <c r="E119" s="557"/>
      <c r="F119" s="557"/>
      <c r="G119" s="87">
        <v>1006492.5837</v>
      </c>
      <c r="H119" s="87">
        <v>1006492.5837</v>
      </c>
      <c r="I119" s="87">
        <v>0</v>
      </c>
      <c r="J119" s="87">
        <v>0</v>
      </c>
      <c r="K119" s="87">
        <v>0</v>
      </c>
      <c r="L119" s="87">
        <v>0</v>
      </c>
      <c r="M119" s="87">
        <v>0</v>
      </c>
      <c r="N119" s="87">
        <v>0</v>
      </c>
      <c r="O119" s="87">
        <v>0</v>
      </c>
      <c r="P119" s="87">
        <v>0</v>
      </c>
      <c r="Q119" s="87">
        <v>0</v>
      </c>
      <c r="R119" s="87">
        <v>0</v>
      </c>
      <c r="S119" s="112">
        <f t="shared" si="20"/>
        <v>2012985.1673999999</v>
      </c>
      <c r="T119" s="465">
        <f t="shared" si="21"/>
        <v>4.3415113820471897E-2</v>
      </c>
    </row>
    <row r="120" spans="1:20">
      <c r="A120" s="116" t="str">
        <f t="shared" si="26"/>
        <v>43p</v>
      </c>
      <c r="B120" s="576" t="str">
        <f>+VLOOKUP(LEFT($A120,LEN(A120)-1)*1,Master!$D$29:$G$228,4,FALSE)</f>
        <v xml:space="preserve">Transferi institucijama, pojedincima, nevladinom i javnom sektoru </v>
      </c>
      <c r="C120" s="577"/>
      <c r="D120" s="577"/>
      <c r="E120" s="577"/>
      <c r="F120" s="577"/>
      <c r="G120" s="83">
        <v>21122126.998300001</v>
      </c>
      <c r="H120" s="83">
        <v>26791916.465900004</v>
      </c>
      <c r="I120" s="83">
        <v>0</v>
      </c>
      <c r="J120" s="83">
        <v>0</v>
      </c>
      <c r="K120" s="83">
        <v>0</v>
      </c>
      <c r="L120" s="83">
        <v>0</v>
      </c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113">
        <f>+SUM(G120:R120)</f>
        <v>47914043.464200005</v>
      </c>
      <c r="T120" s="466">
        <f t="shared" si="21"/>
        <v>1.0333874706509081</v>
      </c>
    </row>
    <row r="121" spans="1:20">
      <c r="A121" s="116" t="str">
        <f t="shared" si="26"/>
        <v>44p</v>
      </c>
      <c r="B121" s="576" t="str">
        <f>+VLOOKUP(LEFT($A121,LEN(A121)-1)*1,Master!$D$29:$G$228,4,FALSE)</f>
        <v>Kapitalni izdaci</v>
      </c>
      <c r="C121" s="577"/>
      <c r="D121" s="577"/>
      <c r="E121" s="577"/>
      <c r="F121" s="577"/>
      <c r="G121" s="83">
        <v>15267515.75</v>
      </c>
      <c r="H121" s="83">
        <v>16188480.221700002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0</v>
      </c>
      <c r="O121" s="83">
        <v>0</v>
      </c>
      <c r="P121" s="83">
        <v>0</v>
      </c>
      <c r="Q121" s="83">
        <v>0</v>
      </c>
      <c r="R121" s="83">
        <v>0</v>
      </c>
      <c r="S121" s="113">
        <f t="shared" si="20"/>
        <v>31455995.971700002</v>
      </c>
      <c r="T121" s="466">
        <f t="shared" si="21"/>
        <v>0.67842807168399266</v>
      </c>
    </row>
    <row r="122" spans="1:20">
      <c r="A122" s="116" t="str">
        <f t="shared" si="26"/>
        <v>451p</v>
      </c>
      <c r="B122" s="578" t="str">
        <f>+VLOOKUP(LEFT($A122,LEN(A122)-1)*1,Master!$D$29:$G$228,4,FALSE)</f>
        <v>Pozajmice i krediti</v>
      </c>
      <c r="C122" s="579"/>
      <c r="D122" s="579"/>
      <c r="E122" s="579"/>
      <c r="F122" s="579"/>
      <c r="G122" s="87">
        <v>134246.16740000001</v>
      </c>
      <c r="H122" s="87">
        <v>142881.16740000001</v>
      </c>
      <c r="I122" s="87">
        <v>0</v>
      </c>
      <c r="J122" s="87">
        <v>0</v>
      </c>
      <c r="K122" s="87">
        <v>0</v>
      </c>
      <c r="L122" s="87">
        <v>0</v>
      </c>
      <c r="M122" s="87">
        <v>0</v>
      </c>
      <c r="N122" s="87">
        <v>0</v>
      </c>
      <c r="O122" s="87">
        <v>0</v>
      </c>
      <c r="P122" s="87">
        <v>0</v>
      </c>
      <c r="Q122" s="87">
        <v>0</v>
      </c>
      <c r="R122" s="87">
        <v>0</v>
      </c>
      <c r="S122" s="112">
        <f t="shared" si="20"/>
        <v>277127.33480000001</v>
      </c>
      <c r="T122" s="465">
        <f t="shared" si="21"/>
        <v>5.9769515334512358E-3</v>
      </c>
    </row>
    <row r="123" spans="1:20">
      <c r="A123" s="116" t="str">
        <f t="shared" si="26"/>
        <v>47p</v>
      </c>
      <c r="B123" s="578" t="str">
        <f>+VLOOKUP(LEFT($A123,LEN(A123)-1)*1,Master!$D$29:$G$228,4,FALSE)</f>
        <v>Rezerve</v>
      </c>
      <c r="C123" s="579"/>
      <c r="D123" s="579"/>
      <c r="E123" s="579"/>
      <c r="F123" s="579"/>
      <c r="G123" s="87">
        <v>26163633.859999999</v>
      </c>
      <c r="H123" s="87">
        <v>5314577.66</v>
      </c>
      <c r="I123" s="87">
        <v>0</v>
      </c>
      <c r="J123" s="87">
        <v>0</v>
      </c>
      <c r="K123" s="87">
        <v>0</v>
      </c>
      <c r="L123" s="87">
        <v>0</v>
      </c>
      <c r="M123" s="87">
        <v>0</v>
      </c>
      <c r="N123" s="87">
        <v>0</v>
      </c>
      <c r="O123" s="87">
        <v>0</v>
      </c>
      <c r="P123" s="87">
        <v>0</v>
      </c>
      <c r="Q123" s="87">
        <v>0</v>
      </c>
      <c r="R123" s="87">
        <v>0</v>
      </c>
      <c r="S123" s="112">
        <f t="shared" si="20"/>
        <v>31478211.52</v>
      </c>
      <c r="T123" s="465">
        <f t="shared" si="21"/>
        <v>0.67890720614243194</v>
      </c>
    </row>
    <row r="124" spans="1:20">
      <c r="A124" s="116" t="str">
        <f t="shared" si="26"/>
        <v>462p</v>
      </c>
      <c r="B124" s="578" t="str">
        <f>+VLOOKUP(LEFT($A124,LEN(A124)-1)*1,Master!$D$29:$G$228,4,FALSE)</f>
        <v>Otplata garancija</v>
      </c>
      <c r="C124" s="579"/>
      <c r="D124" s="579"/>
      <c r="E124" s="579"/>
      <c r="F124" s="579"/>
      <c r="G124" s="87">
        <v>3836366.14</v>
      </c>
      <c r="H124" s="87">
        <v>20000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3856366.14</v>
      </c>
      <c r="T124" s="465">
        <f t="shared" si="21"/>
        <v>8.3172284432558335E-2</v>
      </c>
    </row>
    <row r="125" spans="1:20">
      <c r="A125" s="117" t="str">
        <f t="shared" si="26"/>
        <v>4630p</v>
      </c>
      <c r="B125" s="578" t="str">
        <f>+VLOOKUP(LEFT($A125,LEN(A125)-1)*1,Master!$D$29:$G$228,4,FALSE)</f>
        <v>Otplata obaveza iz prethodnog perioda</v>
      </c>
      <c r="C125" s="579"/>
      <c r="D125" s="579"/>
      <c r="E125" s="579"/>
      <c r="F125" s="579"/>
      <c r="G125" s="96">
        <v>1590076.06</v>
      </c>
      <c r="H125" s="87">
        <v>2656778.3092999929</v>
      </c>
      <c r="I125" s="87">
        <v>0</v>
      </c>
      <c r="J125" s="87">
        <v>0</v>
      </c>
      <c r="K125" s="87">
        <v>0</v>
      </c>
      <c r="L125" s="87">
        <v>0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87">
        <v>0</v>
      </c>
      <c r="S125" s="103">
        <f>+SUM(G125:R125)</f>
        <v>4246854.3692999929</v>
      </c>
      <c r="T125" s="473">
        <f t="shared" si="21"/>
        <v>9.1594150224302132E-2</v>
      </c>
    </row>
    <row r="126" spans="1:20" ht="13.5" thickBot="1">
      <c r="A126" s="116" t="str">
        <f t="shared" si="26"/>
        <v>1005p</v>
      </c>
      <c r="B126" s="578" t="str">
        <f>+VLOOKUP(LEFT($A126,LEN(A126)-1)*1,Master!$D$29:$G$228,4,FALSE)</f>
        <v>Neto povećanje obaveza</v>
      </c>
      <c r="C126" s="579"/>
      <c r="D126" s="579"/>
      <c r="E126" s="579"/>
      <c r="F126" s="579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0" ht="13.5" thickBot="1">
      <c r="A127" s="117" t="str">
        <f t="shared" si="26"/>
        <v>1000p</v>
      </c>
      <c r="B127" s="586" t="str">
        <f>+VLOOKUP(LEFT($A127,LEN(A127)-1)*1,Master!$D$29:$G$225,4,FALSE)</f>
        <v>Suficit / deficit</v>
      </c>
      <c r="C127" s="587"/>
      <c r="D127" s="587"/>
      <c r="E127" s="587"/>
      <c r="F127" s="587"/>
      <c r="G127" s="93">
        <f t="shared" ref="G127:R127" si="27">+G84-G103</f>
        <v>-98727574.791282132</v>
      </c>
      <c r="H127" s="93">
        <f t="shared" si="27"/>
        <v>-62778309.733188093</v>
      </c>
      <c r="I127" s="93">
        <f t="shared" si="27"/>
        <v>0</v>
      </c>
      <c r="J127" s="93">
        <f t="shared" si="27"/>
        <v>0</v>
      </c>
      <c r="K127" s="93">
        <f t="shared" si="27"/>
        <v>0</v>
      </c>
      <c r="L127" s="93">
        <f t="shared" si="27"/>
        <v>0</v>
      </c>
      <c r="M127" s="93">
        <f t="shared" si="27"/>
        <v>0</v>
      </c>
      <c r="N127" s="93">
        <f t="shared" si="27"/>
        <v>0</v>
      </c>
      <c r="O127" s="93">
        <f t="shared" si="27"/>
        <v>0</v>
      </c>
      <c r="P127" s="93">
        <f t="shared" si="27"/>
        <v>0</v>
      </c>
      <c r="Q127" s="93">
        <f t="shared" si="27"/>
        <v>0</v>
      </c>
      <c r="R127" s="93">
        <f t="shared" si="27"/>
        <v>0</v>
      </c>
      <c r="S127" s="106">
        <f t="shared" si="20"/>
        <v>-161505884.52447021</v>
      </c>
      <c r="T127" s="471">
        <f t="shared" si="21"/>
        <v>-3.4832826753325761</v>
      </c>
    </row>
    <row r="128" spans="1:20" ht="13.5" thickBot="1">
      <c r="A128" s="117" t="str">
        <f t="shared" si="26"/>
        <v>1001p</v>
      </c>
      <c r="B128" s="588" t="str">
        <f>+VLOOKUP(LEFT($A128,LEN(A128)-1)*1,Master!$D$29:$G$225,4,FALSE)</f>
        <v>Primarni suficit/deficit</v>
      </c>
      <c r="C128" s="589"/>
      <c r="D128" s="589"/>
      <c r="E128" s="589"/>
      <c r="F128" s="589"/>
      <c r="G128" s="94">
        <f>+G127+G110</f>
        <v>-90839170.986682132</v>
      </c>
      <c r="H128" s="94">
        <f t="shared" ref="H128:R128" si="28">+H127+H110</f>
        <v>-61599552.579688095</v>
      </c>
      <c r="I128" s="94">
        <f t="shared" si="28"/>
        <v>0</v>
      </c>
      <c r="J128" s="94">
        <f t="shared" si="28"/>
        <v>0</v>
      </c>
      <c r="K128" s="94">
        <f t="shared" si="28"/>
        <v>0</v>
      </c>
      <c r="L128" s="94">
        <f t="shared" si="28"/>
        <v>0</v>
      </c>
      <c r="M128" s="94">
        <f t="shared" si="28"/>
        <v>0</v>
      </c>
      <c r="N128" s="94">
        <f t="shared" si="28"/>
        <v>0</v>
      </c>
      <c r="O128" s="94">
        <f t="shared" si="28"/>
        <v>0</v>
      </c>
      <c r="P128" s="94">
        <f t="shared" si="28"/>
        <v>0</v>
      </c>
      <c r="Q128" s="94">
        <f t="shared" si="28"/>
        <v>0</v>
      </c>
      <c r="R128" s="94">
        <f t="shared" si="28"/>
        <v>0</v>
      </c>
      <c r="S128" s="106">
        <f t="shared" si="20"/>
        <v>-152438723.56637022</v>
      </c>
      <c r="T128" s="471">
        <f t="shared" si="21"/>
        <v>-3.2877264281234142</v>
      </c>
    </row>
    <row r="129" spans="1:20">
      <c r="A129" s="117" t="str">
        <f t="shared" si="26"/>
        <v>46p</v>
      </c>
      <c r="B129" s="580" t="str">
        <f>+VLOOKUP(LEFT($A129,LEN(A129)-1)*1,Master!$D$29:$G$225,4,FALSE)</f>
        <v>Otplata dugova</v>
      </c>
      <c r="C129" s="581"/>
      <c r="D129" s="581"/>
      <c r="E129" s="581"/>
      <c r="F129" s="581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0</v>
      </c>
      <c r="J129" s="84">
        <f t="shared" si="29"/>
        <v>0</v>
      </c>
      <c r="K129" s="84">
        <f t="shared" si="29"/>
        <v>0</v>
      </c>
      <c r="L129" s="84">
        <f t="shared" si="29"/>
        <v>0</v>
      </c>
      <c r="M129" s="84">
        <f t="shared" si="29"/>
        <v>0</v>
      </c>
      <c r="N129" s="84">
        <f t="shared" si="29"/>
        <v>0</v>
      </c>
      <c r="O129" s="84">
        <f t="shared" si="29"/>
        <v>0</v>
      </c>
      <c r="P129" s="84">
        <f t="shared" si="29"/>
        <v>0</v>
      </c>
      <c r="Q129" s="84">
        <f t="shared" si="29"/>
        <v>0</v>
      </c>
      <c r="R129" s="84">
        <f t="shared" si="29"/>
        <v>0</v>
      </c>
      <c r="S129" s="104">
        <f t="shared" si="20"/>
        <v>33222936</v>
      </c>
      <c r="T129" s="472">
        <f t="shared" si="21"/>
        <v>0.71653660009489717</v>
      </c>
    </row>
    <row r="130" spans="1:20">
      <c r="A130" s="117" t="str">
        <f t="shared" si="26"/>
        <v>4611p</v>
      </c>
      <c r="B130" s="584" t="str">
        <f>+VLOOKUP(LEFT($A130,LEN(A130)-1)*1,Master!$D$29:$G$225,4,FALSE)</f>
        <v>Otplata hartija od vrijednosti i kredita rezidentima</v>
      </c>
      <c r="C130" s="585"/>
      <c r="D130" s="585"/>
      <c r="E130" s="585"/>
      <c r="F130" s="585"/>
      <c r="G130" s="96">
        <v>1630769</v>
      </c>
      <c r="H130" s="96">
        <v>13534430</v>
      </c>
      <c r="I130" s="96">
        <v>0</v>
      </c>
      <c r="J130" s="96">
        <v>0</v>
      </c>
      <c r="K130" s="96">
        <v>0</v>
      </c>
      <c r="L130" s="96">
        <v>0</v>
      </c>
      <c r="M130" s="96">
        <v>0</v>
      </c>
      <c r="N130" s="96">
        <v>0</v>
      </c>
      <c r="O130" s="96">
        <v>0</v>
      </c>
      <c r="P130" s="96">
        <v>0</v>
      </c>
      <c r="Q130" s="96">
        <v>0</v>
      </c>
      <c r="R130" s="96">
        <v>0</v>
      </c>
      <c r="S130" s="103">
        <f t="shared" si="20"/>
        <v>15165199</v>
      </c>
      <c r="T130" s="473">
        <f t="shared" si="21"/>
        <v>0.32707585299572961</v>
      </c>
    </row>
    <row r="131" spans="1:20" ht="13.5" thickBot="1">
      <c r="A131" s="117" t="str">
        <f t="shared" si="26"/>
        <v>4612p</v>
      </c>
      <c r="B131" s="578" t="str">
        <f>+VLOOKUP(LEFT($A131,LEN(A131)-1)*1,Master!$D$29:$G$225,4,FALSE)</f>
        <v>Otplata hartija od vrijednosti i kredita nerezidentima</v>
      </c>
      <c r="C131" s="579"/>
      <c r="D131" s="579"/>
      <c r="E131" s="579"/>
      <c r="F131" s="579"/>
      <c r="G131" s="96">
        <v>15484734</v>
      </c>
      <c r="H131" s="96">
        <v>2573003</v>
      </c>
      <c r="I131" s="96">
        <v>0</v>
      </c>
      <c r="J131" s="96">
        <v>0</v>
      </c>
      <c r="K131" s="96">
        <v>0</v>
      </c>
      <c r="L131" s="96">
        <v>0</v>
      </c>
      <c r="M131" s="96">
        <v>0</v>
      </c>
      <c r="N131" s="96">
        <v>0</v>
      </c>
      <c r="O131" s="96">
        <v>0</v>
      </c>
      <c r="P131" s="96">
        <v>0</v>
      </c>
      <c r="Q131" s="96">
        <v>0</v>
      </c>
      <c r="R131" s="96">
        <v>0</v>
      </c>
      <c r="S131" s="103">
        <f t="shared" si="20"/>
        <v>18057737</v>
      </c>
      <c r="T131" s="473">
        <f t="shared" si="21"/>
        <v>0.3894607470991675</v>
      </c>
    </row>
    <row r="132" spans="1:20" ht="13.5" thickBot="1">
      <c r="A132" s="117" t="str">
        <f t="shared" si="26"/>
        <v>4418p</v>
      </c>
      <c r="B132" s="572" t="str">
        <f>+VLOOKUP(LEFT($A132,LEN(A132)-1)*1,Master!$D$29:$G$225,4,FALSE)</f>
        <v>Izdaci za kupovinu hartija od vrijednosti</v>
      </c>
      <c r="C132" s="573"/>
      <c r="D132" s="573"/>
      <c r="E132" s="573"/>
      <c r="F132" s="573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0</v>
      </c>
      <c r="S132" s="450">
        <f t="shared" si="20"/>
        <v>536784</v>
      </c>
      <c r="T132" s="480">
        <f t="shared" si="21"/>
        <v>1.1577103912349566E-2</v>
      </c>
    </row>
    <row r="133" spans="1:20" ht="13.5" thickBot="1">
      <c r="A133" s="117" t="str">
        <f t="shared" si="26"/>
        <v>1002p</v>
      </c>
      <c r="B133" s="582" t="str">
        <f>+VLOOKUP(LEFT($A133,LEN(A133)-1)*1,Master!$D$29:$G$225,4,FALSE)</f>
        <v>Nedostajuća sredstva</v>
      </c>
      <c r="C133" s="583"/>
      <c r="D133" s="583"/>
      <c r="E133" s="583"/>
      <c r="F133" s="583"/>
      <c r="G133" s="77">
        <f t="shared" ref="G133:R133" si="30">+G127-G129-G132</f>
        <v>-116366469.79128213</v>
      </c>
      <c r="H133" s="77">
        <f t="shared" si="30"/>
        <v>-78899134.733188093</v>
      </c>
      <c r="I133" s="77">
        <f t="shared" si="30"/>
        <v>0</v>
      </c>
      <c r="J133" s="77">
        <f t="shared" si="30"/>
        <v>0</v>
      </c>
      <c r="K133" s="77">
        <f t="shared" si="30"/>
        <v>0</v>
      </c>
      <c r="L133" s="77">
        <f t="shared" si="30"/>
        <v>0</v>
      </c>
      <c r="M133" s="77">
        <f t="shared" si="30"/>
        <v>0</v>
      </c>
      <c r="N133" s="77">
        <f t="shared" si="30"/>
        <v>0</v>
      </c>
      <c r="O133" s="77">
        <f t="shared" si="30"/>
        <v>0</v>
      </c>
      <c r="P133" s="77">
        <f t="shared" si="30"/>
        <v>0</v>
      </c>
      <c r="Q133" s="77">
        <f t="shared" si="30"/>
        <v>0</v>
      </c>
      <c r="R133" s="77">
        <f t="shared" si="30"/>
        <v>0</v>
      </c>
      <c r="S133" s="109">
        <f t="shared" si="20"/>
        <v>-195265604.52447021</v>
      </c>
      <c r="T133" s="475">
        <f t="shared" si="21"/>
        <v>-4.2113963793398224</v>
      </c>
    </row>
    <row r="134" spans="1:20" ht="13.5" thickBot="1">
      <c r="A134" s="117" t="str">
        <f t="shared" si="26"/>
        <v>1003p</v>
      </c>
      <c r="B134" s="572" t="str">
        <f>+VLOOKUP(LEFT($A134,LEN(A134)-1)*1,Master!$D$29:$G$225,4,FALSE)</f>
        <v>Finansiranje</v>
      </c>
      <c r="C134" s="573"/>
      <c r="D134" s="573"/>
      <c r="E134" s="573"/>
      <c r="F134" s="573"/>
      <c r="G134" s="93">
        <f t="shared" ref="G134:R134" si="31">+SUM(G135:G138)</f>
        <v>116366469.79128213</v>
      </c>
      <c r="H134" s="93">
        <f t="shared" si="31"/>
        <v>78899134.733188093</v>
      </c>
      <c r="I134" s="93">
        <f t="shared" si="31"/>
        <v>0</v>
      </c>
      <c r="J134" s="93">
        <f t="shared" si="31"/>
        <v>0</v>
      </c>
      <c r="K134" s="93">
        <f t="shared" si="31"/>
        <v>0</v>
      </c>
      <c r="L134" s="93">
        <f t="shared" si="31"/>
        <v>0</v>
      </c>
      <c r="M134" s="93">
        <f t="shared" si="31"/>
        <v>0</v>
      </c>
      <c r="N134" s="93">
        <f t="shared" si="31"/>
        <v>0</v>
      </c>
      <c r="O134" s="93">
        <f t="shared" si="31"/>
        <v>0</v>
      </c>
      <c r="P134" s="93">
        <f t="shared" si="31"/>
        <v>0</v>
      </c>
      <c r="Q134" s="93">
        <f t="shared" si="31"/>
        <v>0</v>
      </c>
      <c r="R134" s="93">
        <f t="shared" si="31"/>
        <v>0</v>
      </c>
      <c r="S134" s="110">
        <f t="shared" si="20"/>
        <v>195265604.52447021</v>
      </c>
      <c r="T134" s="476">
        <f t="shared" si="21"/>
        <v>4.2113963793398224</v>
      </c>
    </row>
    <row r="135" spans="1:20">
      <c r="A135" s="117" t="str">
        <f t="shared" si="26"/>
        <v>7511p</v>
      </c>
      <c r="B135" s="584" t="str">
        <f>+VLOOKUP(LEFT($A135,LEN(A135)-1)*1,Master!$D$29:$G$225,4,FALSE)</f>
        <v>Pozajmice i krediti od domaćih izvora</v>
      </c>
      <c r="C135" s="585"/>
      <c r="D135" s="585"/>
      <c r="E135" s="585"/>
      <c r="F135" s="585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0">
      <c r="A136" s="117" t="str">
        <f t="shared" si="26"/>
        <v>7512p</v>
      </c>
      <c r="B136" s="578" t="str">
        <f>+VLOOKUP(LEFT($A136,LEN(A136)-1)*1,Master!$D$29:$G$225,4,FALSE)</f>
        <v>Pozajmice i krediti od inostranih izvora</v>
      </c>
      <c r="C136" s="579"/>
      <c r="D136" s="579"/>
      <c r="E136" s="579"/>
      <c r="F136" s="579"/>
      <c r="G136" s="96">
        <v>7000000</v>
      </c>
      <c r="H136" s="96">
        <v>200000</v>
      </c>
      <c r="I136" s="96">
        <v>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96">
        <v>0</v>
      </c>
      <c r="P136" s="96">
        <v>0</v>
      </c>
      <c r="Q136" s="96">
        <v>0</v>
      </c>
      <c r="R136" s="96">
        <v>0</v>
      </c>
      <c r="S136" s="103">
        <f t="shared" si="20"/>
        <v>7200000</v>
      </c>
      <c r="T136" s="473">
        <f t="shared" si="21"/>
        <v>0.15528620109563041</v>
      </c>
    </row>
    <row r="137" spans="1:20">
      <c r="A137" s="117" t="str">
        <f t="shared" si="26"/>
        <v>72p</v>
      </c>
      <c r="B137" s="578" t="str">
        <f>+VLOOKUP(LEFT($A137,LEN(A137)-1)*1,Master!$D$29:$G$225,4,FALSE)</f>
        <v>Primici od prodaje imovine</v>
      </c>
      <c r="C137" s="579"/>
      <c r="D137" s="579"/>
      <c r="E137" s="579"/>
      <c r="F137" s="579"/>
      <c r="G137" s="96">
        <v>62782.51</v>
      </c>
      <c r="H137" s="96">
        <v>30000</v>
      </c>
      <c r="I137" s="96">
        <v>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0</v>
      </c>
      <c r="Q137" s="96">
        <v>0</v>
      </c>
      <c r="R137" s="96">
        <v>0</v>
      </c>
      <c r="S137" s="103">
        <f t="shared" si="20"/>
        <v>92782.510000000009</v>
      </c>
      <c r="T137" s="473">
        <f t="shared" si="21"/>
        <v>2.001089375835742E-3</v>
      </c>
    </row>
    <row r="138" spans="1:20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109303687.28128213</v>
      </c>
      <c r="H138" s="97">
        <f t="shared" si="32"/>
        <v>78669134.733188093</v>
      </c>
      <c r="I138" s="97">
        <f t="shared" si="32"/>
        <v>0</v>
      </c>
      <c r="J138" s="97">
        <f t="shared" si="32"/>
        <v>0</v>
      </c>
      <c r="K138" s="97">
        <f t="shared" si="32"/>
        <v>0</v>
      </c>
      <c r="L138" s="97">
        <f t="shared" si="32"/>
        <v>0</v>
      </c>
      <c r="M138" s="97">
        <f t="shared" si="32"/>
        <v>0</v>
      </c>
      <c r="N138" s="97">
        <f t="shared" si="32"/>
        <v>0</v>
      </c>
      <c r="O138" s="97">
        <f t="shared" si="32"/>
        <v>0</v>
      </c>
      <c r="P138" s="97">
        <f t="shared" si="32"/>
        <v>0</v>
      </c>
      <c r="Q138" s="97">
        <f t="shared" si="32"/>
        <v>0</v>
      </c>
      <c r="R138" s="97">
        <f t="shared" si="32"/>
        <v>0</v>
      </c>
      <c r="S138" s="105">
        <f t="shared" si="20"/>
        <v>187972822.01447022</v>
      </c>
      <c r="T138" s="477">
        <f t="shared" si="21"/>
        <v>4.0541090888683566</v>
      </c>
    </row>
  </sheetData>
  <sheetProtection algorithmName="SHA-512" hashValue="8rjhIIdd1A2mgdZco61rPoE4e+jTv8fzUhJvvP3EoCXj7KVWNvsjxzV7wHu3+Nz0mTJhxBvwjrYvzuErVaV+nQ==" saltValue="KleJju37GBZDuBmC+42r8A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topLeftCell="L1" zoomScaleNormal="100" workbookViewId="0">
      <pane ySplit="1" topLeftCell="A2" activePane="bottomLeft" state="frozen"/>
      <selection pane="bottomLeft" activeCell="T53" sqref="T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34" t="str">
        <f>+Master!G251</f>
        <v>Ostvarenje budžeta</v>
      </c>
      <c r="C7" s="517"/>
      <c r="D7" s="517"/>
      <c r="E7" s="517"/>
      <c r="F7" s="517"/>
      <c r="G7" s="525">
        <v>2020</v>
      </c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9"/>
      <c r="S7" s="235" t="str">
        <f>+Master!G248</f>
        <v>BDP</v>
      </c>
      <c r="T7" s="236">
        <v>4193200000</v>
      </c>
    </row>
    <row r="8" spans="1:20" ht="16.5" customHeight="1">
      <c r="A8" s="144"/>
      <c r="B8" s="518"/>
      <c r="C8" s="519"/>
      <c r="D8" s="519"/>
      <c r="E8" s="519"/>
      <c r="F8" s="52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5" t="str">
        <f>+Master!G246</f>
        <v>Jan - Dec</v>
      </c>
      <c r="T8" s="529"/>
    </row>
    <row r="9" spans="1:20" ht="13.5" thickBot="1">
      <c r="A9" s="144"/>
      <c r="B9" s="521"/>
      <c r="C9" s="522"/>
      <c r="D9" s="522"/>
      <c r="E9" s="522"/>
      <c r="F9" s="52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484" t="str">
        <f>+VLOOKUP($A10,Master!$D$29:$G$225,4,FALSE)</f>
        <v>Prihodi budžeta</v>
      </c>
      <c r="C10" s="485"/>
      <c r="D10" s="485"/>
      <c r="E10" s="485"/>
      <c r="F10" s="485"/>
      <c r="G10" s="151">
        <f t="shared" ref="G10:R10" si="1">+G11+G19+SUM(G24:G28)</f>
        <v>94322241.549999997</v>
      </c>
      <c r="H10" s="151">
        <f t="shared" si="1"/>
        <v>119853208.28999999</v>
      </c>
      <c r="I10" s="151">
        <f t="shared" si="1"/>
        <v>161192245.46000001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141282058.98999998</v>
      </c>
      <c r="O10" s="151">
        <f t="shared" si="1"/>
        <v>142573225.66999999</v>
      </c>
      <c r="P10" s="151">
        <f t="shared" si="1"/>
        <v>136433020.73000002</v>
      </c>
      <c r="Q10" s="151">
        <f t="shared" si="1"/>
        <v>154026446.92000002</v>
      </c>
      <c r="R10" s="151">
        <f t="shared" si="1"/>
        <v>182878451.81</v>
      </c>
      <c r="S10" s="239">
        <f>+SUM(G10:R10)</f>
        <v>1639279331.3200002</v>
      </c>
      <c r="T10" s="435">
        <f>+S10/$T$7*100</f>
        <v>39.093754920347237</v>
      </c>
    </row>
    <row r="11" spans="1:20">
      <c r="A11" s="150">
        <v>711</v>
      </c>
      <c r="B11" s="486" t="str">
        <f>+VLOOKUP($A11,Master!$D$29:$G$225,4,FALSE)</f>
        <v>Porezi</v>
      </c>
      <c r="C11" s="487"/>
      <c r="D11" s="487"/>
      <c r="E11" s="487"/>
      <c r="F11" s="487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23.03977473719355</v>
      </c>
    </row>
    <row r="12" spans="1:20">
      <c r="A12" s="150">
        <v>7111</v>
      </c>
      <c r="B12" s="488" t="str">
        <f>+VLOOKUP($A12,Master!$D$29:$G$225,4,FALSE)</f>
        <v>Porez na dohodak fizičkih lica</v>
      </c>
      <c r="C12" s="489"/>
      <c r="D12" s="489"/>
      <c r="E12" s="489"/>
      <c r="F12" s="489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2.822236689878852</v>
      </c>
    </row>
    <row r="13" spans="1:20">
      <c r="A13" s="150">
        <v>7112</v>
      </c>
      <c r="B13" s="488" t="str">
        <f>+VLOOKUP($A13,Master!$D$29:$G$225,4,FALSE)</f>
        <v>Porez na dobit pravnih lica</v>
      </c>
      <c r="C13" s="489"/>
      <c r="D13" s="489"/>
      <c r="E13" s="489"/>
      <c r="F13" s="489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1.8702984978059716</v>
      </c>
    </row>
    <row r="14" spans="1:20">
      <c r="A14" s="150">
        <v>7113</v>
      </c>
      <c r="B14" s="488" t="str">
        <f>+VLOOKUP($A14,Master!$D$29:$G$225,4,FALSE)</f>
        <v>Porez na promet nepokretnosti</v>
      </c>
      <c r="C14" s="489"/>
      <c r="D14" s="489"/>
      <c r="E14" s="489"/>
      <c r="F14" s="489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3.6808421253457985E-2</v>
      </c>
    </row>
    <row r="15" spans="1:20">
      <c r="A15" s="150">
        <v>7114</v>
      </c>
      <c r="B15" s="488" t="str">
        <f>+VLOOKUP($A15,Master!$D$29:$G$225,4,FALSE)</f>
        <v>Porez na dodatu vrijednost</v>
      </c>
      <c r="C15" s="489"/>
      <c r="D15" s="489"/>
      <c r="E15" s="489"/>
      <c r="F15" s="489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12.634274825670133</v>
      </c>
    </row>
    <row r="16" spans="1:20">
      <c r="A16" s="150">
        <v>7115</v>
      </c>
      <c r="B16" s="488" t="str">
        <f>+VLOOKUP($A16,Master!$D$29:$G$225,4,FALSE)</f>
        <v>Akcize</v>
      </c>
      <c r="C16" s="489"/>
      <c r="D16" s="489"/>
      <c r="E16" s="489"/>
      <c r="F16" s="489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4.8982304151960321</v>
      </c>
    </row>
    <row r="17" spans="1:25">
      <c r="A17" s="150">
        <v>7116</v>
      </c>
      <c r="B17" s="488" t="str">
        <f>+VLOOKUP($A17,Master!$D$29:$G$225,4,FALSE)</f>
        <v>Porez na međunarodnu trgovinu i transakcije</v>
      </c>
      <c r="C17" s="489"/>
      <c r="D17" s="489"/>
      <c r="E17" s="489"/>
      <c r="F17" s="489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0.53987197534102827</v>
      </c>
    </row>
    <row r="18" spans="1:25">
      <c r="A18" s="150">
        <v>7118</v>
      </c>
      <c r="B18" s="488" t="str">
        <f>+VLOOKUP($A18,Master!$D$29:$G$225,4,FALSE)</f>
        <v>Ostali državni porezi</v>
      </c>
      <c r="C18" s="489"/>
      <c r="D18" s="489"/>
      <c r="E18" s="489"/>
      <c r="F18" s="489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0.23805391204807785</v>
      </c>
    </row>
    <row r="19" spans="1:25">
      <c r="A19" s="150">
        <v>712</v>
      </c>
      <c r="B19" s="492" t="str">
        <f>+VLOOKUP($A19,Master!$D$29:$G$225,4,FALSE)</f>
        <v>Doprinosi</v>
      </c>
      <c r="C19" s="493"/>
      <c r="D19" s="493"/>
      <c r="E19" s="493"/>
      <c r="F19" s="493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12.663850314556901</v>
      </c>
    </row>
    <row r="20" spans="1:25">
      <c r="A20" s="150">
        <v>7121</v>
      </c>
      <c r="B20" s="488" t="str">
        <f>+VLOOKUP($A20,Master!$D$29:$G$225,4,FALSE)</f>
        <v>Doprinosi za penzijsko i invalidsko osiguranje</v>
      </c>
      <c r="C20" s="489"/>
      <c r="D20" s="489"/>
      <c r="E20" s="489"/>
      <c r="F20" s="489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7.8891372670037203</v>
      </c>
    </row>
    <row r="21" spans="1:25">
      <c r="A21" s="150">
        <v>7122</v>
      </c>
      <c r="B21" s="488" t="str">
        <f>+VLOOKUP($A21,Master!$D$29:$G$225,4,FALSE)</f>
        <v>Doprinosi za zdravstveno osiguranje</v>
      </c>
      <c r="C21" s="489"/>
      <c r="D21" s="489"/>
      <c r="E21" s="489"/>
      <c r="F21" s="489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4.0914253806162346</v>
      </c>
    </row>
    <row r="22" spans="1:25">
      <c r="A22" s="150">
        <v>7123</v>
      </c>
      <c r="B22" s="488" t="str">
        <f>+VLOOKUP($A22,Master!$D$29:$G$225,4,FALSE)</f>
        <v>Doprinosi za osiguranje od nezaposlenosti</v>
      </c>
      <c r="C22" s="489"/>
      <c r="D22" s="489"/>
      <c r="E22" s="489"/>
      <c r="F22" s="489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0.36772938471811512</v>
      </c>
    </row>
    <row r="23" spans="1:25">
      <c r="A23" s="150">
        <v>7124</v>
      </c>
      <c r="B23" s="488" t="str">
        <f>+VLOOKUP($A23,Master!$D$29:$G$225,4,FALSE)</f>
        <v>Ostali doprinosi</v>
      </c>
      <c r="C23" s="489"/>
      <c r="D23" s="489"/>
      <c r="E23" s="489"/>
      <c r="F23" s="489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0.31555828221883048</v>
      </c>
      <c r="Y23" s="305"/>
    </row>
    <row r="24" spans="1:25">
      <c r="A24" s="150">
        <v>713</v>
      </c>
      <c r="B24" s="490" t="str">
        <f>+VLOOKUP($A24,Master!$D$29:$G$225,4,FALSE)</f>
        <v>Takse</v>
      </c>
      <c r="C24" s="491"/>
      <c r="D24" s="491"/>
      <c r="E24" s="491"/>
      <c r="F24" s="491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0.25365932581322143</v>
      </c>
      <c r="Y24" s="305"/>
    </row>
    <row r="25" spans="1:25">
      <c r="A25" s="150">
        <v>714</v>
      </c>
      <c r="B25" s="490" t="str">
        <f>+VLOOKUP($A25,Master!$D$29:$G$225,4,FALSE)</f>
        <v>Naknade</v>
      </c>
      <c r="C25" s="491"/>
      <c r="D25" s="491"/>
      <c r="E25" s="491"/>
      <c r="F25" s="491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0.66342614375655828</v>
      </c>
      <c r="W25" s="292"/>
    </row>
    <row r="26" spans="1:25">
      <c r="A26" s="150">
        <v>715</v>
      </c>
      <c r="B26" s="490" t="str">
        <f>+VLOOKUP($A26,Master!$D$29:$G$225,4,FALSE)</f>
        <v>Ostali prihodi</v>
      </c>
      <c r="C26" s="491"/>
      <c r="D26" s="491"/>
      <c r="E26" s="491"/>
      <c r="F26" s="491"/>
      <c r="G26" s="175">
        <f>+INDEX(DataEx!$1:$1048576,MATCH('2020'!$A26,DataEx!$D:$D,0),MATCH('2020'!G$6,DataEx!$7:$7,0))</f>
        <v>1483659.28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4244020.3499999996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3216729.54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1941236.87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2626238.34</v>
      </c>
      <c r="S26" s="243">
        <f t="shared" si="3"/>
        <v>36682087.299999997</v>
      </c>
      <c r="T26" s="438">
        <f t="shared" si="4"/>
        <v>0.8747993727940474</v>
      </c>
      <c r="W26" s="311"/>
    </row>
    <row r="27" spans="1:25">
      <c r="A27" s="150">
        <v>73</v>
      </c>
      <c r="B27" s="490" t="str">
        <f>+VLOOKUP($A27,Master!$D$29:$G$225,4,FALSE)</f>
        <v>Primici od otplate kredita i sredstva prenesena iz prethodne godine</v>
      </c>
      <c r="C27" s="491"/>
      <c r="D27" s="491"/>
      <c r="E27" s="491"/>
      <c r="F27" s="491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2968039.43</v>
      </c>
      <c r="R27" s="244">
        <f>+INDEX(DataEx!$1:$1048576,MATCH('2020'!$A27,DataEx!$D:$D,0),MATCH('2020'!R$6,DataEx!$7:$7,0))</f>
        <v>1060252.57</v>
      </c>
      <c r="S27" s="243">
        <f t="shared" si="3"/>
        <v>9320007.1500000004</v>
      </c>
      <c r="T27" s="438">
        <f t="shared" si="4"/>
        <v>0.22226478942096728</v>
      </c>
    </row>
    <row r="28" spans="1:25" ht="13.5" thickBot="1">
      <c r="A28" s="150">
        <v>74</v>
      </c>
      <c r="B28" s="494" t="str">
        <f>+VLOOKUP($A28,Master!$D$29:$G$225,4,FALSE)</f>
        <v>Donacije i transferi</v>
      </c>
      <c r="C28" s="495"/>
      <c r="D28" s="495"/>
      <c r="E28" s="495"/>
      <c r="F28" s="495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5901779.6799999997</v>
      </c>
      <c r="S28" s="243">
        <f t="shared" si="3"/>
        <v>57697603.289999999</v>
      </c>
      <c r="T28" s="439">
        <f t="shared" si="4"/>
        <v>1.3759802368119811</v>
      </c>
    </row>
    <row r="29" spans="1:25" ht="13.5" thickBot="1">
      <c r="A29" s="150">
        <v>4</v>
      </c>
      <c r="B29" s="496" t="str">
        <f>+VLOOKUP($A29,Master!$D$29:$G$225,4,FALSE)</f>
        <v>Izdaci budžeta</v>
      </c>
      <c r="C29" s="497"/>
      <c r="D29" s="497"/>
      <c r="E29" s="497"/>
      <c r="F29" s="497"/>
      <c r="G29" s="151">
        <f t="shared" ref="G29:R29" si="5">+G30+G40+G46+SUM(G47:G51)</f>
        <v>128606215.384</v>
      </c>
      <c r="H29" s="151">
        <f t="shared" si="5"/>
        <v>145734321.47400001</v>
      </c>
      <c r="I29" s="151">
        <f t="shared" si="5"/>
        <v>178224167.55400002</v>
      </c>
      <c r="J29" s="151">
        <f t="shared" si="5"/>
        <v>170329171.294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190592331.15399998</v>
      </c>
      <c r="N29" s="151">
        <f t="shared" si="5"/>
        <v>181891693.96199998</v>
      </c>
      <c r="O29" s="151">
        <f t="shared" si="5"/>
        <v>164193652.48000002</v>
      </c>
      <c r="P29" s="151">
        <f t="shared" si="5"/>
        <v>188439226.92000002</v>
      </c>
      <c r="Q29" s="151">
        <f t="shared" si="5"/>
        <v>165383741.06</v>
      </c>
      <c r="R29" s="151">
        <f t="shared" si="5"/>
        <v>211976550.01999998</v>
      </c>
      <c r="S29" s="245">
        <f t="shared" si="3"/>
        <v>2064623643.5599999</v>
      </c>
      <c r="T29" s="440">
        <f t="shared" si="4"/>
        <v>49.237423532385769</v>
      </c>
    </row>
    <row r="30" spans="1:25">
      <c r="A30" s="150">
        <v>41</v>
      </c>
      <c r="B30" s="500" t="str">
        <f>+VLOOKUP($A30,Master!$D$29:$G$225,4,FALSE)</f>
        <v>Tekući izdaci</v>
      </c>
      <c r="C30" s="501"/>
      <c r="D30" s="501"/>
      <c r="E30" s="501"/>
      <c r="F30" s="501"/>
      <c r="G30" s="187">
        <f t="shared" ref="G30:R30" si="6">+SUM(G31:G39)</f>
        <v>53664693.469999999</v>
      </c>
      <c r="H30" s="187">
        <f t="shared" si="6"/>
        <v>62289276.800000004</v>
      </c>
      <c r="I30" s="187">
        <f t="shared" si="6"/>
        <v>85183668.729999989</v>
      </c>
      <c r="J30" s="187">
        <f t="shared" si="6"/>
        <v>84433965.179999992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70731171.870000005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80290482.760000005</v>
      </c>
      <c r="Q30" s="187">
        <f t="shared" si="6"/>
        <v>73263896.420000002</v>
      </c>
      <c r="R30" s="246">
        <f t="shared" si="6"/>
        <v>93055269.089999989</v>
      </c>
      <c r="S30" s="425">
        <f t="shared" si="3"/>
        <v>857947882.95999992</v>
      </c>
      <c r="T30" s="436">
        <f t="shared" si="4"/>
        <v>20.460457000858533</v>
      </c>
    </row>
    <row r="31" spans="1:25">
      <c r="A31" s="150">
        <v>411</v>
      </c>
      <c r="B31" s="488" t="str">
        <f>+VLOOKUP($A31,Master!$D$29:$G$225,4,FALSE)</f>
        <v>Bruto zarade i doprinosi na teret poslodavca</v>
      </c>
      <c r="C31" s="489"/>
      <c r="D31" s="489"/>
      <c r="E31" s="489"/>
      <c r="F31" s="489"/>
      <c r="G31" s="163">
        <f>+INDEX(DataEx!$1:$1048576,MATCH('2020'!$A31,DataEx!$D:$D,0),MATCH('2020'!G$6,DataEx!$7:$7,0))</f>
        <v>40884832.280000001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499152382.91000003</v>
      </c>
      <c r="T31" s="437">
        <f t="shared" si="4"/>
        <v>11.903853451063627</v>
      </c>
    </row>
    <row r="32" spans="1:25">
      <c r="A32" s="150">
        <v>412</v>
      </c>
      <c r="B32" s="488" t="str">
        <f>+VLOOKUP($A32,Master!$D$29:$G$225,4,FALSE)</f>
        <v>Ostala lična primanja</v>
      </c>
      <c r="C32" s="489"/>
      <c r="D32" s="489"/>
      <c r="E32" s="489"/>
      <c r="F32" s="489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0.30810947557950968</v>
      </c>
    </row>
    <row r="33" spans="1:23">
      <c r="A33" s="150">
        <v>413</v>
      </c>
      <c r="B33" s="488" t="str">
        <f>+VLOOKUP($A33,Master!$D$29:$G$225,4,FALSE)</f>
        <v>Rashodi za materijal</v>
      </c>
      <c r="C33" s="489"/>
      <c r="D33" s="489"/>
      <c r="E33" s="489"/>
      <c r="F33" s="489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2438901.1800000002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3584908.38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39929930.219999999</v>
      </c>
      <c r="T33" s="437">
        <f t="shared" si="4"/>
        <v>0.9522543694553085</v>
      </c>
      <c r="V33" s="291"/>
    </row>
    <row r="34" spans="1:23" s="362" customFormat="1">
      <c r="A34" s="361">
        <v>414</v>
      </c>
      <c r="B34" s="535" t="str">
        <f>+VLOOKUP($A34,Master!$D$29:$G$225,4,FALSE)</f>
        <v>Rashodi za usluge</v>
      </c>
      <c r="C34" s="536"/>
      <c r="D34" s="536"/>
      <c r="E34" s="536"/>
      <c r="F34" s="536"/>
      <c r="G34" s="163">
        <f>+INDEX(DataEx!$1:$1048576,MATCH('2020'!$A34,DataEx!$D:$D,0),MATCH('2020'!G$6,DataEx!$7:$7,0))</f>
        <v>1498432.23</v>
      </c>
      <c r="H34" s="163">
        <f>+INDEX(DataEx!$1:$1048576,MATCH('2020'!$A34,DataEx!$D:$D,0),MATCH('2020'!H$6,DataEx!$7:$7,0))</f>
        <v>5735111.25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6553728.3099999996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10154138.76</v>
      </c>
      <c r="S34" s="242">
        <f t="shared" si="3"/>
        <v>74266592.530000001</v>
      </c>
      <c r="T34" s="437">
        <f t="shared" si="4"/>
        <v>1.7711197302775923</v>
      </c>
      <c r="U34" s="258"/>
    </row>
    <row r="35" spans="1:23">
      <c r="A35" s="150">
        <v>415</v>
      </c>
      <c r="B35" s="488" t="str">
        <f>+VLOOKUP($A35,Master!$D$29:$G$225,4,FALSE)</f>
        <v>Rashodi za tekuće održavanje</v>
      </c>
      <c r="C35" s="489"/>
      <c r="D35" s="489"/>
      <c r="E35" s="489"/>
      <c r="F35" s="489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0.58102842196890214</v>
      </c>
    </row>
    <row r="36" spans="1:23">
      <c r="A36" s="150">
        <v>416</v>
      </c>
      <c r="B36" s="488" t="str">
        <f>+VLOOKUP($A36,Master!$D$29:$G$225,4,FALSE)</f>
        <v>Kamate</v>
      </c>
      <c r="C36" s="489"/>
      <c r="D36" s="489"/>
      <c r="E36" s="489"/>
      <c r="F36" s="489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22559197.739999998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9173650.0500000007</v>
      </c>
      <c r="S36" s="242">
        <f>+SUM(G36:R36)</f>
        <v>111030025.40000001</v>
      </c>
      <c r="T36" s="437">
        <f t="shared" si="4"/>
        <v>2.6478590432128208</v>
      </c>
    </row>
    <row r="37" spans="1:23">
      <c r="A37" s="150">
        <v>417</v>
      </c>
      <c r="B37" s="488" t="str">
        <f>+VLOOKUP($A37,Master!$D$29:$G$225,4,FALSE)</f>
        <v>Renta</v>
      </c>
      <c r="C37" s="489"/>
      <c r="D37" s="489"/>
      <c r="E37" s="489"/>
      <c r="F37" s="489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0.27114387102928555</v>
      </c>
    </row>
    <row r="38" spans="1:23">
      <c r="A38" s="150">
        <v>418</v>
      </c>
      <c r="B38" s="488" t="str">
        <f>+VLOOKUP($A38,Master!$D$29:$G$225,4,FALSE)</f>
        <v>Subvencije</v>
      </c>
      <c r="C38" s="489"/>
      <c r="D38" s="489"/>
      <c r="E38" s="489"/>
      <c r="F38" s="489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0.866265675856148</v>
      </c>
    </row>
    <row r="39" spans="1:23" s="362" customFormat="1">
      <c r="A39" s="361">
        <v>419</v>
      </c>
      <c r="B39" s="535" t="str">
        <f>+VLOOKUP($A39,Master!$D$29:$G$225,4,FALSE)</f>
        <v>Ostali izdaci</v>
      </c>
      <c r="C39" s="536"/>
      <c r="D39" s="536"/>
      <c r="E39" s="536"/>
      <c r="F39" s="53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4264127.51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48591764.460000001</v>
      </c>
      <c r="T39" s="437">
        <f t="shared" si="4"/>
        <v>1.158822962415339</v>
      </c>
      <c r="U39" s="258"/>
    </row>
    <row r="40" spans="1:23">
      <c r="A40" s="150">
        <v>42</v>
      </c>
      <c r="B40" s="504" t="str">
        <f>+VLOOKUP($A40,Master!$D$29:$G$225,4,FALSE)</f>
        <v>Transferi za socijalnu zaštitu</v>
      </c>
      <c r="C40" s="505"/>
      <c r="D40" s="505"/>
      <c r="E40" s="505"/>
      <c r="F40" s="505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13.323451504817324</v>
      </c>
      <c r="U40" s="242"/>
      <c r="W40" s="309"/>
    </row>
    <row r="41" spans="1:23">
      <c r="A41" s="150">
        <v>421</v>
      </c>
      <c r="B41" s="488" t="str">
        <f>+VLOOKUP($A41,Master!$D$29:$G$225,4,FALSE)</f>
        <v>Prava iz oblasti socijalne zaštite</v>
      </c>
      <c r="C41" s="489"/>
      <c r="D41" s="489"/>
      <c r="E41" s="489"/>
      <c r="F41" s="489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1.9192809205380139</v>
      </c>
      <c r="U41" s="242"/>
    </row>
    <row r="42" spans="1:23">
      <c r="A42" s="150">
        <v>422</v>
      </c>
      <c r="B42" s="488" t="str">
        <f>+VLOOKUP($A42,Master!$D$29:$G$225,4,FALSE)</f>
        <v>Sredstva za tehnološke viškove</v>
      </c>
      <c r="C42" s="489"/>
      <c r="D42" s="489"/>
      <c r="E42" s="489"/>
      <c r="F42" s="489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0.47931132786416103</v>
      </c>
      <c r="U42" s="242"/>
    </row>
    <row r="43" spans="1:23">
      <c r="A43" s="150">
        <v>423</v>
      </c>
      <c r="B43" s="488" t="str">
        <f>+VLOOKUP($A43,Master!$D$29:$G$225,4,FALSE)</f>
        <v>Prava iz oblasti penzijskog i invalidskog osiguranja</v>
      </c>
      <c r="C43" s="489"/>
      <c r="D43" s="489"/>
      <c r="E43" s="489"/>
      <c r="F43" s="489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10.208709002194031</v>
      </c>
      <c r="U43" s="242"/>
    </row>
    <row r="44" spans="1:23">
      <c r="A44" s="150">
        <v>424</v>
      </c>
      <c r="B44" s="488" t="str">
        <f>+VLOOKUP($A44,Master!$D$29:$G$225,4,FALSE)</f>
        <v>Ostala prava iz oblasti zdravstvene zaštite</v>
      </c>
      <c r="C44" s="489"/>
      <c r="D44" s="489"/>
      <c r="E44" s="489"/>
      <c r="F44" s="489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0.48224239244491068</v>
      </c>
      <c r="U44" s="242"/>
    </row>
    <row r="45" spans="1:23" s="362" customFormat="1">
      <c r="A45" s="361">
        <v>425</v>
      </c>
      <c r="B45" s="537" t="str">
        <f>+VLOOKUP($A45,Master!$D$29:$G$225,4,FALSE)</f>
        <v>Ostala prava iz zdravstvenog osiguranja</v>
      </c>
      <c r="C45" s="538"/>
      <c r="D45" s="538"/>
      <c r="E45" s="538"/>
      <c r="F45" s="538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0.23390786177620906</v>
      </c>
      <c r="U45" s="242"/>
    </row>
    <row r="46" spans="1:23">
      <c r="A46" s="150">
        <v>43</v>
      </c>
      <c r="B46" s="502" t="str">
        <f>+VLOOKUP($A46,Master!$D$29:$G$225,4,FALSE)</f>
        <v xml:space="preserve">Transferi institucijama, pojedincima, nevladinom i javnom sektoru </v>
      </c>
      <c r="C46" s="503"/>
      <c r="D46" s="503"/>
      <c r="E46" s="503"/>
      <c r="F46" s="503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23914749.120000001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281258675.63999999</v>
      </c>
      <c r="T46" s="438">
        <f t="shared" si="4"/>
        <v>6.7074948879137644</v>
      </c>
      <c r="U46" s="242"/>
    </row>
    <row r="47" spans="1:23">
      <c r="A47" s="150">
        <v>44</v>
      </c>
      <c r="B47" s="502" t="str">
        <f>+VLOOKUP($A47,Master!$D$29:$G$225,4,FALSE)</f>
        <v>Kapitalni izdaci</v>
      </c>
      <c r="C47" s="503"/>
      <c r="D47" s="503"/>
      <c r="E47" s="503"/>
      <c r="F47" s="503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19124293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229937455.56</v>
      </c>
      <c r="T47" s="438">
        <f t="shared" si="4"/>
        <v>5.4835794991891635</v>
      </c>
      <c r="U47" s="242"/>
    </row>
    <row r="48" spans="1:23">
      <c r="A48" s="150">
        <v>451</v>
      </c>
      <c r="B48" s="539" t="str">
        <f>+VLOOKUP($A48,Master!$D$29:$G$225,4,FALSE)</f>
        <v>Pozajmice i krediti</v>
      </c>
      <c r="C48" s="540"/>
      <c r="D48" s="540"/>
      <c r="E48" s="540"/>
      <c r="F48" s="540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3.8430482686253938E-2</v>
      </c>
      <c r="U48" s="242"/>
    </row>
    <row r="49" spans="1:22" s="362" customFormat="1">
      <c r="A49" s="361">
        <v>47</v>
      </c>
      <c r="B49" s="546" t="str">
        <f>+VLOOKUP($A49,Master!$D$29:$G$225,4,FALSE)</f>
        <v>Rezerve</v>
      </c>
      <c r="C49" s="547"/>
      <c r="D49" s="547"/>
      <c r="E49" s="547"/>
      <c r="F49" s="547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2.7762498616808164</v>
      </c>
      <c r="U49" s="242"/>
    </row>
    <row r="50" spans="1:22" ht="13.5" thickBot="1">
      <c r="A50" s="150">
        <v>462</v>
      </c>
      <c r="B50" s="508" t="str">
        <f>+VLOOKUP($A50,Master!$D$29:$G$225,4,FALSE)</f>
        <v>Otplata garancija</v>
      </c>
      <c r="C50" s="509"/>
      <c r="D50" s="509"/>
      <c r="E50" s="509"/>
      <c r="F50" s="509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48" t="str">
        <f>+VLOOKUP($A51,Master!$D$29:$G$225,4,TRUE)</f>
        <v>Otplata obaveza iz prethodnog perioda</v>
      </c>
      <c r="C51" s="549"/>
      <c r="D51" s="549"/>
      <c r="E51" s="549"/>
      <c r="F51" s="549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0.44776029523991229</v>
      </c>
      <c r="U51" s="242"/>
    </row>
    <row r="52" spans="1:22" ht="13.5" thickBot="1">
      <c r="A52" s="70">
        <v>1005</v>
      </c>
      <c r="B52" s="550" t="str">
        <f>+VLOOKUP($A52,Master!$D$29:$G$227,4,FALSE)</f>
        <v>Neto povećanje obaveza</v>
      </c>
      <c r="C52" s="551"/>
      <c r="D52" s="551"/>
      <c r="E52" s="551"/>
      <c r="F52" s="551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10" t="str">
        <f>+VLOOKUP($A53,Master!$D$29:$G$225,4,FALSE)</f>
        <v>Suficit / deficit</v>
      </c>
      <c r="C53" s="511"/>
      <c r="D53" s="511"/>
      <c r="E53" s="511"/>
      <c r="F53" s="511"/>
      <c r="G53" s="151">
        <f t="shared" ref="G53:R53" si="8">+G10-G29</f>
        <v>-34283973.834000006</v>
      </c>
      <c r="H53" s="151">
        <f t="shared" si="8"/>
        <v>-25881113.184000015</v>
      </c>
      <c r="I53" s="151">
        <f t="shared" si="8"/>
        <v>-17031922.094000012</v>
      </c>
      <c r="J53" s="151">
        <f t="shared" si="8"/>
        <v>-45395574.583999991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-56328359.013999999</v>
      </c>
      <c r="N53" s="151">
        <f t="shared" si="8"/>
        <v>-40609634.972000003</v>
      </c>
      <c r="O53" s="151">
        <f t="shared" si="8"/>
        <v>-21620426.810000032</v>
      </c>
      <c r="P53" s="151">
        <f t="shared" si="8"/>
        <v>-52006206.189999998</v>
      </c>
      <c r="Q53" s="151">
        <f t="shared" si="8"/>
        <v>-11357294.139999986</v>
      </c>
      <c r="R53" s="151">
        <f t="shared" si="8"/>
        <v>-29098098.209999979</v>
      </c>
      <c r="S53" s="248">
        <f t="shared" si="3"/>
        <v>-425344312.24000001</v>
      </c>
      <c r="T53" s="443">
        <f t="shared" si="4"/>
        <v>-10.143668612038539</v>
      </c>
    </row>
    <row r="54" spans="1:22" ht="13.5" thickBot="1">
      <c r="A54" s="144">
        <v>1001</v>
      </c>
      <c r="B54" s="512" t="str">
        <f>+VLOOKUP($A54,Master!$D$29:$G$225,4,FALSE)</f>
        <v>Primarni suficit/deficit</v>
      </c>
      <c r="C54" s="513"/>
      <c r="D54" s="513"/>
      <c r="E54" s="513"/>
      <c r="F54" s="513"/>
      <c r="G54" s="205">
        <f t="shared" ref="G54:R54" si="9">+G53+G36</f>
        <v>-26629128.444000006</v>
      </c>
      <c r="H54" s="205">
        <f t="shared" si="9"/>
        <v>-24041311.304000016</v>
      </c>
      <c r="I54" s="205">
        <f t="shared" si="9"/>
        <v>10444038.305999987</v>
      </c>
      <c r="J54" s="205">
        <f t="shared" si="9"/>
        <v>-22836376.843999993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-48551628.854000002</v>
      </c>
      <c r="N54" s="205">
        <f t="shared" si="9"/>
        <v>-38835803.792000003</v>
      </c>
      <c r="O54" s="205">
        <f t="shared" si="9"/>
        <v>-20067991.520000033</v>
      </c>
      <c r="P54" s="205">
        <f t="shared" si="9"/>
        <v>-37783189.82</v>
      </c>
      <c r="Q54" s="205">
        <f t="shared" si="9"/>
        <v>-1355391.2299999855</v>
      </c>
      <c r="R54" s="205">
        <f t="shared" si="9"/>
        <v>-19924448.159999978</v>
      </c>
      <c r="S54" s="248">
        <f t="shared" si="3"/>
        <v>-314314286.83999997</v>
      </c>
      <c r="T54" s="443">
        <f t="shared" si="4"/>
        <v>-7.4958095688257176</v>
      </c>
    </row>
    <row r="55" spans="1:22">
      <c r="A55" s="144">
        <v>46</v>
      </c>
      <c r="B55" s="544" t="str">
        <f>+VLOOKUP($A55,Master!$D$29:$G$225,4,FALSE)</f>
        <v>Otplata dugova</v>
      </c>
      <c r="C55" s="545"/>
      <c r="D55" s="545"/>
      <c r="E55" s="545"/>
      <c r="F55" s="545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15.87918605432605</v>
      </c>
      <c r="V55" s="309"/>
    </row>
    <row r="56" spans="1:22">
      <c r="A56" s="144">
        <v>4611</v>
      </c>
      <c r="B56" s="530" t="str">
        <f>+VLOOKUP($A56,Master!$D$29:$G$225,4,FALSE)</f>
        <v>Otplata hartija od vrijednosti i kredita rezidentima</v>
      </c>
      <c r="C56" s="531"/>
      <c r="D56" s="531"/>
      <c r="E56" s="531"/>
      <c r="F56" s="53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5.8235766405132114</v>
      </c>
      <c r="V56" s="354"/>
    </row>
    <row r="57" spans="1:22" ht="13.5" thickBot="1">
      <c r="A57" s="144">
        <v>4612</v>
      </c>
      <c r="B57" s="506" t="str">
        <f>+VLOOKUP($A57,Master!$D$29:$G$225,4,FALSE)</f>
        <v>Otplata hartija od vrijednosti i kredita nerezidentima</v>
      </c>
      <c r="C57" s="507"/>
      <c r="D57" s="507"/>
      <c r="E57" s="507"/>
      <c r="F57" s="507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10.05560941381284</v>
      </c>
      <c r="V57" s="319"/>
    </row>
    <row r="58" spans="1:22" ht="13.5" thickBot="1">
      <c r="A58" s="144">
        <v>4418</v>
      </c>
      <c r="B58" s="544" t="str">
        <f>+VLOOKUP($A58,Master!$D$29:$G$225,4,FALSE)</f>
        <v>Izdaci za kupovinu hartija od vrijednosti</v>
      </c>
      <c r="C58" s="545"/>
      <c r="D58" s="545"/>
      <c r="E58" s="545"/>
      <c r="F58" s="545"/>
      <c r="G58" s="193">
        <f>+INDEX(DataEx!$1:$1048576,MATCH('2020'!$A58,DataEx!$D:$D,0),MATCH('2020'!G$6,DataEx!$7:$7,0))</f>
        <v>0</v>
      </c>
      <c r="H58" s="193">
        <f>+INDEX(DataEx!$1:$1048576,MATCH('2020'!$A58,DataEx!$D:$D,0),MATCH('2020'!H$6,DataEx!$7:$7,0))</f>
        <v>0</v>
      </c>
      <c r="I58" s="193">
        <f>+INDEX(DataEx!$1:$1048576,MATCH('2020'!$A58,DataEx!$D:$D,0),MATCH('2020'!I$6,DataEx!$7:$7,0))</f>
        <v>0</v>
      </c>
      <c r="J58" s="193">
        <f>+INDEX(DataEx!$1:$1048576,MATCH('2020'!$A58,DataEx!$D:$D,0),MATCH('2020'!J$6,DataEx!$7:$7,0))</f>
        <v>0</v>
      </c>
      <c r="K58" s="193">
        <f>+INDEX(DataEx!$1:$1048576,MATCH('2020'!$A58,DataEx!$D:$D,0),MATCH('2020'!K$6,DataEx!$7:$7,0))</f>
        <v>0</v>
      </c>
      <c r="L58" s="193">
        <f>+INDEX(DataEx!$1:$1048576,MATCH('2020'!$A58,DataEx!$D:$D,0),MATCH('2020'!L$6,DataEx!$7:$7,0))</f>
        <v>0</v>
      </c>
      <c r="M58" s="193">
        <f>+INDEX(DataEx!$1:$1048576,MATCH('2020'!$A58,DataEx!$D:$D,0),MATCH('2020'!M$6,DataEx!$7:$7,0))</f>
        <v>0</v>
      </c>
      <c r="N58" s="193">
        <f>+INDEX(DataEx!$1:$1048576,MATCH('2020'!$A58,DataEx!$D:$D,0),MATCH('2020'!N$6,DataEx!$7:$7,0))</f>
        <v>0</v>
      </c>
      <c r="O58" s="193">
        <f>+INDEX(DataEx!$1:$1048576,MATCH('2020'!$A58,DataEx!$D:$D,0),MATCH('2020'!O$6,DataEx!$7:$7,0))</f>
        <v>940769.61</v>
      </c>
      <c r="P58" s="193">
        <f>+INDEX(DataEx!$1:$1048576,MATCH('2020'!$A58,DataEx!$D:$D,0),MATCH('2020'!P$6,DataEx!$7:$7,0))</f>
        <v>0</v>
      </c>
      <c r="Q58" s="193">
        <f>+INDEX(DataEx!$1:$1048576,MATCH('2020'!$A58,DataEx!$D:$D,0),MATCH('2020'!Q$6,DataEx!$7:$7,0))</f>
        <v>0</v>
      </c>
      <c r="R58" s="193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2.2435600734522561E-2</v>
      </c>
      <c r="V58" s="319"/>
    </row>
    <row r="59" spans="1:22" ht="13.5" thickBot="1">
      <c r="A59" s="144">
        <v>1002</v>
      </c>
      <c r="B59" s="532" t="str">
        <f>+VLOOKUP($A59,Master!$D$29:$G$225,4,FALSE)</f>
        <v>Nedostajuća sredstva</v>
      </c>
      <c r="C59" s="533"/>
      <c r="D59" s="533"/>
      <c r="E59" s="533"/>
      <c r="F59" s="533"/>
      <c r="G59" s="217">
        <f>+G53-G55-G58</f>
        <v>-58810167.114000008</v>
      </c>
      <c r="H59" s="217">
        <f t="shared" ref="H59:R59" si="11">+H53-H55-H58</f>
        <v>-91246935.934000015</v>
      </c>
      <c r="I59" s="217">
        <f t="shared" si="11"/>
        <v>-349091419.72399998</v>
      </c>
      <c r="J59" s="217">
        <f t="shared" si="11"/>
        <v>-62609104.653999992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-72955008.363999993</v>
      </c>
      <c r="N59" s="217">
        <f t="shared" si="11"/>
        <v>-75332194.541999996</v>
      </c>
      <c r="O59" s="217">
        <f t="shared" si="11"/>
        <v>-32382261.980000034</v>
      </c>
      <c r="P59" s="217">
        <f t="shared" si="11"/>
        <v>-74457293.120000005</v>
      </c>
      <c r="Q59" s="217">
        <f t="shared" si="11"/>
        <v>-100986247.40999998</v>
      </c>
      <c r="R59" s="217">
        <f t="shared" si="11"/>
        <v>-59086292.349999979</v>
      </c>
      <c r="S59" s="251">
        <f t="shared" si="3"/>
        <v>-1092131111.4799998</v>
      </c>
      <c r="T59" s="447">
        <f t="shared" si="4"/>
        <v>-26.045290267099109</v>
      </c>
    </row>
    <row r="60" spans="1:22" ht="13.5" thickBot="1">
      <c r="A60" s="144">
        <v>1003</v>
      </c>
      <c r="B60" s="496" t="str">
        <f>+VLOOKUP($A60,Master!$D$29:$G$225,4,FALSE)</f>
        <v>Finansiranje</v>
      </c>
      <c r="C60" s="497"/>
      <c r="D60" s="497"/>
      <c r="E60" s="497"/>
      <c r="F60" s="497"/>
      <c r="G60" s="151">
        <f>+SUM(G61:G64)</f>
        <v>58810167.114000008</v>
      </c>
      <c r="H60" s="151">
        <f t="shared" ref="H60:R60" si="12">+SUM(H61:H64)</f>
        <v>91246935.934000015</v>
      </c>
      <c r="I60" s="151">
        <f t="shared" si="12"/>
        <v>349091419.72399998</v>
      </c>
      <c r="J60" s="151">
        <f t="shared" si="12"/>
        <v>62609104.653999984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72955008.363999993</v>
      </c>
      <c r="N60" s="151">
        <f t="shared" si="12"/>
        <v>75332194.541999996</v>
      </c>
      <c r="O60" s="151">
        <f t="shared" si="12"/>
        <v>32382261.980000034</v>
      </c>
      <c r="P60" s="151">
        <f t="shared" si="12"/>
        <v>74457293.120000005</v>
      </c>
      <c r="Q60" s="151">
        <f t="shared" si="12"/>
        <v>100986247.40999998</v>
      </c>
      <c r="R60" s="151">
        <f t="shared" si="12"/>
        <v>59086292.350000024</v>
      </c>
      <c r="S60" s="252">
        <f t="shared" si="3"/>
        <v>1092131111.48</v>
      </c>
      <c r="T60" s="448">
        <f t="shared" si="4"/>
        <v>26.045290267099112</v>
      </c>
    </row>
    <row r="61" spans="1:22">
      <c r="A61" s="144">
        <v>7511</v>
      </c>
      <c r="B61" s="530" t="str">
        <f>+VLOOKUP($A61,Master!$D$29:$G$225,4,FALSE)</f>
        <v>Pozajmice i krediti od domaćih izvora</v>
      </c>
      <c r="C61" s="531"/>
      <c r="D61" s="531"/>
      <c r="E61" s="531"/>
      <c r="F61" s="53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3.9953271756653628</v>
      </c>
    </row>
    <row r="62" spans="1:22">
      <c r="A62" s="144">
        <v>7512</v>
      </c>
      <c r="B62" s="506" t="str">
        <f>+VLOOKUP($A62,Master!$D$29:$G$225,4,FALSE)</f>
        <v>Pozajmice i krediti od inostranih izvora</v>
      </c>
      <c r="C62" s="507"/>
      <c r="D62" s="507"/>
      <c r="E62" s="507"/>
      <c r="F62" s="507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28.27780343937804</v>
      </c>
    </row>
    <row r="63" spans="1:22">
      <c r="A63" s="144">
        <v>72</v>
      </c>
      <c r="B63" s="506" t="str">
        <f>+VLOOKUP($A63,Master!$D$29:$G$225,4,FALSE)</f>
        <v>Primici od prodaje imovine</v>
      </c>
      <c r="C63" s="507"/>
      <c r="D63" s="507"/>
      <c r="E63" s="507"/>
      <c r="F63" s="507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0.20383599542115807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43530819.764000006</v>
      </c>
      <c r="H64" s="225">
        <f t="shared" ref="H64:R64" si="13">-H59-SUM(H61:H63)</f>
        <v>66297810.954000011</v>
      </c>
      <c r="I64" s="225">
        <f t="shared" si="13"/>
        <v>344654146.764</v>
      </c>
      <c r="J64" s="225">
        <f t="shared" si="13"/>
        <v>37984656.773999989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5885060.2839999944</v>
      </c>
      <c r="N64" s="225">
        <f t="shared" si="13"/>
        <v>56534209.331999995</v>
      </c>
      <c r="O64" s="225">
        <f t="shared" si="13"/>
        <v>28257134.440000035</v>
      </c>
      <c r="P64" s="225">
        <f t="shared" si="13"/>
        <v>14587277.960000008</v>
      </c>
      <c r="Q64" s="225">
        <f t="shared" si="13"/>
        <v>66727218.319999985</v>
      </c>
      <c r="R64" s="225">
        <f t="shared" si="13"/>
        <v>-705235690.32000005</v>
      </c>
      <c r="S64" s="253">
        <f>+SUM(G64:R64)</f>
        <v>-269693052.43000001</v>
      </c>
      <c r="T64" s="449">
        <f t="shared" si="4"/>
        <v>-6.4316763433654485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58" t="str">
        <f>+Master!G252</f>
        <v>Plan ostvarenja budžeta</v>
      </c>
      <c r="C100" s="559"/>
      <c r="D100" s="559"/>
      <c r="E100" s="559"/>
      <c r="F100" s="559"/>
      <c r="G100" s="541">
        <v>2020</v>
      </c>
      <c r="H100" s="542"/>
      <c r="I100" s="542"/>
      <c r="J100" s="542"/>
      <c r="K100" s="542"/>
      <c r="L100" s="542"/>
      <c r="M100" s="542"/>
      <c r="N100" s="542"/>
      <c r="O100" s="542"/>
      <c r="P100" s="542"/>
      <c r="Q100" s="542"/>
      <c r="R100" s="543"/>
      <c r="S100" s="107" t="str">
        <f>+S7</f>
        <v>BDP</v>
      </c>
      <c r="T100" s="108">
        <v>4607300000</v>
      </c>
    </row>
    <row r="101" spans="1:21" ht="15.75" customHeight="1">
      <c r="B101" s="560"/>
      <c r="C101" s="561"/>
      <c r="D101" s="561"/>
      <c r="E101" s="561"/>
      <c r="F101" s="562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41" t="str">
        <f>+Master!G246</f>
        <v>Jan - Dec</v>
      </c>
      <c r="T101" s="543">
        <f>+T8</f>
        <v>0</v>
      </c>
    </row>
    <row r="102" spans="1:21" ht="13.5" thickBot="1">
      <c r="B102" s="563"/>
      <c r="C102" s="564"/>
      <c r="D102" s="564"/>
      <c r="E102" s="564"/>
      <c r="F102" s="565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52" t="str">
        <f>+VLOOKUP(LEFT($A103,LEN(A103)-1)*1,Master!$D$29:$G$225,4,FALSE)</f>
        <v>Prihodi budžeta</v>
      </c>
      <c r="C103" s="553"/>
      <c r="D103" s="553"/>
      <c r="E103" s="553"/>
      <c r="F103" s="553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54" t="str">
        <f>+VLOOKUP(LEFT($A104,LEN(A104)-1)*1,Master!$D$29:$G$225,4,FALSE)</f>
        <v>Porezi</v>
      </c>
      <c r="C104" s="555"/>
      <c r="D104" s="555"/>
      <c r="E104" s="555"/>
      <c r="F104" s="555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56" t="str">
        <f>+VLOOKUP(LEFT($A105,LEN(A105)-1)*1,Master!$D$29:$G$228,4,FALSE)</f>
        <v>Porez na dohodak fizičkih lica</v>
      </c>
      <c r="C105" s="557"/>
      <c r="D105" s="557"/>
      <c r="E105" s="557"/>
      <c r="F105" s="557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56" t="str">
        <f>+VLOOKUP(LEFT($A106,LEN(A106)-1)*1,Master!$D$29:$G$228,4,FALSE)</f>
        <v>Porez na dobit pravnih lica</v>
      </c>
      <c r="C106" s="557"/>
      <c r="D106" s="557"/>
      <c r="E106" s="557"/>
      <c r="F106" s="557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56" t="str">
        <f>+VLOOKUP(LEFT($A107,LEN(A107)-1)*1,Master!$D$29:$G$228,4,FALSE)</f>
        <v>Porez na promet nepokretnosti</v>
      </c>
      <c r="C107" s="557"/>
      <c r="D107" s="557"/>
      <c r="E107" s="557"/>
      <c r="F107" s="557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56" t="str">
        <f>+VLOOKUP(LEFT($A108,LEN(A108)-1)*1,Master!$D$29:$G$228,4,FALSE)</f>
        <v>Porez na dodatu vrijednost</v>
      </c>
      <c r="C108" s="557"/>
      <c r="D108" s="557"/>
      <c r="E108" s="557"/>
      <c r="F108" s="557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56" t="str">
        <f>+VLOOKUP(LEFT($A109,LEN(A109)-1)*1,Master!$D$29:$G$228,4,FALSE)</f>
        <v>Akcize</v>
      </c>
      <c r="C109" s="557"/>
      <c r="D109" s="557"/>
      <c r="E109" s="557"/>
      <c r="F109" s="557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56" t="str">
        <f>+VLOOKUP(LEFT($A110,LEN(A110)-1)*1,Master!$D$29:$G$228,4,FALSE)</f>
        <v>Porez na međunarodnu trgovinu i transakcije</v>
      </c>
      <c r="C110" s="557"/>
      <c r="D110" s="557"/>
      <c r="E110" s="557"/>
      <c r="F110" s="557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56" t="str">
        <f>+VLOOKUP(LEFT($A111,LEN(A111)-1)*1,Master!$D$29:$G$228,4,FALSE)</f>
        <v>Ostali državni porezi</v>
      </c>
      <c r="C111" s="557"/>
      <c r="D111" s="557"/>
      <c r="E111" s="557"/>
      <c r="F111" s="557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68" t="str">
        <f>+VLOOKUP(LEFT($A112,LEN(A112)-1)*1,Master!$D$29:$G$228,4,FALSE)</f>
        <v>Doprinosi</v>
      </c>
      <c r="C112" s="569"/>
      <c r="D112" s="569"/>
      <c r="E112" s="569"/>
      <c r="F112" s="56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56" t="str">
        <f>+VLOOKUP(LEFT($A113,LEN(A113)-1)*1,Master!$D$29:$G$228,4,FALSE)</f>
        <v>Doprinosi za penzijsko i invalidsko osiguranje</v>
      </c>
      <c r="C113" s="557"/>
      <c r="D113" s="557"/>
      <c r="E113" s="557"/>
      <c r="F113" s="557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56" t="str">
        <f>+VLOOKUP(LEFT($A114,LEN(A114)-1)*1,Master!$D$29:$G$228,4,FALSE)</f>
        <v>Doprinosi za zdravstveno osiguranje</v>
      </c>
      <c r="C114" s="557"/>
      <c r="D114" s="557"/>
      <c r="E114" s="557"/>
      <c r="F114" s="557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56" t="str">
        <f>+VLOOKUP(LEFT($A115,LEN(A115)-1)*1,Master!$D$29:$G$228,4,FALSE)</f>
        <v>Doprinosi za osiguranje od nezaposlenosti</v>
      </c>
      <c r="C115" s="557"/>
      <c r="D115" s="557"/>
      <c r="E115" s="557"/>
      <c r="F115" s="557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56" t="str">
        <f>+VLOOKUP(LEFT($A116,LEN(A116)-1)*1,Master!$D$29:$G$228,4,FALSE)</f>
        <v>Ostali doprinosi</v>
      </c>
      <c r="C116" s="557"/>
      <c r="D116" s="557"/>
      <c r="E116" s="557"/>
      <c r="F116" s="557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66" t="str">
        <f>+VLOOKUP(LEFT($A117,LEN(A117)-1)*1,Master!$D$29:$G$228,4,FALSE)</f>
        <v>Takse</v>
      </c>
      <c r="C117" s="567"/>
      <c r="D117" s="567"/>
      <c r="E117" s="567"/>
      <c r="F117" s="56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66" t="str">
        <f>+VLOOKUP(LEFT($A118,LEN(A118)-1)*1,Master!$D$29:$G$228,4,FALSE)</f>
        <v>Naknade</v>
      </c>
      <c r="C118" s="567"/>
      <c r="D118" s="567"/>
      <c r="E118" s="567"/>
      <c r="F118" s="56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66" t="str">
        <f>+VLOOKUP(LEFT($A119,LEN(A119)-1)*1,Master!$D$29:$G$228,4,FALSE)</f>
        <v>Ostali prihodi</v>
      </c>
      <c r="C119" s="567"/>
      <c r="D119" s="567"/>
      <c r="E119" s="567"/>
      <c r="F119" s="56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66" t="str">
        <f>+VLOOKUP(LEFT($A120,LEN(A120)-1)*1,Master!$D$29:$G$228,4,FALSE)</f>
        <v>Primici od otplate kredita i sredstva prenesena iz prethodne godine</v>
      </c>
      <c r="C120" s="567"/>
      <c r="D120" s="567"/>
      <c r="E120" s="567"/>
      <c r="F120" s="56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70" t="str">
        <f>+VLOOKUP(LEFT($A121,LEN(A121)-1)*1,Master!$D$29:$G$228,4,FALSE)</f>
        <v>Donacije i transferi</v>
      </c>
      <c r="C121" s="571"/>
      <c r="D121" s="571"/>
      <c r="E121" s="571"/>
      <c r="F121" s="571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72" t="str">
        <f>+VLOOKUP(LEFT($A122,LEN(A122)-1)*1,Master!$D$29:$G$228,4,FALSE)</f>
        <v>Izdaci budžeta</v>
      </c>
      <c r="C122" s="573"/>
      <c r="D122" s="573"/>
      <c r="E122" s="573"/>
      <c r="F122" s="573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Tekući izdaci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56" t="str">
        <f>+VLOOKUP(LEFT($A124,LEN(A124)-1)*1,Master!$D$29:$G$228,4,FALSE)</f>
        <v>Bruto zarade i doprinosi na teret poslodavca</v>
      </c>
      <c r="C124" s="557"/>
      <c r="D124" s="557"/>
      <c r="E124" s="557"/>
      <c r="F124" s="557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56" t="str">
        <f>+VLOOKUP(LEFT($A125,LEN(A125)-1)*1,Master!$D$29:$G$228,4,FALSE)</f>
        <v>Ostala lična primanja</v>
      </c>
      <c r="C125" s="557"/>
      <c r="D125" s="557"/>
      <c r="E125" s="557"/>
      <c r="F125" s="557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56" t="str">
        <f>+VLOOKUP(LEFT($A126,LEN(A126)-1)*1,Master!$D$29:$G$228,4,FALSE)</f>
        <v>Rashodi za materijal</v>
      </c>
      <c r="C126" s="557"/>
      <c r="D126" s="557"/>
      <c r="E126" s="557"/>
      <c r="F126" s="557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56" t="str">
        <f>+VLOOKUP(LEFT($A127,LEN(A127)-1)*1,Master!$D$29:$G$228,4,FALSE)</f>
        <v>Rashodi za usluge</v>
      </c>
      <c r="C127" s="557"/>
      <c r="D127" s="557"/>
      <c r="E127" s="557"/>
      <c r="F127" s="557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56" t="str">
        <f>+VLOOKUP(LEFT($A128,LEN(A128)-1)*1,Master!$D$29:$G$228,4,FALSE)</f>
        <v>Rashodi za tekuće održavanje</v>
      </c>
      <c r="C128" s="557"/>
      <c r="D128" s="557"/>
      <c r="E128" s="557"/>
      <c r="F128" s="557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56" t="str">
        <f>+VLOOKUP(LEFT($A129,LEN(A129)-1)*1,Master!$D$29:$G$228,4,FALSE)</f>
        <v>Kamate</v>
      </c>
      <c r="C129" s="557"/>
      <c r="D129" s="557"/>
      <c r="E129" s="557"/>
      <c r="F129" s="557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56" t="str">
        <f>+VLOOKUP(LEFT($A130,LEN(A130)-1)*1,Master!$D$29:$G$228,4,FALSE)</f>
        <v>Renta</v>
      </c>
      <c r="C130" s="557"/>
      <c r="D130" s="557"/>
      <c r="E130" s="557"/>
      <c r="F130" s="557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56" t="str">
        <f>+VLOOKUP(LEFT($A131,LEN(A131)-1)*1,Master!$D$29:$G$228,4,FALSE)</f>
        <v>Subvencije</v>
      </c>
      <c r="C131" s="557"/>
      <c r="D131" s="557"/>
      <c r="E131" s="557"/>
      <c r="F131" s="557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56" t="str">
        <f>+VLOOKUP(LEFT($A132,LEN(A132)-1)*1,Master!$D$29:$G$228,4,FALSE)</f>
        <v>Ostali izdaci</v>
      </c>
      <c r="C132" s="557"/>
      <c r="D132" s="557"/>
      <c r="E132" s="557"/>
      <c r="F132" s="557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80" t="str">
        <f>+VLOOKUP(LEFT($A133,LEN(A133)-1)*1,Master!$D$29:$G$228,4,FALSE)</f>
        <v>Transferi za socijalnu zaštitu</v>
      </c>
      <c r="C133" s="581"/>
      <c r="D133" s="581"/>
      <c r="E133" s="581"/>
      <c r="F133" s="581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56" t="str">
        <f>+VLOOKUP(LEFT($A134,LEN(A134)-1)*1,Master!$D$29:$G$228,4,FALSE)</f>
        <v>Prava iz oblasti socijalne zaštite</v>
      </c>
      <c r="C134" s="557"/>
      <c r="D134" s="557"/>
      <c r="E134" s="557"/>
      <c r="F134" s="557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56" t="str">
        <f>+VLOOKUP(LEFT($A135,LEN(A135)-1)*1,Master!$D$29:$G$228,4,FALSE)</f>
        <v>Sredstva za tehnološke viškove</v>
      </c>
      <c r="C135" s="557"/>
      <c r="D135" s="557"/>
      <c r="E135" s="557"/>
      <c r="F135" s="557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56" t="str">
        <f>+VLOOKUP(LEFT($A136,LEN(A136)-1)*1,Master!$D$29:$G$228,4,FALSE)</f>
        <v>Prava iz oblasti penzijskog i invalidskog osiguranja</v>
      </c>
      <c r="C136" s="557"/>
      <c r="D136" s="557"/>
      <c r="E136" s="557"/>
      <c r="F136" s="557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56" t="str">
        <f>+VLOOKUP(LEFT($A137,LEN(A137)-1)*1,Master!$D$29:$G$228,4,FALSE)</f>
        <v>Ostala prava iz oblasti zdravstvene zaštite</v>
      </c>
      <c r="C137" s="557"/>
      <c r="D137" s="557"/>
      <c r="E137" s="557"/>
      <c r="F137" s="557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56" t="str">
        <f>+VLOOKUP(LEFT($A138,LEN(A138)-1)*1,Master!$D$29:$G$228,4,FALSE)</f>
        <v>Ostala prava iz zdravstvenog osiguranja</v>
      </c>
      <c r="C138" s="557"/>
      <c r="D138" s="557"/>
      <c r="E138" s="557"/>
      <c r="F138" s="557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76" t="str">
        <f>+VLOOKUP(LEFT($A139,LEN(A139)-1)*1,Master!$D$29:$G$228,4,FALSE)</f>
        <v xml:space="preserve">Transferi institucijama, pojedincima, nevladinom i javnom sektoru </v>
      </c>
      <c r="C139" s="577"/>
      <c r="D139" s="577"/>
      <c r="E139" s="577"/>
      <c r="F139" s="577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76" t="str">
        <f>+VLOOKUP(LEFT($A140,LEN(A140)-1)*1,Master!$D$29:$G$228,4,FALSE)</f>
        <v>Kapitalni izdaci</v>
      </c>
      <c r="C140" s="577"/>
      <c r="D140" s="577"/>
      <c r="E140" s="577"/>
      <c r="F140" s="577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78" t="str">
        <f>+VLOOKUP(LEFT($A141,LEN(A141)-1)*1,Master!$D$29:$G$228,4,FALSE)</f>
        <v>Pozajmice i krediti</v>
      </c>
      <c r="C141" s="579"/>
      <c r="D141" s="579"/>
      <c r="E141" s="579"/>
      <c r="F141" s="579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78" t="str">
        <f>+VLOOKUP(LEFT($A142,LEN(A142)-1)*1,Master!$D$29:$G$228,4,FALSE)</f>
        <v>Rezerve</v>
      </c>
      <c r="C142" s="579"/>
      <c r="D142" s="579"/>
      <c r="E142" s="579"/>
      <c r="F142" s="579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78" t="str">
        <f>+VLOOKUP(LEFT($A143,LEN(A143)-1)*1,Master!$D$29:$G$228,4,FALSE)</f>
        <v>Otplata garancija</v>
      </c>
      <c r="C143" s="579"/>
      <c r="D143" s="579"/>
      <c r="E143" s="579"/>
      <c r="F143" s="579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78" t="str">
        <f>+VLOOKUP(LEFT($A144,LEN(A144)-1)*1,Master!$D$29:$G$228,4,FALSE)</f>
        <v>Otplata obaveza iz prethodnog perioda</v>
      </c>
      <c r="C144" s="579"/>
      <c r="D144" s="579"/>
      <c r="E144" s="579"/>
      <c r="F144" s="579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78" t="str">
        <f>+VLOOKUP(LEFT($A145,LEN(A145)-1)*1,Master!$D$29:$G$228,4,FALSE)</f>
        <v>Neto povećanje obaveza</v>
      </c>
      <c r="C145" s="579"/>
      <c r="D145" s="579"/>
      <c r="E145" s="579"/>
      <c r="F145" s="579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86" t="str">
        <f>+VLOOKUP(LEFT($A146,LEN(A146)-1)*1,Master!$D$29:$G$225,4,FALSE)</f>
        <v>Suficit / deficit</v>
      </c>
      <c r="C146" s="587"/>
      <c r="D146" s="587"/>
      <c r="E146" s="587"/>
      <c r="F146" s="587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88" t="str">
        <f>+VLOOKUP(LEFT($A147,LEN(A147)-1)*1,Master!$D$29:$G$225,4,FALSE)</f>
        <v>Primarni suficit/deficit</v>
      </c>
      <c r="C147" s="589"/>
      <c r="D147" s="589"/>
      <c r="E147" s="589"/>
      <c r="F147" s="589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80" t="str">
        <f>+VLOOKUP(LEFT($A148,LEN(A148)-1)*1,Master!$D$29:$G$225,4,FALSE)</f>
        <v>Otplata dugova</v>
      </c>
      <c r="C148" s="581"/>
      <c r="D148" s="581"/>
      <c r="E148" s="581"/>
      <c r="F148" s="581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84" t="str">
        <f>+VLOOKUP(LEFT($A149,LEN(A149)-1)*1,Master!$D$29:$G$225,4,FALSE)</f>
        <v>Otplata hartija od vrijednosti i kredita rezidentima</v>
      </c>
      <c r="C149" s="585"/>
      <c r="D149" s="585"/>
      <c r="E149" s="585"/>
      <c r="F149" s="585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78" t="str">
        <f>+VLOOKUP(LEFT($A150,LEN(A150)-1)*1,Master!$D$29:$G$225,4,FALSE)</f>
        <v>Otplata hartija od vrijednosti i kredita nerezidentima</v>
      </c>
      <c r="C150" s="579"/>
      <c r="D150" s="579"/>
      <c r="E150" s="579"/>
      <c r="F150" s="579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72" t="str">
        <f>+VLOOKUP(LEFT($A151,LEN(A151)-1)*1,Master!$D$29:$G$225,4,FALSE)</f>
        <v>Izdaci za kupovinu hartija od vrijednosti</v>
      </c>
      <c r="C151" s="573"/>
      <c r="D151" s="573"/>
      <c r="E151" s="573"/>
      <c r="F151" s="573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82" t="str">
        <f>+VLOOKUP(LEFT($A152,LEN(A152)-1)*1,Master!$D$29:$G$225,4,FALSE)</f>
        <v>Nedostajuća sredstva</v>
      </c>
      <c r="C152" s="583"/>
      <c r="D152" s="583"/>
      <c r="E152" s="583"/>
      <c r="F152" s="583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72" t="str">
        <f>+VLOOKUP(LEFT($A153,LEN(A153)-1)*1,Master!$D$29:$G$225,4,FALSE)</f>
        <v>Finansiranje</v>
      </c>
      <c r="C153" s="573"/>
      <c r="D153" s="573"/>
      <c r="E153" s="573"/>
      <c r="F153" s="573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84" t="str">
        <f>+VLOOKUP(LEFT($A154,LEN(A154)-1)*1,Master!$D$29:$G$225,4,FALSE)</f>
        <v>Pozajmice i krediti od domaćih izvora</v>
      </c>
      <c r="C154" s="585"/>
      <c r="D154" s="585"/>
      <c r="E154" s="585"/>
      <c r="F154" s="585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78" t="str">
        <f>+VLOOKUP(LEFT($A155,LEN(A155)-1)*1,Master!$D$29:$G$225,4,FALSE)</f>
        <v>Pozajmice i krediti od inostranih izvora</v>
      </c>
      <c r="C155" s="579"/>
      <c r="D155" s="579"/>
      <c r="E155" s="579"/>
      <c r="F155" s="579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78" t="str">
        <f>+VLOOKUP(LEFT($A156,LEN(A156)-1)*1,Master!$D$29:$G$225,4,FALSE)</f>
        <v>Primici od prodaje imovine</v>
      </c>
      <c r="C156" s="579"/>
      <c r="D156" s="579"/>
      <c r="E156" s="579"/>
      <c r="F156" s="579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32" activePane="bottomLeft" state="frozen"/>
      <selection pane="bottomLeft" activeCell="A53" sqref="A53:XFD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34" t="s">
        <v>554</v>
      </c>
      <c r="C7" s="517"/>
      <c r="D7" s="517"/>
      <c r="E7" s="517"/>
      <c r="F7" s="517"/>
      <c r="G7" s="525">
        <v>2019</v>
      </c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9"/>
      <c r="S7" s="235" t="s">
        <v>419</v>
      </c>
      <c r="T7" s="236">
        <v>4951000000</v>
      </c>
    </row>
    <row r="8" spans="1:20" ht="16.5" customHeight="1">
      <c r="A8" s="144"/>
      <c r="B8" s="518"/>
      <c r="C8" s="519"/>
      <c r="D8" s="519"/>
      <c r="E8" s="519"/>
      <c r="F8" s="52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5" t="s">
        <v>809</v>
      </c>
      <c r="T8" s="529"/>
    </row>
    <row r="9" spans="1:20" ht="13.5" thickBot="1">
      <c r="A9" s="144"/>
      <c r="B9" s="521"/>
      <c r="C9" s="522"/>
      <c r="D9" s="522"/>
      <c r="E9" s="522"/>
      <c r="F9" s="52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496" t="s">
        <v>681</v>
      </c>
      <c r="C10" s="497"/>
      <c r="D10" s="497"/>
      <c r="E10" s="497"/>
      <c r="F10" s="49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486" t="s">
        <v>21</v>
      </c>
      <c r="C11" s="487"/>
      <c r="D11" s="487"/>
      <c r="E11" s="487"/>
      <c r="F11" s="487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488" t="s">
        <v>23</v>
      </c>
      <c r="C12" s="489"/>
      <c r="D12" s="489"/>
      <c r="E12" s="489"/>
      <c r="F12" s="489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488" t="s">
        <v>25</v>
      </c>
      <c r="C13" s="489"/>
      <c r="D13" s="489"/>
      <c r="E13" s="489"/>
      <c r="F13" s="489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488" t="s">
        <v>27</v>
      </c>
      <c r="C14" s="489"/>
      <c r="D14" s="489"/>
      <c r="E14" s="489"/>
      <c r="F14" s="489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488" t="s">
        <v>29</v>
      </c>
      <c r="C15" s="489"/>
      <c r="D15" s="489"/>
      <c r="E15" s="489"/>
      <c r="F15" s="489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488" t="s">
        <v>31</v>
      </c>
      <c r="C16" s="489"/>
      <c r="D16" s="489"/>
      <c r="E16" s="489"/>
      <c r="F16" s="489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488" t="s">
        <v>33</v>
      </c>
      <c r="C17" s="489"/>
      <c r="D17" s="489"/>
      <c r="E17" s="489"/>
      <c r="F17" s="489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488" t="s">
        <v>722</v>
      </c>
      <c r="C18" s="489"/>
      <c r="D18" s="489"/>
      <c r="E18" s="489"/>
      <c r="F18" s="489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492" t="s">
        <v>37</v>
      </c>
      <c r="C19" s="493"/>
      <c r="D19" s="493"/>
      <c r="E19" s="493"/>
      <c r="F19" s="493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488" t="s">
        <v>39</v>
      </c>
      <c r="C20" s="489"/>
      <c r="D20" s="489"/>
      <c r="E20" s="489"/>
      <c r="F20" s="489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488" t="s">
        <v>41</v>
      </c>
      <c r="C21" s="489"/>
      <c r="D21" s="489"/>
      <c r="E21" s="489"/>
      <c r="F21" s="489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488" t="s">
        <v>43</v>
      </c>
      <c r="C22" s="489"/>
      <c r="D22" s="489"/>
      <c r="E22" s="489"/>
      <c r="F22" s="489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488" t="s">
        <v>45</v>
      </c>
      <c r="C23" s="489"/>
      <c r="D23" s="489"/>
      <c r="E23" s="489"/>
      <c r="F23" s="489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490" t="s">
        <v>47</v>
      </c>
      <c r="C24" s="491"/>
      <c r="D24" s="491"/>
      <c r="E24" s="491"/>
      <c r="F24" s="491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490" t="s">
        <v>61</v>
      </c>
      <c r="C25" s="491"/>
      <c r="D25" s="491"/>
      <c r="E25" s="491"/>
      <c r="F25" s="491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490" t="s">
        <v>81</v>
      </c>
      <c r="C26" s="491"/>
      <c r="D26" s="491"/>
      <c r="E26" s="491"/>
      <c r="F26" s="491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490" t="s">
        <v>99</v>
      </c>
      <c r="C27" s="491"/>
      <c r="D27" s="491"/>
      <c r="E27" s="491"/>
      <c r="F27" s="491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494" t="s">
        <v>105</v>
      </c>
      <c r="C28" s="495"/>
      <c r="D28" s="495"/>
      <c r="E28" s="495"/>
      <c r="F28" s="495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496" t="s">
        <v>802</v>
      </c>
      <c r="C29" s="497"/>
      <c r="D29" s="497"/>
      <c r="E29" s="497"/>
      <c r="F29" s="49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498" t="s">
        <v>120</v>
      </c>
      <c r="C30" s="499"/>
      <c r="D30" s="499"/>
      <c r="E30" s="499"/>
      <c r="F30" s="499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488" t="s">
        <v>122</v>
      </c>
      <c r="C31" s="489"/>
      <c r="D31" s="489"/>
      <c r="E31" s="489"/>
      <c r="F31" s="489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488" t="s">
        <v>133</v>
      </c>
      <c r="C32" s="489"/>
      <c r="D32" s="489"/>
      <c r="E32" s="489"/>
      <c r="F32" s="489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488" t="s">
        <v>148</v>
      </c>
      <c r="C33" s="489"/>
      <c r="D33" s="489"/>
      <c r="E33" s="489"/>
      <c r="F33" s="489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488" t="s">
        <v>162</v>
      </c>
      <c r="C34" s="489"/>
      <c r="D34" s="489"/>
      <c r="E34" s="489"/>
      <c r="F34" s="489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535" t="s">
        <v>182</v>
      </c>
      <c r="C35" s="536"/>
      <c r="D35" s="536"/>
      <c r="E35" s="536"/>
      <c r="F35" s="53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488" t="s">
        <v>190</v>
      </c>
      <c r="C36" s="489"/>
      <c r="D36" s="489"/>
      <c r="E36" s="489"/>
      <c r="F36" s="489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488" t="s">
        <v>196</v>
      </c>
      <c r="C37" s="489"/>
      <c r="D37" s="489"/>
      <c r="E37" s="489"/>
      <c r="F37" s="489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488" t="s">
        <v>204</v>
      </c>
      <c r="C38" s="489"/>
      <c r="D38" s="489"/>
      <c r="E38" s="489"/>
      <c r="F38" s="489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488" t="s">
        <v>212</v>
      </c>
      <c r="C39" s="489"/>
      <c r="D39" s="489"/>
      <c r="E39" s="489"/>
      <c r="F39" s="489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04" t="s">
        <v>230</v>
      </c>
      <c r="C40" s="505"/>
      <c r="D40" s="505"/>
      <c r="E40" s="505"/>
      <c r="F40" s="505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488" t="s">
        <v>232</v>
      </c>
      <c r="C41" s="489"/>
      <c r="D41" s="489"/>
      <c r="E41" s="489"/>
      <c r="F41" s="489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488" t="s">
        <v>248</v>
      </c>
      <c r="C42" s="489"/>
      <c r="D42" s="489"/>
      <c r="E42" s="489"/>
      <c r="F42" s="489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488" t="s">
        <v>259</v>
      </c>
      <c r="C43" s="489"/>
      <c r="D43" s="489"/>
      <c r="E43" s="489"/>
      <c r="F43" s="489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488" t="s">
        <v>274</v>
      </c>
      <c r="C44" s="489"/>
      <c r="D44" s="489"/>
      <c r="E44" s="489"/>
      <c r="F44" s="489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488" t="s">
        <v>278</v>
      </c>
      <c r="C45" s="489"/>
      <c r="D45" s="489"/>
      <c r="E45" s="489"/>
      <c r="F45" s="489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02" t="s">
        <v>286</v>
      </c>
      <c r="C46" s="503"/>
      <c r="D46" s="503"/>
      <c r="E46" s="503"/>
      <c r="F46" s="503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02" t="s">
        <v>320</v>
      </c>
      <c r="C47" s="503"/>
      <c r="D47" s="503"/>
      <c r="E47" s="503"/>
      <c r="F47" s="503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539" t="s">
        <v>113</v>
      </c>
      <c r="C48" s="540"/>
      <c r="D48" s="540"/>
      <c r="E48" s="540"/>
      <c r="F48" s="540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46" t="s">
        <v>366</v>
      </c>
      <c r="C49" s="547"/>
      <c r="D49" s="547"/>
      <c r="E49" s="547"/>
      <c r="F49" s="547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08" t="s">
        <v>359</v>
      </c>
      <c r="C50" s="509"/>
      <c r="D50" s="509"/>
      <c r="E50" s="509"/>
      <c r="F50" s="509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48" t="s">
        <v>795</v>
      </c>
      <c r="C51" s="549"/>
      <c r="D51" s="549"/>
      <c r="E51" s="549"/>
      <c r="F51" s="549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50" t="s">
        <v>685</v>
      </c>
      <c r="C52" s="551"/>
      <c r="D52" s="551"/>
      <c r="E52" s="551"/>
      <c r="F52" s="551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10" t="s">
        <v>545</v>
      </c>
      <c r="C53" s="511"/>
      <c r="D53" s="511"/>
      <c r="E53" s="511"/>
      <c r="F53" s="511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12" t="s">
        <v>793</v>
      </c>
      <c r="C54" s="513"/>
      <c r="D54" s="513"/>
      <c r="E54" s="513"/>
      <c r="F54" s="513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44" t="s">
        <v>352</v>
      </c>
      <c r="C55" s="545"/>
      <c r="D55" s="545"/>
      <c r="E55" s="545"/>
      <c r="F55" s="545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30" t="s">
        <v>355</v>
      </c>
      <c r="C56" s="531"/>
      <c r="D56" s="531"/>
      <c r="E56" s="531"/>
      <c r="F56" s="53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 ht="13.5" thickBot="1">
      <c r="A57" s="144">
        <v>4612</v>
      </c>
      <c r="B57" s="506" t="s">
        <v>357</v>
      </c>
      <c r="C57" s="507"/>
      <c r="D57" s="507"/>
      <c r="E57" s="507"/>
      <c r="F57" s="507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590" t="s">
        <v>336</v>
      </c>
      <c r="C58" s="591"/>
      <c r="D58" s="591"/>
      <c r="E58" s="591"/>
      <c r="F58" s="591"/>
      <c r="G58" s="193">
        <f>DataEx!FF167</f>
        <v>0</v>
      </c>
      <c r="H58" s="193">
        <f>DataEx!FG167</f>
        <v>35272.089999999997</v>
      </c>
      <c r="I58" s="193">
        <f>DataEx!FH167</f>
        <v>0</v>
      </c>
      <c r="J58" s="193">
        <f>DataEx!FI167</f>
        <v>39948396.369999997</v>
      </c>
      <c r="K58" s="193">
        <f>DataEx!FJ167</f>
        <v>0</v>
      </c>
      <c r="L58" s="193">
        <f>DataEx!FK167</f>
        <v>0</v>
      </c>
      <c r="M58" s="193">
        <f>DataEx!FL167</f>
        <v>0</v>
      </c>
      <c r="N58" s="193">
        <f>DataEx!FM167</f>
        <v>0</v>
      </c>
      <c r="O58" s="193">
        <f>DataEx!FN167</f>
        <v>0</v>
      </c>
      <c r="P58" s="193">
        <f>DataEx!FO167</f>
        <v>0</v>
      </c>
      <c r="Q58" s="193">
        <f>DataEx!FP167</f>
        <v>14495201.140000001</v>
      </c>
      <c r="R58" s="193">
        <f>DataEx!FQ167</f>
        <v>2849828.78</v>
      </c>
      <c r="S58" s="394">
        <f>SUM(G58:R58)</f>
        <v>57328698.380000003</v>
      </c>
      <c r="T58" s="379">
        <f>+S58/$T$7</f>
        <v>1.1579215992728742E-2</v>
      </c>
      <c r="V58" s="319"/>
    </row>
    <row r="59" spans="1:22" ht="13.5" thickBot="1">
      <c r="A59" s="144">
        <v>1002</v>
      </c>
      <c r="B59" s="532" t="s">
        <v>543</v>
      </c>
      <c r="C59" s="533"/>
      <c r="D59" s="533"/>
      <c r="E59" s="533"/>
      <c r="F59" s="533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496" t="s">
        <v>544</v>
      </c>
      <c r="C60" s="497"/>
      <c r="D60" s="497"/>
      <c r="E60" s="497"/>
      <c r="F60" s="49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30" t="s">
        <v>114</v>
      </c>
      <c r="C61" s="531"/>
      <c r="D61" s="531"/>
      <c r="E61" s="531"/>
      <c r="F61" s="53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06" t="s">
        <v>116</v>
      </c>
      <c r="C62" s="507"/>
      <c r="D62" s="507"/>
      <c r="E62" s="507"/>
      <c r="F62" s="507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06" t="s">
        <v>93</v>
      </c>
      <c r="C63" s="507"/>
      <c r="D63" s="507"/>
      <c r="E63" s="507"/>
      <c r="F63" s="507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58" t="s">
        <v>552</v>
      </c>
      <c r="C100" s="559"/>
      <c r="D100" s="559"/>
      <c r="E100" s="559"/>
      <c r="F100" s="559"/>
      <c r="G100" s="541">
        <v>2019</v>
      </c>
      <c r="H100" s="542"/>
      <c r="I100" s="542"/>
      <c r="J100" s="542"/>
      <c r="K100" s="542"/>
      <c r="L100" s="542"/>
      <c r="M100" s="542"/>
      <c r="N100" s="542"/>
      <c r="O100" s="542"/>
      <c r="P100" s="542"/>
      <c r="Q100" s="542"/>
      <c r="R100" s="543"/>
      <c r="S100" s="107" t="str">
        <f>+S7</f>
        <v>BDP</v>
      </c>
      <c r="T100" s="108">
        <f>+T7</f>
        <v>4951000000</v>
      </c>
    </row>
    <row r="101" spans="1:21" ht="15.75" customHeight="1">
      <c r="B101" s="560"/>
      <c r="C101" s="561"/>
      <c r="D101" s="561"/>
      <c r="E101" s="561"/>
      <c r="F101" s="562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41" t="s">
        <v>809</v>
      </c>
      <c r="T101" s="543">
        <f>+T8</f>
        <v>0</v>
      </c>
    </row>
    <row r="102" spans="1:21" ht="13.5" thickBot="1">
      <c r="B102" s="563"/>
      <c r="C102" s="564"/>
      <c r="D102" s="564"/>
      <c r="E102" s="564"/>
      <c r="F102" s="565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52" t="s">
        <v>681</v>
      </c>
      <c r="C103" s="553"/>
      <c r="D103" s="553"/>
      <c r="E103" s="553"/>
      <c r="F103" s="553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54" t="s">
        <v>21</v>
      </c>
      <c r="C104" s="555"/>
      <c r="D104" s="555"/>
      <c r="E104" s="555"/>
      <c r="F104" s="555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56" t="s">
        <v>23</v>
      </c>
      <c r="C105" s="557"/>
      <c r="D105" s="557"/>
      <c r="E105" s="557"/>
      <c r="F105" s="557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56" t="s">
        <v>25</v>
      </c>
      <c r="C106" s="557"/>
      <c r="D106" s="557"/>
      <c r="E106" s="557"/>
      <c r="F106" s="557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56" t="s">
        <v>27</v>
      </c>
      <c r="C107" s="557"/>
      <c r="D107" s="557"/>
      <c r="E107" s="557"/>
      <c r="F107" s="557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56" t="s">
        <v>29</v>
      </c>
      <c r="C108" s="557"/>
      <c r="D108" s="557"/>
      <c r="E108" s="557"/>
      <c r="F108" s="557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56" t="s">
        <v>31</v>
      </c>
      <c r="C109" s="557"/>
      <c r="D109" s="557"/>
      <c r="E109" s="557"/>
      <c r="F109" s="557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56" t="s">
        <v>33</v>
      </c>
      <c r="C110" s="557"/>
      <c r="D110" s="557"/>
      <c r="E110" s="557"/>
      <c r="F110" s="557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56" t="s">
        <v>722</v>
      </c>
      <c r="C111" s="557"/>
      <c r="D111" s="557"/>
      <c r="E111" s="557"/>
      <c r="F111" s="557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68" t="s">
        <v>37</v>
      </c>
      <c r="C112" s="569"/>
      <c r="D112" s="569"/>
      <c r="E112" s="569"/>
      <c r="F112" s="56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56" t="s">
        <v>39</v>
      </c>
      <c r="C113" s="557"/>
      <c r="D113" s="557"/>
      <c r="E113" s="557"/>
      <c r="F113" s="557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56" t="s">
        <v>41</v>
      </c>
      <c r="C114" s="557"/>
      <c r="D114" s="557"/>
      <c r="E114" s="557"/>
      <c r="F114" s="557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56" t="s">
        <v>43</v>
      </c>
      <c r="C115" s="557"/>
      <c r="D115" s="557"/>
      <c r="E115" s="557"/>
      <c r="F115" s="557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56" t="s">
        <v>45</v>
      </c>
      <c r="C116" s="557"/>
      <c r="D116" s="557"/>
      <c r="E116" s="557"/>
      <c r="F116" s="557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66" t="s">
        <v>47</v>
      </c>
      <c r="C117" s="567"/>
      <c r="D117" s="567"/>
      <c r="E117" s="567"/>
      <c r="F117" s="56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66" t="s">
        <v>61</v>
      </c>
      <c r="C118" s="567"/>
      <c r="D118" s="567"/>
      <c r="E118" s="567"/>
      <c r="F118" s="56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66" t="s">
        <v>81</v>
      </c>
      <c r="C119" s="567"/>
      <c r="D119" s="567"/>
      <c r="E119" s="567"/>
      <c r="F119" s="56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66" t="s">
        <v>99</v>
      </c>
      <c r="C120" s="567"/>
      <c r="D120" s="567"/>
      <c r="E120" s="567"/>
      <c r="F120" s="56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70" t="s">
        <v>105</v>
      </c>
      <c r="C121" s="571"/>
      <c r="D121" s="571"/>
      <c r="E121" s="571"/>
      <c r="F121" s="571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72" t="s">
        <v>811</v>
      </c>
      <c r="C122" s="573"/>
      <c r="D122" s="573"/>
      <c r="E122" s="573"/>
      <c r="F122" s="573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592" t="s">
        <v>774</v>
      </c>
      <c r="C123" s="593"/>
      <c r="D123" s="593"/>
      <c r="E123" s="593"/>
      <c r="F123" s="59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56" t="s">
        <v>122</v>
      </c>
      <c r="C125" s="557"/>
      <c r="D125" s="557"/>
      <c r="E125" s="557"/>
      <c r="F125" s="557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56" t="s">
        <v>133</v>
      </c>
      <c r="C126" s="557"/>
      <c r="D126" s="557"/>
      <c r="E126" s="557"/>
      <c r="F126" s="557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56" t="s">
        <v>148</v>
      </c>
      <c r="C127" s="557"/>
      <c r="D127" s="557"/>
      <c r="E127" s="557"/>
      <c r="F127" s="557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56" t="s">
        <v>162</v>
      </c>
      <c r="C128" s="557"/>
      <c r="D128" s="557"/>
      <c r="E128" s="557"/>
      <c r="F128" s="557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56" t="s">
        <v>182</v>
      </c>
      <c r="C129" s="557"/>
      <c r="D129" s="557"/>
      <c r="E129" s="557"/>
      <c r="F129" s="557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56" t="s">
        <v>190</v>
      </c>
      <c r="C130" s="557"/>
      <c r="D130" s="557"/>
      <c r="E130" s="557"/>
      <c r="F130" s="557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56" t="s">
        <v>196</v>
      </c>
      <c r="C131" s="557"/>
      <c r="D131" s="557"/>
      <c r="E131" s="557"/>
      <c r="F131" s="557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56" t="s">
        <v>204</v>
      </c>
      <c r="C132" s="557"/>
      <c r="D132" s="557"/>
      <c r="E132" s="557"/>
      <c r="F132" s="557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56" t="s">
        <v>212</v>
      </c>
      <c r="C133" s="557"/>
      <c r="D133" s="557"/>
      <c r="E133" s="557"/>
      <c r="F133" s="557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56" t="e">
        <v>#REF!</v>
      </c>
      <c r="C134" s="557"/>
      <c r="D134" s="557"/>
      <c r="E134" s="557"/>
      <c r="F134" s="557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80" t="s">
        <v>230</v>
      </c>
      <c r="C135" s="581"/>
      <c r="D135" s="581"/>
      <c r="E135" s="581"/>
      <c r="F135" s="581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56" t="s">
        <v>232</v>
      </c>
      <c r="C136" s="557"/>
      <c r="D136" s="557"/>
      <c r="E136" s="557"/>
      <c r="F136" s="557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56" t="s">
        <v>248</v>
      </c>
      <c r="C137" s="557"/>
      <c r="D137" s="557"/>
      <c r="E137" s="557"/>
      <c r="F137" s="557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56" t="s">
        <v>259</v>
      </c>
      <c r="C138" s="557"/>
      <c r="D138" s="557"/>
      <c r="E138" s="557"/>
      <c r="F138" s="557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56" t="s">
        <v>274</v>
      </c>
      <c r="C139" s="557"/>
      <c r="D139" s="557"/>
      <c r="E139" s="557"/>
      <c r="F139" s="557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56" t="s">
        <v>278</v>
      </c>
      <c r="C140" s="557"/>
      <c r="D140" s="557"/>
      <c r="E140" s="557"/>
      <c r="F140" s="557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76" t="s">
        <v>286</v>
      </c>
      <c r="C141" s="577"/>
      <c r="D141" s="577"/>
      <c r="E141" s="577"/>
      <c r="F141" s="577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76" t="s">
        <v>812</v>
      </c>
      <c r="C142" s="577"/>
      <c r="D142" s="577"/>
      <c r="E142" s="577"/>
      <c r="F142" s="577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78" t="s">
        <v>113</v>
      </c>
      <c r="C143" s="579"/>
      <c r="D143" s="579"/>
      <c r="E143" s="579"/>
      <c r="F143" s="579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78" t="s">
        <v>366</v>
      </c>
      <c r="C144" s="579"/>
      <c r="D144" s="579"/>
      <c r="E144" s="579"/>
      <c r="F144" s="579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78" t="s">
        <v>359</v>
      </c>
      <c r="C145" s="579"/>
      <c r="D145" s="579"/>
      <c r="E145" s="579"/>
      <c r="F145" s="579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78" t="s">
        <v>365</v>
      </c>
      <c r="C146" s="579"/>
      <c r="D146" s="579"/>
      <c r="E146" s="579"/>
      <c r="F146" s="579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594" t="s">
        <v>686</v>
      </c>
      <c r="C147" s="595"/>
      <c r="D147" s="595"/>
      <c r="E147" s="595"/>
      <c r="F147" s="595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86" t="s">
        <v>545</v>
      </c>
      <c r="C148" s="587"/>
      <c r="D148" s="587"/>
      <c r="E148" s="587"/>
      <c r="F148" s="587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88" t="s">
        <v>813</v>
      </c>
      <c r="C149" s="589"/>
      <c r="D149" s="589"/>
      <c r="E149" s="589"/>
      <c r="F149" s="589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80" t="s">
        <v>352</v>
      </c>
      <c r="C150" s="581"/>
      <c r="D150" s="581"/>
      <c r="E150" s="581"/>
      <c r="F150" s="581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84" t="s">
        <v>355</v>
      </c>
      <c r="C151" s="585"/>
      <c r="D151" s="585"/>
      <c r="E151" s="585"/>
      <c r="F151" s="585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 ht="13.5" thickBot="1">
      <c r="A152" s="117" t="str">
        <f>+CONCATENATE(A57,"p")</f>
        <v>4612p</v>
      </c>
      <c r="B152" s="578" t="s">
        <v>357</v>
      </c>
      <c r="C152" s="579"/>
      <c r="D152" s="579"/>
      <c r="E152" s="579"/>
      <c r="F152" s="579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494" t="s">
        <v>770</v>
      </c>
      <c r="C153" s="495"/>
      <c r="D153" s="495"/>
      <c r="E153" s="495"/>
      <c r="F153" s="495"/>
      <c r="G153" s="94">
        <v>26666.67</v>
      </c>
      <c r="H153" s="94">
        <v>26666.67</v>
      </c>
      <c r="I153" s="94">
        <v>26666.67</v>
      </c>
      <c r="J153" s="94">
        <v>39926666.670000002</v>
      </c>
      <c r="K153" s="94">
        <v>26666.67</v>
      </c>
      <c r="L153" s="94">
        <v>26666.67</v>
      </c>
      <c r="M153" s="94">
        <v>26666.67</v>
      </c>
      <c r="N153" s="94">
        <v>26666.67</v>
      </c>
      <c r="O153" s="94">
        <v>26666.67</v>
      </c>
      <c r="P153" s="94">
        <v>26666.67</v>
      </c>
      <c r="Q153" s="94">
        <v>26666.67</v>
      </c>
      <c r="R153" s="94">
        <v>26666.63</v>
      </c>
      <c r="S153" s="407">
        <f t="shared" si="19"/>
        <v>40220000.000000015</v>
      </c>
      <c r="T153" s="420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82" t="s">
        <v>543</v>
      </c>
      <c r="C154" s="583"/>
      <c r="D154" s="583"/>
      <c r="E154" s="583"/>
      <c r="F154" s="583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72" t="s">
        <v>544</v>
      </c>
      <c r="C155" s="573"/>
      <c r="D155" s="573"/>
      <c r="E155" s="573"/>
      <c r="F155" s="573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84" t="s">
        <v>114</v>
      </c>
      <c r="C156" s="585"/>
      <c r="D156" s="585"/>
      <c r="E156" s="585"/>
      <c r="F156" s="585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78" t="s">
        <v>116</v>
      </c>
      <c r="C157" s="579"/>
      <c r="D157" s="579"/>
      <c r="E157" s="579"/>
      <c r="F157" s="579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78" t="s">
        <v>93</v>
      </c>
      <c r="C158" s="579"/>
      <c r="D158" s="579"/>
      <c r="E158" s="579"/>
      <c r="F158" s="579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8" activePane="bottomLeft" state="frozen"/>
      <selection pane="bottomLeft" activeCell="R32" sqref="R32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34" t="s">
        <v>554</v>
      </c>
      <c r="C7" s="517"/>
      <c r="D7" s="517"/>
      <c r="E7" s="517"/>
      <c r="F7" s="517"/>
      <c r="G7" s="525">
        <v>2018</v>
      </c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9"/>
      <c r="S7" s="235" t="s">
        <v>419</v>
      </c>
      <c r="T7" s="236">
        <v>4663130000</v>
      </c>
    </row>
    <row r="8" spans="1:20" ht="16.5" customHeight="1">
      <c r="A8" s="144"/>
      <c r="B8" s="518"/>
      <c r="C8" s="519"/>
      <c r="D8" s="519"/>
      <c r="E8" s="519"/>
      <c r="F8" s="52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5" t="s">
        <v>809</v>
      </c>
      <c r="T8" s="529"/>
    </row>
    <row r="9" spans="1:20" ht="13.5" thickBot="1">
      <c r="A9" s="144"/>
      <c r="B9" s="521"/>
      <c r="C9" s="522"/>
      <c r="D9" s="522"/>
      <c r="E9" s="522"/>
      <c r="F9" s="52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484" t="s">
        <v>681</v>
      </c>
      <c r="C10" s="485"/>
      <c r="D10" s="485"/>
      <c r="E10" s="485"/>
      <c r="F10" s="485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486" t="s">
        <v>21</v>
      </c>
      <c r="C11" s="487"/>
      <c r="D11" s="487"/>
      <c r="E11" s="487"/>
      <c r="F11" s="487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488" t="s">
        <v>23</v>
      </c>
      <c r="C12" s="489"/>
      <c r="D12" s="489"/>
      <c r="E12" s="489"/>
      <c r="F12" s="489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488" t="s">
        <v>25</v>
      </c>
      <c r="C13" s="489"/>
      <c r="D13" s="489"/>
      <c r="E13" s="489"/>
      <c r="F13" s="489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488" t="s">
        <v>27</v>
      </c>
      <c r="C14" s="489"/>
      <c r="D14" s="489"/>
      <c r="E14" s="489"/>
      <c r="F14" s="489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488" t="s">
        <v>29</v>
      </c>
      <c r="C15" s="489"/>
      <c r="D15" s="489"/>
      <c r="E15" s="489"/>
      <c r="F15" s="489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488" t="s">
        <v>31</v>
      </c>
      <c r="C16" s="489"/>
      <c r="D16" s="489"/>
      <c r="E16" s="489"/>
      <c r="F16" s="489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488" t="s">
        <v>33</v>
      </c>
      <c r="C17" s="489"/>
      <c r="D17" s="489"/>
      <c r="E17" s="489"/>
      <c r="F17" s="489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488" t="s">
        <v>722</v>
      </c>
      <c r="C18" s="489"/>
      <c r="D18" s="489"/>
      <c r="E18" s="489"/>
      <c r="F18" s="489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492" t="s">
        <v>37</v>
      </c>
      <c r="C19" s="493"/>
      <c r="D19" s="493"/>
      <c r="E19" s="493"/>
      <c r="F19" s="493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488" t="s">
        <v>39</v>
      </c>
      <c r="C20" s="489"/>
      <c r="D20" s="489"/>
      <c r="E20" s="489"/>
      <c r="F20" s="489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488" t="s">
        <v>41</v>
      </c>
      <c r="C21" s="489"/>
      <c r="D21" s="489"/>
      <c r="E21" s="489"/>
      <c r="F21" s="489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488" t="s">
        <v>43</v>
      </c>
      <c r="C22" s="489"/>
      <c r="D22" s="489"/>
      <c r="E22" s="489"/>
      <c r="F22" s="489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488" t="s">
        <v>45</v>
      </c>
      <c r="C23" s="489"/>
      <c r="D23" s="489"/>
      <c r="E23" s="489"/>
      <c r="F23" s="489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490" t="s">
        <v>47</v>
      </c>
      <c r="C24" s="491"/>
      <c r="D24" s="491"/>
      <c r="E24" s="491"/>
      <c r="F24" s="491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490" t="s">
        <v>61</v>
      </c>
      <c r="C25" s="491"/>
      <c r="D25" s="491"/>
      <c r="E25" s="491"/>
      <c r="F25" s="491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490" t="s">
        <v>81</v>
      </c>
      <c r="C26" s="491"/>
      <c r="D26" s="491"/>
      <c r="E26" s="491"/>
      <c r="F26" s="491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490" t="s">
        <v>99</v>
      </c>
      <c r="C27" s="491"/>
      <c r="D27" s="491"/>
      <c r="E27" s="491"/>
      <c r="F27" s="491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494" t="s">
        <v>105</v>
      </c>
      <c r="C28" s="495"/>
      <c r="D28" s="495"/>
      <c r="E28" s="495"/>
      <c r="F28" s="495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496" t="s">
        <v>802</v>
      </c>
      <c r="C29" s="497"/>
      <c r="D29" s="497"/>
      <c r="E29" s="497"/>
      <c r="F29" s="49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498" t="s">
        <v>774</v>
      </c>
      <c r="C30" s="499"/>
      <c r="D30" s="499"/>
      <c r="E30" s="499"/>
      <c r="F30" s="499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00" t="s">
        <v>120</v>
      </c>
      <c r="C31" s="501"/>
      <c r="D31" s="501"/>
      <c r="E31" s="501"/>
      <c r="F31" s="501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488" t="s">
        <v>122</v>
      </c>
      <c r="C32" s="489"/>
      <c r="D32" s="489"/>
      <c r="E32" s="489"/>
      <c r="F32" s="489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488" t="s">
        <v>133</v>
      </c>
      <c r="C33" s="489"/>
      <c r="D33" s="489"/>
      <c r="E33" s="489"/>
      <c r="F33" s="489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488" t="s">
        <v>148</v>
      </c>
      <c r="C34" s="489"/>
      <c r="D34" s="489"/>
      <c r="E34" s="489"/>
      <c r="F34" s="489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488" t="s">
        <v>162</v>
      </c>
      <c r="C35" s="489"/>
      <c r="D35" s="489"/>
      <c r="E35" s="489"/>
      <c r="F35" s="489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488" t="s">
        <v>182</v>
      </c>
      <c r="C36" s="489"/>
      <c r="D36" s="489"/>
      <c r="E36" s="489"/>
      <c r="F36" s="489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488" t="s">
        <v>190</v>
      </c>
      <c r="C37" s="489"/>
      <c r="D37" s="489"/>
      <c r="E37" s="489"/>
      <c r="F37" s="489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488" t="s">
        <v>196</v>
      </c>
      <c r="C38" s="489"/>
      <c r="D38" s="489"/>
      <c r="E38" s="489"/>
      <c r="F38" s="489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488" t="s">
        <v>204</v>
      </c>
      <c r="C39" s="489"/>
      <c r="D39" s="489"/>
      <c r="E39" s="489"/>
      <c r="F39" s="489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488" t="s">
        <v>212</v>
      </c>
      <c r="C40" s="489"/>
      <c r="D40" s="489"/>
      <c r="E40" s="489"/>
      <c r="F40" s="489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488" t="s">
        <v>803</v>
      </c>
      <c r="C41" s="489"/>
      <c r="D41" s="489"/>
      <c r="E41" s="489"/>
      <c r="F41" s="489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04" t="s">
        <v>230</v>
      </c>
      <c r="C42" s="505"/>
      <c r="D42" s="505"/>
      <c r="E42" s="505"/>
      <c r="F42" s="505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488" t="s">
        <v>232</v>
      </c>
      <c r="C43" s="489"/>
      <c r="D43" s="489"/>
      <c r="E43" s="489"/>
      <c r="F43" s="489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488" t="s">
        <v>248</v>
      </c>
      <c r="C44" s="489"/>
      <c r="D44" s="489"/>
      <c r="E44" s="489"/>
      <c r="F44" s="489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488" t="s">
        <v>259</v>
      </c>
      <c r="C45" s="489"/>
      <c r="D45" s="489"/>
      <c r="E45" s="489"/>
      <c r="F45" s="489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488" t="s">
        <v>274</v>
      </c>
      <c r="C46" s="489"/>
      <c r="D46" s="489"/>
      <c r="E46" s="489"/>
      <c r="F46" s="489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596" t="s">
        <v>278</v>
      </c>
      <c r="C47" s="597"/>
      <c r="D47" s="597"/>
      <c r="E47" s="597"/>
      <c r="F47" s="59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02" t="s">
        <v>286</v>
      </c>
      <c r="C48" s="503"/>
      <c r="D48" s="503"/>
      <c r="E48" s="503"/>
      <c r="F48" s="503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02" t="s">
        <v>320</v>
      </c>
      <c r="C49" s="503"/>
      <c r="D49" s="503"/>
      <c r="E49" s="503"/>
      <c r="F49" s="503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539" t="s">
        <v>113</v>
      </c>
      <c r="C50" s="540"/>
      <c r="D50" s="540"/>
      <c r="E50" s="540"/>
      <c r="F50" s="540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06" t="s">
        <v>366</v>
      </c>
      <c r="C51" s="507"/>
      <c r="D51" s="507"/>
      <c r="E51" s="507"/>
      <c r="F51" s="507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08" t="s">
        <v>359</v>
      </c>
      <c r="C52" s="509"/>
      <c r="D52" s="509"/>
      <c r="E52" s="509"/>
      <c r="F52" s="509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48" t="s">
        <v>795</v>
      </c>
      <c r="C53" s="549"/>
      <c r="D53" s="549"/>
      <c r="E53" s="549"/>
      <c r="F53" s="549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50" t="s">
        <v>685</v>
      </c>
      <c r="C54" s="551"/>
      <c r="D54" s="551"/>
      <c r="E54" s="551"/>
      <c r="F54" s="551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10" t="s">
        <v>545</v>
      </c>
      <c r="C55" s="511"/>
      <c r="D55" s="511"/>
      <c r="E55" s="511"/>
      <c r="F55" s="511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12" t="s">
        <v>794</v>
      </c>
      <c r="C57" s="513"/>
      <c r="D57" s="513"/>
      <c r="E57" s="513"/>
      <c r="F57" s="513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44" t="s">
        <v>352</v>
      </c>
      <c r="C58" s="545"/>
      <c r="D58" s="545"/>
      <c r="E58" s="545"/>
      <c r="F58" s="545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30" t="s">
        <v>355</v>
      </c>
      <c r="C59" s="531"/>
      <c r="D59" s="531"/>
      <c r="E59" s="531"/>
      <c r="F59" s="53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06" t="s">
        <v>357</v>
      </c>
      <c r="C60" s="507"/>
      <c r="D60" s="507"/>
      <c r="E60" s="507"/>
      <c r="F60" s="507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590" t="s">
        <v>336</v>
      </c>
      <c r="C61" s="591"/>
      <c r="D61" s="591"/>
      <c r="E61" s="591"/>
      <c r="F61" s="591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32" t="s">
        <v>543</v>
      </c>
      <c r="C62" s="533"/>
      <c r="D62" s="533"/>
      <c r="E62" s="533"/>
      <c r="F62" s="533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496" t="s">
        <v>544</v>
      </c>
      <c r="C63" s="497"/>
      <c r="D63" s="497"/>
      <c r="E63" s="497"/>
      <c r="F63" s="49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30" t="s">
        <v>114</v>
      </c>
      <c r="C64" s="531"/>
      <c r="D64" s="531"/>
      <c r="E64" s="531"/>
      <c r="F64" s="53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06" t="s">
        <v>116</v>
      </c>
      <c r="C65" s="507"/>
      <c r="D65" s="507"/>
      <c r="E65" s="507"/>
      <c r="F65" s="507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06" t="s">
        <v>93</v>
      </c>
      <c r="C66" s="507"/>
      <c r="D66" s="507"/>
      <c r="E66" s="507"/>
      <c r="F66" s="507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58" t="s">
        <v>552</v>
      </c>
      <c r="C103" s="559"/>
      <c r="D103" s="559"/>
      <c r="E103" s="559"/>
      <c r="F103" s="559"/>
      <c r="G103" s="541">
        <v>2018</v>
      </c>
      <c r="H103" s="542"/>
      <c r="I103" s="542"/>
      <c r="J103" s="542"/>
      <c r="K103" s="542"/>
      <c r="L103" s="542"/>
      <c r="M103" s="542"/>
      <c r="N103" s="542"/>
      <c r="O103" s="542"/>
      <c r="P103" s="542"/>
      <c r="Q103" s="542"/>
      <c r="R103" s="543"/>
      <c r="S103" s="107" t="str">
        <f>+S7</f>
        <v>BDP</v>
      </c>
      <c r="T103" s="108">
        <f>+T7</f>
        <v>4663130000</v>
      </c>
    </row>
    <row r="104" spans="1:21" ht="15.75" customHeight="1">
      <c r="B104" s="560"/>
      <c r="C104" s="561"/>
      <c r="D104" s="561"/>
      <c r="E104" s="561"/>
      <c r="F104" s="562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41" t="s">
        <v>809</v>
      </c>
      <c r="T104" s="543">
        <f>+T8</f>
        <v>0</v>
      </c>
    </row>
    <row r="105" spans="1:21" ht="13.5" thickBot="1">
      <c r="B105" s="563"/>
      <c r="C105" s="564"/>
      <c r="D105" s="564"/>
      <c r="E105" s="564"/>
      <c r="F105" s="565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52" t="s">
        <v>681</v>
      </c>
      <c r="C106" s="553"/>
      <c r="D106" s="553"/>
      <c r="E106" s="553"/>
      <c r="F106" s="553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54" t="s">
        <v>21</v>
      </c>
      <c r="C107" s="555"/>
      <c r="D107" s="555"/>
      <c r="E107" s="555"/>
      <c r="F107" s="555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56" t="s">
        <v>23</v>
      </c>
      <c r="C108" s="557"/>
      <c r="D108" s="557"/>
      <c r="E108" s="557"/>
      <c r="F108" s="557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56" t="s">
        <v>25</v>
      </c>
      <c r="C109" s="557"/>
      <c r="D109" s="557"/>
      <c r="E109" s="557"/>
      <c r="F109" s="557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56" t="s">
        <v>27</v>
      </c>
      <c r="C110" s="557"/>
      <c r="D110" s="557"/>
      <c r="E110" s="557"/>
      <c r="F110" s="557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56" t="s">
        <v>29</v>
      </c>
      <c r="C111" s="557"/>
      <c r="D111" s="557"/>
      <c r="E111" s="557"/>
      <c r="F111" s="557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56" t="s">
        <v>31</v>
      </c>
      <c r="C112" s="557"/>
      <c r="D112" s="557"/>
      <c r="E112" s="557"/>
      <c r="F112" s="557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56" t="s">
        <v>33</v>
      </c>
      <c r="C113" s="557"/>
      <c r="D113" s="557"/>
      <c r="E113" s="557"/>
      <c r="F113" s="557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56" t="s">
        <v>722</v>
      </c>
      <c r="C114" s="557"/>
      <c r="D114" s="557"/>
      <c r="E114" s="557"/>
      <c r="F114" s="557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68" t="s">
        <v>37</v>
      </c>
      <c r="C115" s="569"/>
      <c r="D115" s="569"/>
      <c r="E115" s="569"/>
      <c r="F115" s="56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56" t="s">
        <v>39</v>
      </c>
      <c r="C116" s="557"/>
      <c r="D116" s="557"/>
      <c r="E116" s="557"/>
      <c r="F116" s="557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56" t="s">
        <v>41</v>
      </c>
      <c r="C117" s="557"/>
      <c r="D117" s="557"/>
      <c r="E117" s="557"/>
      <c r="F117" s="557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56" t="s">
        <v>43</v>
      </c>
      <c r="C118" s="557"/>
      <c r="D118" s="557"/>
      <c r="E118" s="557"/>
      <c r="F118" s="557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56" t="s">
        <v>45</v>
      </c>
      <c r="C119" s="557"/>
      <c r="D119" s="557"/>
      <c r="E119" s="557"/>
      <c r="F119" s="557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66" t="s">
        <v>47</v>
      </c>
      <c r="C120" s="567"/>
      <c r="D120" s="567"/>
      <c r="E120" s="567"/>
      <c r="F120" s="56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66" t="s">
        <v>61</v>
      </c>
      <c r="C121" s="567"/>
      <c r="D121" s="567"/>
      <c r="E121" s="567"/>
      <c r="F121" s="56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66" t="s">
        <v>81</v>
      </c>
      <c r="C122" s="567"/>
      <c r="D122" s="567"/>
      <c r="E122" s="567"/>
      <c r="F122" s="56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66" t="s">
        <v>99</v>
      </c>
      <c r="C123" s="567"/>
      <c r="D123" s="567"/>
      <c r="E123" s="567"/>
      <c r="F123" s="56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70" t="s">
        <v>105</v>
      </c>
      <c r="C124" s="571"/>
      <c r="D124" s="571"/>
      <c r="E124" s="571"/>
      <c r="F124" s="571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72" t="s">
        <v>811</v>
      </c>
      <c r="C125" s="573"/>
      <c r="D125" s="573"/>
      <c r="E125" s="573"/>
      <c r="F125" s="573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592" t="s">
        <v>774</v>
      </c>
      <c r="C126" s="593"/>
      <c r="D126" s="593"/>
      <c r="E126" s="593"/>
      <c r="F126" s="59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56" t="s">
        <v>122</v>
      </c>
      <c r="C128" s="557"/>
      <c r="D128" s="557"/>
      <c r="E128" s="557"/>
      <c r="F128" s="557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56" t="s">
        <v>133</v>
      </c>
      <c r="C129" s="557"/>
      <c r="D129" s="557"/>
      <c r="E129" s="557"/>
      <c r="F129" s="557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56" t="s">
        <v>148</v>
      </c>
      <c r="C130" s="557"/>
      <c r="D130" s="557"/>
      <c r="E130" s="557"/>
      <c r="F130" s="557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56" t="s">
        <v>162</v>
      </c>
      <c r="C131" s="557"/>
      <c r="D131" s="557"/>
      <c r="E131" s="557"/>
      <c r="F131" s="557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56" t="s">
        <v>182</v>
      </c>
      <c r="C132" s="557"/>
      <c r="D132" s="557"/>
      <c r="E132" s="557"/>
      <c r="F132" s="557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56" t="s">
        <v>190</v>
      </c>
      <c r="C133" s="557"/>
      <c r="D133" s="557"/>
      <c r="E133" s="557"/>
      <c r="F133" s="557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56" t="s">
        <v>196</v>
      </c>
      <c r="C134" s="557"/>
      <c r="D134" s="557"/>
      <c r="E134" s="557"/>
      <c r="F134" s="557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56" t="s">
        <v>204</v>
      </c>
      <c r="C135" s="557"/>
      <c r="D135" s="557"/>
      <c r="E135" s="557"/>
      <c r="F135" s="557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56" t="s">
        <v>212</v>
      </c>
      <c r="C136" s="557"/>
      <c r="D136" s="557"/>
      <c r="E136" s="557"/>
      <c r="F136" s="557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56" t="s">
        <v>803</v>
      </c>
      <c r="C137" s="557"/>
      <c r="D137" s="557"/>
      <c r="E137" s="557"/>
      <c r="F137" s="557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80" t="s">
        <v>230</v>
      </c>
      <c r="C138" s="581"/>
      <c r="D138" s="581"/>
      <c r="E138" s="581"/>
      <c r="F138" s="581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56" t="s">
        <v>232</v>
      </c>
      <c r="C139" s="557"/>
      <c r="D139" s="557"/>
      <c r="E139" s="557"/>
      <c r="F139" s="557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56" t="s">
        <v>248</v>
      </c>
      <c r="C140" s="557"/>
      <c r="D140" s="557"/>
      <c r="E140" s="557"/>
      <c r="F140" s="557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56" t="s">
        <v>259</v>
      </c>
      <c r="C141" s="557"/>
      <c r="D141" s="557"/>
      <c r="E141" s="557"/>
      <c r="F141" s="557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56" t="s">
        <v>274</v>
      </c>
      <c r="C142" s="557"/>
      <c r="D142" s="557"/>
      <c r="E142" s="557"/>
      <c r="F142" s="557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56" t="s">
        <v>278</v>
      </c>
      <c r="C143" s="557"/>
      <c r="D143" s="557"/>
      <c r="E143" s="557"/>
      <c r="F143" s="557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76" t="s">
        <v>286</v>
      </c>
      <c r="C144" s="577"/>
      <c r="D144" s="577"/>
      <c r="E144" s="577"/>
      <c r="F144" s="577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76" t="s">
        <v>812</v>
      </c>
      <c r="C145" s="577"/>
      <c r="D145" s="577"/>
      <c r="E145" s="577"/>
      <c r="F145" s="577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78" t="s">
        <v>113</v>
      </c>
      <c r="C146" s="579"/>
      <c r="D146" s="579"/>
      <c r="E146" s="579"/>
      <c r="F146" s="579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78" t="s">
        <v>366</v>
      </c>
      <c r="C147" s="579"/>
      <c r="D147" s="579"/>
      <c r="E147" s="579"/>
      <c r="F147" s="579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78" t="s">
        <v>359</v>
      </c>
      <c r="C148" s="579"/>
      <c r="D148" s="579"/>
      <c r="E148" s="579"/>
      <c r="F148" s="579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86" t="s">
        <v>545</v>
      </c>
      <c r="C150" s="587"/>
      <c r="D150" s="587"/>
      <c r="E150" s="587"/>
      <c r="F150" s="587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88" t="s">
        <v>813</v>
      </c>
      <c r="C151" s="589"/>
      <c r="D151" s="589"/>
      <c r="E151" s="589"/>
      <c r="F151" s="589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80" t="s">
        <v>352</v>
      </c>
      <c r="C152" s="581"/>
      <c r="D152" s="581"/>
      <c r="E152" s="581"/>
      <c r="F152" s="581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84" t="s">
        <v>355</v>
      </c>
      <c r="C153" s="585"/>
      <c r="D153" s="585"/>
      <c r="E153" s="585"/>
      <c r="F153" s="585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78" t="s">
        <v>357</v>
      </c>
      <c r="C154" s="579"/>
      <c r="D154" s="579"/>
      <c r="E154" s="579"/>
      <c r="F154" s="579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78" t="s">
        <v>365</v>
      </c>
      <c r="C155" s="579"/>
      <c r="D155" s="579"/>
      <c r="E155" s="579"/>
      <c r="F155" s="579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82" t="s">
        <v>543</v>
      </c>
      <c r="C157" s="583"/>
      <c r="D157" s="583"/>
      <c r="E157" s="583"/>
      <c r="F157" s="583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72" t="s">
        <v>544</v>
      </c>
      <c r="C158" s="573"/>
      <c r="D158" s="573"/>
      <c r="E158" s="573"/>
      <c r="F158" s="573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84" t="s">
        <v>114</v>
      </c>
      <c r="C159" s="585"/>
      <c r="D159" s="585"/>
      <c r="E159" s="585"/>
      <c r="F159" s="585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78" t="s">
        <v>116</v>
      </c>
      <c r="C160" s="579"/>
      <c r="D160" s="579"/>
      <c r="E160" s="579"/>
      <c r="F160" s="579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78" t="s">
        <v>93</v>
      </c>
      <c r="C161" s="579"/>
      <c r="D161" s="579"/>
      <c r="E161" s="579"/>
      <c r="F161" s="579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44" activePane="bottomRight" state="frozen"/>
      <selection pane="topRight" activeCell="F1" sqref="F1"/>
      <selection pane="bottomLeft" activeCell="A8" sqref="A8"/>
      <selection pane="bottomRight" activeCell="FR52" sqref="FR52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01" t="s">
        <v>555</v>
      </c>
      <c r="F6" s="599">
        <v>2006</v>
      </c>
      <c r="G6" s="598"/>
      <c r="H6" s="598"/>
      <c r="I6" s="598"/>
      <c r="J6" s="598"/>
      <c r="K6" s="598"/>
      <c r="L6" s="598"/>
      <c r="M6" s="598"/>
      <c r="N6" s="598"/>
      <c r="O6" s="598"/>
      <c r="P6" s="598"/>
      <c r="Q6" s="600"/>
      <c r="R6" s="599">
        <v>2007</v>
      </c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600"/>
      <c r="AD6" s="599">
        <v>2008</v>
      </c>
      <c r="AE6" s="598"/>
      <c r="AF6" s="598"/>
      <c r="AG6" s="598"/>
      <c r="AH6" s="598"/>
      <c r="AI6" s="598"/>
      <c r="AJ6" s="598"/>
      <c r="AK6" s="598"/>
      <c r="AL6" s="598"/>
      <c r="AM6" s="598"/>
      <c r="AN6" s="598"/>
      <c r="AO6" s="600"/>
      <c r="AP6" s="599">
        <v>2009</v>
      </c>
      <c r="AQ6" s="598"/>
      <c r="AR6" s="598"/>
      <c r="AS6" s="598"/>
      <c r="AT6" s="598"/>
      <c r="AU6" s="598"/>
      <c r="AV6" s="598"/>
      <c r="AW6" s="598"/>
      <c r="AX6" s="598"/>
      <c r="AY6" s="598"/>
      <c r="AZ6" s="598"/>
      <c r="BA6" s="600"/>
      <c r="BB6" s="599">
        <v>2010</v>
      </c>
      <c r="BC6" s="598"/>
      <c r="BD6" s="598"/>
      <c r="BE6" s="598"/>
      <c r="BF6" s="598"/>
      <c r="BG6" s="598"/>
      <c r="BH6" s="598"/>
      <c r="BI6" s="598"/>
      <c r="BJ6" s="598"/>
      <c r="BK6" s="598"/>
      <c r="BL6" s="598"/>
      <c r="BM6" s="600"/>
      <c r="BN6" s="599">
        <v>2011</v>
      </c>
      <c r="BO6" s="598"/>
      <c r="BP6" s="598"/>
      <c r="BQ6" s="598"/>
      <c r="BR6" s="598"/>
      <c r="BS6" s="598"/>
      <c r="BT6" s="598"/>
      <c r="BU6" s="598"/>
      <c r="BV6" s="598"/>
      <c r="BW6" s="598"/>
      <c r="BX6" s="598"/>
      <c r="BY6" s="600"/>
      <c r="BZ6" s="598">
        <v>2012</v>
      </c>
      <c r="CA6" s="598"/>
      <c r="CB6" s="598"/>
      <c r="CC6" s="598"/>
      <c r="CD6" s="598"/>
      <c r="CE6" s="598"/>
      <c r="CF6" s="598"/>
      <c r="CG6" s="598"/>
      <c r="CH6" s="598"/>
      <c r="CI6" s="598"/>
      <c r="CJ6" s="598"/>
      <c r="CK6" s="598"/>
      <c r="CL6" s="599">
        <v>2013</v>
      </c>
      <c r="CM6" s="598"/>
      <c r="CN6" s="598"/>
      <c r="CO6" s="598"/>
      <c r="CP6" s="598"/>
      <c r="CQ6" s="598"/>
      <c r="CR6" s="598"/>
      <c r="CS6" s="598"/>
      <c r="CT6" s="598"/>
      <c r="CU6" s="598"/>
      <c r="CV6" s="598"/>
      <c r="CW6" s="600"/>
      <c r="CX6" s="599">
        <v>2014</v>
      </c>
      <c r="CY6" s="598"/>
      <c r="CZ6" s="598"/>
      <c r="DA6" s="598"/>
      <c r="DB6" s="598"/>
      <c r="DC6" s="598"/>
      <c r="DD6" s="598"/>
      <c r="DE6" s="598"/>
      <c r="DF6" s="598"/>
      <c r="DG6" s="598"/>
      <c r="DH6" s="598"/>
      <c r="DI6" s="600"/>
      <c r="DJ6" s="599">
        <v>2015</v>
      </c>
      <c r="DK6" s="598"/>
      <c r="DL6" s="598"/>
      <c r="DM6" s="598"/>
      <c r="DN6" s="598"/>
      <c r="DO6" s="598"/>
      <c r="DP6" s="598"/>
      <c r="DQ6" s="598"/>
      <c r="DR6" s="598"/>
      <c r="DS6" s="598"/>
      <c r="DT6" s="598"/>
      <c r="DU6" s="600"/>
    </row>
    <row r="7" spans="1:321">
      <c r="E7" s="60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1483659.28</v>
      </c>
      <c r="FS35" s="353">
        <f t="shared" si="9"/>
        <v>2100277.88</v>
      </c>
      <c r="FT35" s="353">
        <f t="shared" si="9"/>
        <v>4244020.3499999996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3216729.54</v>
      </c>
      <c r="FZ35" s="304">
        <f t="shared" si="9"/>
        <v>11550447.479999999</v>
      </c>
      <c r="GA35" s="353">
        <f t="shared" si="9"/>
        <v>1941236.87</v>
      </c>
      <c r="GB35" s="353">
        <f t="shared" si="9"/>
        <v>1756272.85</v>
      </c>
      <c r="GC35" s="353">
        <f t="shared" si="9"/>
        <v>2626238.34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489153.56</v>
      </c>
      <c r="FS39" s="352">
        <v>623499.68000000005</v>
      </c>
      <c r="FT39" s="302">
        <v>1057658.83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1850529.7</v>
      </c>
      <c r="FZ39" s="302">
        <v>612687.1</v>
      </c>
      <c r="GA39" s="302">
        <v>627538.14</v>
      </c>
      <c r="GB39" s="302">
        <v>664221.43000000005</v>
      </c>
      <c r="GC39" s="302">
        <v>1086194.1200000001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2968039.43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5901779.6799999997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40884832.280000001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2438901.1800000002</v>
      </c>
      <c r="FU69" s="302">
        <v>2981687.21</v>
      </c>
      <c r="FV69" s="302">
        <v>1829547.16</v>
      </c>
      <c r="FW69" s="302">
        <v>2089784.74</v>
      </c>
      <c r="FX69" s="302">
        <v>3584908.38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1498432.23</v>
      </c>
      <c r="FS76" s="302">
        <v>5735111.25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6553728.3099999996</v>
      </c>
      <c r="GB76" s="302">
        <v>5833602.8700000001</v>
      </c>
      <c r="GC76" s="302">
        <v>10154138.76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22559197.739999998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9173650.0500000007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4264127.51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23914749.120000001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19124293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01" t="s">
        <v>676</v>
      </c>
      <c r="F214" s="599">
        <v>2006</v>
      </c>
      <c r="G214" s="598"/>
      <c r="H214" s="598"/>
      <c r="I214" s="598"/>
      <c r="J214" s="598"/>
      <c r="K214" s="598"/>
      <c r="L214" s="598"/>
      <c r="M214" s="598"/>
      <c r="N214" s="598"/>
      <c r="O214" s="598"/>
      <c r="P214" s="598"/>
      <c r="Q214" s="600"/>
      <c r="R214" s="599">
        <v>2007</v>
      </c>
      <c r="S214" s="598"/>
      <c r="T214" s="598"/>
      <c r="U214" s="598"/>
      <c r="V214" s="598"/>
      <c r="W214" s="598"/>
      <c r="X214" s="598"/>
      <c r="Y214" s="598"/>
      <c r="Z214" s="598"/>
      <c r="AA214" s="598"/>
      <c r="AB214" s="598"/>
      <c r="AC214" s="600"/>
      <c r="AD214" s="599">
        <v>2008</v>
      </c>
      <c r="AE214" s="598"/>
      <c r="AF214" s="598"/>
      <c r="AG214" s="598"/>
      <c r="AH214" s="598"/>
      <c r="AI214" s="598"/>
      <c r="AJ214" s="598"/>
      <c r="AK214" s="598"/>
      <c r="AL214" s="598"/>
      <c r="AM214" s="598"/>
      <c r="AN214" s="598"/>
      <c r="AO214" s="600"/>
      <c r="AP214" s="599">
        <v>2009</v>
      </c>
      <c r="AQ214" s="598"/>
      <c r="AR214" s="598"/>
      <c r="AS214" s="598"/>
      <c r="AT214" s="598"/>
      <c r="AU214" s="598"/>
      <c r="AV214" s="598"/>
      <c r="AW214" s="598"/>
      <c r="AX214" s="598"/>
      <c r="AY214" s="598"/>
      <c r="AZ214" s="598"/>
      <c r="BA214" s="600"/>
      <c r="BB214" s="599">
        <v>2010</v>
      </c>
      <c r="BC214" s="598"/>
      <c r="BD214" s="598"/>
      <c r="BE214" s="598"/>
      <c r="BF214" s="598"/>
      <c r="BG214" s="598"/>
      <c r="BH214" s="598"/>
      <c r="BI214" s="598"/>
      <c r="BJ214" s="598"/>
      <c r="BK214" s="598"/>
      <c r="BL214" s="598"/>
      <c r="BM214" s="600"/>
      <c r="BN214" s="599">
        <v>2011</v>
      </c>
      <c r="BO214" s="598"/>
      <c r="BP214" s="598"/>
      <c r="BQ214" s="598"/>
      <c r="BR214" s="598"/>
      <c r="BS214" s="598"/>
      <c r="BT214" s="598"/>
      <c r="BU214" s="598"/>
      <c r="BV214" s="598"/>
      <c r="BW214" s="598"/>
      <c r="BX214" s="598"/>
      <c r="BY214" s="600"/>
      <c r="BZ214" s="598">
        <v>2012</v>
      </c>
      <c r="CA214" s="598"/>
      <c r="CB214" s="598"/>
      <c r="CC214" s="598"/>
      <c r="CD214" s="598"/>
      <c r="CE214" s="598"/>
      <c r="CF214" s="598"/>
      <c r="CG214" s="598"/>
      <c r="CH214" s="598"/>
      <c r="CI214" s="598"/>
      <c r="CJ214" s="598"/>
      <c r="CK214" s="598"/>
      <c r="CL214" s="599">
        <v>2013</v>
      </c>
      <c r="CM214" s="598"/>
      <c r="CN214" s="598"/>
      <c r="CO214" s="598"/>
      <c r="CP214" s="598"/>
      <c r="CQ214" s="598"/>
      <c r="CR214" s="598"/>
      <c r="CS214" s="598"/>
      <c r="CT214" s="598"/>
      <c r="CU214" s="598"/>
      <c r="CV214" s="598"/>
      <c r="CW214" s="600"/>
      <c r="CX214" s="599">
        <v>2014</v>
      </c>
      <c r="CY214" s="598"/>
      <c r="CZ214" s="598"/>
      <c r="DA214" s="598"/>
      <c r="DB214" s="598"/>
      <c r="DC214" s="598"/>
      <c r="DD214" s="598"/>
      <c r="DE214" s="598"/>
      <c r="DF214" s="598"/>
      <c r="DG214" s="598"/>
      <c r="DH214" s="598"/>
      <c r="DI214" s="600"/>
      <c r="DJ214" s="599">
        <v>2015</v>
      </c>
      <c r="DK214" s="598"/>
      <c r="DL214" s="598"/>
      <c r="DM214" s="598"/>
      <c r="DN214" s="598"/>
      <c r="DO214" s="598"/>
      <c r="DP214" s="598"/>
      <c r="DQ214" s="598"/>
      <c r="DR214" s="598"/>
      <c r="DS214" s="598"/>
      <c r="DT214" s="598"/>
      <c r="DU214" s="600"/>
    </row>
    <row r="215" spans="1:187">
      <c r="E215" s="60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topLeftCell="C1" zoomScaleNormal="100" workbookViewId="0">
      <pane ySplit="4" topLeftCell="A239" activePane="bottomLeft" state="frozen"/>
      <selection pane="bottomLeft" activeCell="F254" sqref="F25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Februar</v>
      </c>
    </row>
    <row r="245" spans="4:7">
      <c r="D245" s="49"/>
      <c r="E245" s="9"/>
      <c r="F245" s="10"/>
      <c r="G245" s="52" t="str">
        <f>+CONCATENATE("Jan - ",LEFT(G244,3))</f>
        <v>Jan - Feb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Feb</v>
      </c>
      <c r="F253" s="10" t="str">
        <f>+CONCATENATE("Analytics for period ",G245)</f>
        <v>Analytics for period Jan - Feb</v>
      </c>
      <c r="G253" s="52" t="str">
        <f>+IF(ISBLANK(IF($B$2=1,E253,F253)),"",IF($B$2=1,E253,F253))</f>
        <v>Analitika za period Jan - Feb</v>
      </c>
    </row>
    <row r="254" spans="4:7">
      <c r="D254" s="46"/>
      <c r="E254" s="9" t="str">
        <f>+CONCATENATE("Analitika za period ",G244)</f>
        <v>Analitika za period Februar</v>
      </c>
      <c r="F254" s="10" t="str">
        <f>+CONCATENATE("Analytics for period ",G244)</f>
        <v>Analytics for period Februar</v>
      </c>
      <c r="G254" s="52" t="str">
        <f>+IF(ISBLANK(IF($B$2=1,E254,F254)),"",IF($B$2=1,E254,F254))</f>
        <v>Analitika za period Februar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Februar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Februar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Februar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Februar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Februar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Februar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2021-03-12T06:45:13Z</cp:lastPrinted>
  <dcterms:created xsi:type="dcterms:W3CDTF">2014-09-15T13:41:17Z</dcterms:created>
  <dcterms:modified xsi:type="dcterms:W3CDTF">2021-03-31T06:04:28Z</dcterms:modified>
</cp:coreProperties>
</file>