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28800" windowHeight="11400" tabRatio="587" firstSheet="1" activeTab="2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2015" sheetId="10" state="hidden" r:id="rId8"/>
    <sheet name="2014" sheetId="4" state="hidden" r:id="rId9"/>
    <sheet name="2013" sheetId="8" state="hidden" r:id="rId10"/>
    <sheet name="Dug" sheetId="9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3plan" localSheetId="9">'2013'!$A$102:$A$160</definedName>
    <definedName name="_2013plan" localSheetId="10">Dug!$A$101:$A$159</definedName>
    <definedName name="_2014plan" localSheetId="8">'2014'!$A$101:$A$159</definedName>
    <definedName name="_2015plan" localSheetId="7">'2015'!$A$102:$A$159</definedName>
    <definedName name="_2015plan" localSheetId="6">'2016'!$A$102:$A$160</definedName>
    <definedName name="_2015plan" localSheetId="5">'2017'!$A$102:$A$160</definedName>
    <definedName name="_2015plan" localSheetId="4">'2018'!$A$102:$A$161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G7" i="11" l="1"/>
  <c r="G8" i="11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7" i="17"/>
  <c r="I147" i="17"/>
  <c r="J147" i="17"/>
  <c r="K147" i="17"/>
  <c r="L147" i="17"/>
  <c r="M147" i="17"/>
  <c r="N147" i="17"/>
  <c r="O147" i="17"/>
  <c r="P147" i="17"/>
  <c r="Q147" i="17"/>
  <c r="R147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7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O126" i="17"/>
  <c r="O124" i="17" s="1"/>
  <c r="L126" i="17"/>
  <c r="L124" i="17" s="1"/>
  <c r="K126" i="17"/>
  <c r="K124" i="17" s="1"/>
  <c r="H126" i="17"/>
  <c r="G126" i="17"/>
  <c r="G124" i="17" s="1"/>
  <c r="A126" i="17"/>
  <c r="A125" i="17"/>
  <c r="P125" i="17"/>
  <c r="O125" i="17"/>
  <c r="L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G106" i="17"/>
  <c r="A106" i="17"/>
  <c r="H105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Q57" i="17" s="1"/>
  <c r="P58" i="17"/>
  <c r="P57" i="17" s="1"/>
  <c r="O58" i="17"/>
  <c r="O57" i="17" s="1"/>
  <c r="N58" i="17"/>
  <c r="M58" i="17"/>
  <c r="M57" i="17" s="1"/>
  <c r="L58" i="17"/>
  <c r="L57" i="17" s="1"/>
  <c r="K58" i="17"/>
  <c r="K57" i="17" s="1"/>
  <c r="J58" i="17"/>
  <c r="I58" i="17"/>
  <c r="I57" i="17" s="1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Q42" i="17" s="1"/>
  <c r="P43" i="17"/>
  <c r="O43" i="17"/>
  <c r="N43" i="17"/>
  <c r="M43" i="17"/>
  <c r="M42" i="17" s="1"/>
  <c r="L43" i="17"/>
  <c r="L42" i="17" s="1"/>
  <c r="K43" i="17"/>
  <c r="J43" i="17"/>
  <c r="I43" i="17"/>
  <c r="I42" i="17" s="1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R32" i="17"/>
  <c r="Q32" i="17"/>
  <c r="Q31" i="17" s="1"/>
  <c r="P32" i="17"/>
  <c r="O32" i="17"/>
  <c r="N32" i="17"/>
  <c r="M32" i="17"/>
  <c r="L32" i="17"/>
  <c r="K32" i="17"/>
  <c r="J32" i="17"/>
  <c r="I32" i="17"/>
  <c r="I31" i="17" s="1"/>
  <c r="H32" i="17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R11" i="17" s="1"/>
  <c r="Q12" i="17"/>
  <c r="Q11" i="17" s="1"/>
  <c r="P12" i="17"/>
  <c r="O12" i="17"/>
  <c r="N12" i="17"/>
  <c r="M12" i="17"/>
  <c r="L12" i="17"/>
  <c r="K12" i="17"/>
  <c r="J12" i="17"/>
  <c r="I12" i="17"/>
  <c r="I11" i="17" s="1"/>
  <c r="H12" i="17"/>
  <c r="H11" i="17" s="1"/>
  <c r="G12" i="17"/>
  <c r="R5" i="17"/>
  <c r="Q5" i="17"/>
  <c r="P5" i="17"/>
  <c r="O5" i="17"/>
  <c r="N5" i="17"/>
  <c r="M5" i="17"/>
  <c r="L5" i="17"/>
  <c r="K5" i="17"/>
  <c r="J5" i="17"/>
  <c r="H51" i="11" s="1"/>
  <c r="I5" i="17"/>
  <c r="H5" i="17"/>
  <c r="G5" i="17"/>
  <c r="G11" i="2"/>
  <c r="G63" i="11" l="1"/>
  <c r="G64" i="11"/>
  <c r="G65" i="11"/>
  <c r="J11" i="17"/>
  <c r="H31" i="17"/>
  <c r="N11" i="17"/>
  <c r="P11" i="17"/>
  <c r="P10" i="17" s="1"/>
  <c r="J31" i="17"/>
  <c r="H125" i="17"/>
  <c r="H124" i="17"/>
  <c r="H12" i="11"/>
  <c r="N31" i="17"/>
  <c r="L31" i="17"/>
  <c r="L29" i="17" s="1"/>
  <c r="L30" i="17" s="1"/>
  <c r="R31" i="17"/>
  <c r="H43" i="11"/>
  <c r="H50" i="11"/>
  <c r="H28" i="11"/>
  <c r="H17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H60" i="11"/>
  <c r="H35" i="11"/>
  <c r="H52" i="11"/>
  <c r="H53" i="11"/>
  <c r="H34" i="11"/>
  <c r="H41" i="11"/>
  <c r="H40" i="11"/>
  <c r="H14" i="11"/>
  <c r="H13" i="11"/>
  <c r="H16" i="11"/>
  <c r="P42" i="17"/>
  <c r="H42" i="17"/>
  <c r="H29" i="17" s="1"/>
  <c r="H30" i="17" s="1"/>
  <c r="H150" i="17"/>
  <c r="H151" i="17" s="1"/>
  <c r="P150" i="17"/>
  <c r="P156" i="17" s="1"/>
  <c r="H31" i="11"/>
  <c r="H57" i="11"/>
  <c r="O42" i="17"/>
  <c r="M11" i="17"/>
  <c r="M10" i="17" s="1"/>
  <c r="M31" i="17"/>
  <c r="M29" i="17" s="1"/>
  <c r="M30" i="17" s="1"/>
  <c r="P31" i="17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G45" i="11"/>
  <c r="S49" i="17"/>
  <c r="T49" i="17" s="1"/>
  <c r="G49" i="11"/>
  <c r="S53" i="17"/>
  <c r="T53" i="17" s="1"/>
  <c r="G53" i="11"/>
  <c r="S16" i="17"/>
  <c r="T16" i="17" s="1"/>
  <c r="G16" i="11"/>
  <c r="S20" i="17"/>
  <c r="T20" i="17" s="1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S32" i="17"/>
  <c r="T32" i="17" s="1"/>
  <c r="G32" i="1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K105" i="17"/>
  <c r="K125" i="17"/>
  <c r="O105" i="17"/>
  <c r="O150" i="17" s="1"/>
  <c r="O151" i="17" s="1"/>
  <c r="L105" i="17"/>
  <c r="L150" i="17" s="1"/>
  <c r="L156" i="17" s="1"/>
  <c r="G105" i="17"/>
  <c r="K31" i="17"/>
  <c r="O31" i="17"/>
  <c r="Q10" i="17"/>
  <c r="J10" i="17"/>
  <c r="N10" i="17"/>
  <c r="R10" i="17"/>
  <c r="J42" i="17"/>
  <c r="N42" i="17"/>
  <c r="R42" i="17"/>
  <c r="I10" i="17"/>
  <c r="L11" i="17"/>
  <c r="L10" i="17" s="1"/>
  <c r="H10" i="17"/>
  <c r="I29" i="17"/>
  <c r="I30" i="17" s="1"/>
  <c r="Q29" i="17"/>
  <c r="Q30" i="17" s="1"/>
  <c r="K11" i="17"/>
  <c r="K10" i="17" s="1"/>
  <c r="O11" i="17"/>
  <c r="O10" i="17" s="1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P151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J65" i="11" l="1"/>
  <c r="I65" i="11"/>
  <c r="J64" i="11"/>
  <c r="I64" i="11"/>
  <c r="J63" i="11"/>
  <c r="I63" i="11"/>
  <c r="J29" i="17"/>
  <c r="J30" i="17" s="1"/>
  <c r="P29" i="17"/>
  <c r="P30" i="17" s="1"/>
  <c r="N29" i="17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L55" i="17"/>
  <c r="L56" i="17" s="1"/>
  <c r="K151" i="17"/>
  <c r="I150" i="17"/>
  <c r="I151" i="17" s="1"/>
  <c r="N150" i="17"/>
  <c r="N156" i="17" s="1"/>
  <c r="N161" i="17" s="1"/>
  <c r="N157" i="17" s="1"/>
  <c r="O156" i="17"/>
  <c r="O161" i="17" s="1"/>
  <c r="O157" i="17" s="1"/>
  <c r="H55" i="17"/>
  <c r="H56" i="17" s="1"/>
  <c r="G156" i="17"/>
  <c r="G161" i="17" s="1"/>
  <c r="S114" i="17"/>
  <c r="T114" i="17" s="1"/>
  <c r="I55" i="17"/>
  <c r="I56" i="17" s="1"/>
  <c r="G10" i="17"/>
  <c r="S10" i="17" s="1"/>
  <c r="T10" i="17" s="1"/>
  <c r="Q55" i="17"/>
  <c r="Q56" i="17" s="1"/>
  <c r="G29" i="17"/>
  <c r="N55" i="17"/>
  <c r="N61" i="17" s="1"/>
  <c r="N66" i="17" s="1"/>
  <c r="N62" i="17" s="1"/>
  <c r="R30" i="17"/>
  <c r="R55" i="17"/>
  <c r="R56" i="17" s="1"/>
  <c r="L161" i="17"/>
  <c r="L157" i="17" s="1"/>
  <c r="M55" i="17"/>
  <c r="M61" i="17" s="1"/>
  <c r="M66" i="17" s="1"/>
  <c r="M62" i="17" s="1"/>
  <c r="P161" i="17"/>
  <c r="P157" i="17" s="1"/>
  <c r="S137" i="17"/>
  <c r="T137" i="17" s="1"/>
  <c r="S158" i="17"/>
  <c r="T158" i="17" s="1"/>
  <c r="S160" i="17"/>
  <c r="T160" i="17" s="1"/>
  <c r="S124" i="17"/>
  <c r="T124" i="17" s="1"/>
  <c r="Q150" i="17"/>
  <c r="H161" i="17"/>
  <c r="H157" i="17" s="1"/>
  <c r="J55" i="17"/>
  <c r="R150" i="17"/>
  <c r="M150" i="17"/>
  <c r="S159" i="17"/>
  <c r="T159" i="17" s="1"/>
  <c r="S106" i="17"/>
  <c r="T106" i="17" s="1"/>
  <c r="P55" i="17" l="1"/>
  <c r="P61" i="17" s="1"/>
  <c r="P66" i="17" s="1"/>
  <c r="P62" i="17" s="1"/>
  <c r="O55" i="17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H12" i="1" s="1"/>
  <c r="I12" i="1" s="1"/>
  <c r="S29" i="17"/>
  <c r="T29" i="17" s="1"/>
  <c r="G29" i="11"/>
  <c r="H16" i="1" s="1"/>
  <c r="I16" i="1" s="1"/>
  <c r="I156" i="17"/>
  <c r="I161" i="17" s="1"/>
  <c r="I157" i="17" s="1"/>
  <c r="N151" i="17"/>
  <c r="H61" i="17"/>
  <c r="H66" i="17" s="1"/>
  <c r="H62" i="17" s="1"/>
  <c r="Q61" i="17"/>
  <c r="Q66" i="17" s="1"/>
  <c r="Q62" i="17" s="1"/>
  <c r="I61" i="17"/>
  <c r="I66" i="17" s="1"/>
  <c r="I62" i="17" s="1"/>
  <c r="N56" i="17"/>
  <c r="P56" i="17"/>
  <c r="M56" i="17"/>
  <c r="G30" i="17"/>
  <c r="R61" i="17"/>
  <c r="R66" i="17" s="1"/>
  <c r="R62" i="17" s="1"/>
  <c r="G55" i="17"/>
  <c r="R151" i="17"/>
  <c r="R156" i="17"/>
  <c r="R161" i="17" s="1"/>
  <c r="R157" i="17" s="1"/>
  <c r="J56" i="17"/>
  <c r="J61" i="17"/>
  <c r="J66" i="17" s="1"/>
  <c r="J62" i="17" s="1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O56" i="17" l="1"/>
  <c r="K56" i="17"/>
  <c r="H56" i="11"/>
  <c r="H61" i="11"/>
  <c r="J60" i="11" s="1"/>
  <c r="S55" i="17"/>
  <c r="T55" i="17" s="1"/>
  <c r="G55" i="11"/>
  <c r="H20" i="1" s="1"/>
  <c r="I20" i="1" s="1"/>
  <c r="S30" i="17"/>
  <c r="T30" i="17" s="1"/>
  <c r="G30" i="11"/>
  <c r="S151" i="17"/>
  <c r="T151" i="17" s="1"/>
  <c r="G56" i="17"/>
  <c r="G61" i="17"/>
  <c r="J161" i="17"/>
  <c r="H66" i="11" s="1"/>
  <c r="S156" i="17"/>
  <c r="T156" i="17" s="1"/>
  <c r="G61" i="11" l="1"/>
  <c r="S61" i="17"/>
  <c r="S56" i="17"/>
  <c r="T56" i="17" s="1"/>
  <c r="G56" i="11"/>
  <c r="T61" i="17"/>
  <c r="G66" i="17"/>
  <c r="G66" i="11" s="1"/>
  <c r="J157" i="17"/>
  <c r="S161" i="17"/>
  <c r="T161" i="17" s="1"/>
  <c r="J66" i="11" l="1"/>
  <c r="I66" i="11"/>
  <c r="I61" i="11"/>
  <c r="J61" i="11"/>
  <c r="G62" i="17"/>
  <c r="S157" i="17"/>
  <c r="T157" i="17" s="1"/>
  <c r="H62" i="11"/>
  <c r="S66" i="17"/>
  <c r="T66" i="17" s="1"/>
  <c r="G62" i="11" l="1"/>
  <c r="S62" i="17"/>
  <c r="T62" i="17" s="1"/>
  <c r="G12" i="2"/>
  <c r="I62" i="11" l="1"/>
  <c r="H54" i="16"/>
  <c r="I54" i="16"/>
  <c r="J54" i="16"/>
  <c r="K54" i="16"/>
  <c r="L54" i="16"/>
  <c r="M54" i="16"/>
  <c r="N54" i="16"/>
  <c r="O54" i="16"/>
  <c r="P54" i="16"/>
  <c r="Q54" i="16"/>
  <c r="R54" i="16"/>
  <c r="G54" i="16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S155" i="13" l="1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S60" i="13" l="1"/>
  <c r="T60" i="13" s="1"/>
  <c r="G64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I152" i="16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3" i="16" l="1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N10" i="16" l="1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L155" i="16" s="1"/>
  <c r="L160" i="16" s="1"/>
  <c r="L156" i="16" s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Q155" i="16"/>
  <c r="Q160" i="16" s="1"/>
  <c r="Q156" i="16" s="1"/>
  <c r="R149" i="16"/>
  <c r="R150" i="16" s="1"/>
  <c r="G55" i="16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M125" i="16"/>
  <c r="S125" i="16" s="1"/>
  <c r="T125" i="16" s="1"/>
  <c r="M149" i="16"/>
  <c r="S151" i="16"/>
  <c r="T151" i="16" s="1"/>
  <c r="L150" i="16" l="1"/>
  <c r="K155" i="16"/>
  <c r="K160" i="16" s="1"/>
  <c r="K156" i="16" s="1"/>
  <c r="R56" i="16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9" i="2" l="1"/>
  <c r="G18" i="2"/>
  <c r="G13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R64" i="13"/>
  <c r="Q64" i="13"/>
  <c r="P64" i="13"/>
  <c r="O64" i="13"/>
  <c r="N64" i="13"/>
  <c r="M64" i="13"/>
  <c r="L64" i="13"/>
  <c r="K64" i="13"/>
  <c r="J64" i="13"/>
  <c r="I64" i="13"/>
  <c r="H64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s="1"/>
  <c r="M60" i="11" s="1"/>
  <c r="L60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8" i="11"/>
  <c r="K59" i="11"/>
  <c r="K63" i="11"/>
  <c r="K64" i="11"/>
  <c r="L64" i="11" s="1"/>
  <c r="K57" i="13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S32" i="13"/>
  <c r="T32" i="13" s="1"/>
  <c r="S44" i="13"/>
  <c r="T44" i="13" s="1"/>
  <c r="S65" i="13"/>
  <c r="T65" i="13" s="1"/>
  <c r="G11" i="13"/>
  <c r="Q106" i="13"/>
  <c r="S136" i="13"/>
  <c r="T136" i="13" s="1"/>
  <c r="S138" i="13"/>
  <c r="T138" i="13" s="1"/>
  <c r="R35" i="12"/>
  <c r="R19" i="12"/>
  <c r="M63" i="11" l="1"/>
  <c r="L63" i="11"/>
  <c r="L65" i="11"/>
  <c r="M65" i="11"/>
  <c r="K31" i="11"/>
  <c r="K57" i="11"/>
  <c r="K42" i="11"/>
  <c r="K11" i="1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7" i="13"/>
  <c r="T147" i="13" s="1"/>
  <c r="S141" i="13"/>
  <c r="T141" i="13" s="1"/>
  <c r="S130" i="13"/>
  <c r="T130" i="13" s="1"/>
  <c r="J29" i="13"/>
  <c r="I29" i="13"/>
  <c r="S145" i="13"/>
  <c r="T145" i="13" s="1"/>
  <c r="S31" i="13"/>
  <c r="T31" i="13" s="1"/>
  <c r="S42" i="13"/>
  <c r="T42" i="13" s="1"/>
  <c r="R29" i="13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K29" i="11" l="1"/>
  <c r="K10" i="11"/>
  <c r="R30" i="13"/>
  <c r="P30" i="13"/>
  <c r="O30" i="13"/>
  <c r="N55" i="13"/>
  <c r="L30" i="13"/>
  <c r="J30" i="13"/>
  <c r="I30" i="13"/>
  <c r="G30" i="13"/>
  <c r="G124" i="13"/>
  <c r="P55" i="13"/>
  <c r="N30" i="13"/>
  <c r="L55" i="13"/>
  <c r="O55" i="13"/>
  <c r="J55" i="13"/>
  <c r="J61" i="13" s="1"/>
  <c r="I55" i="13"/>
  <c r="I61" i="13" s="1"/>
  <c r="S137" i="13"/>
  <c r="T137" i="13" s="1"/>
  <c r="R55" i="13"/>
  <c r="H55" i="13"/>
  <c r="S29" i="13"/>
  <c r="T29" i="13" s="1"/>
  <c r="K30" i="13"/>
  <c r="K55" i="13"/>
  <c r="Q30" i="13"/>
  <c r="Q55" i="13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S114" i="13"/>
  <c r="T114" i="13" s="1"/>
  <c r="Q19" i="12"/>
  <c r="G61" i="13" l="1"/>
  <c r="K55" i="11"/>
  <c r="K30" i="11"/>
  <c r="Q61" i="13"/>
  <c r="Q66" i="13" s="1"/>
  <c r="O61" i="13"/>
  <c r="O66" i="13" s="1"/>
  <c r="N56" i="13"/>
  <c r="N61" i="13"/>
  <c r="M61" i="13"/>
  <c r="H61" i="13"/>
  <c r="H66" i="13" s="1"/>
  <c r="H62" i="13" s="1"/>
  <c r="R61" i="13"/>
  <c r="L61" i="13"/>
  <c r="K61" i="13"/>
  <c r="P56" i="13"/>
  <c r="P61" i="13"/>
  <c r="I56" i="13"/>
  <c r="L56" i="13"/>
  <c r="O56" i="13"/>
  <c r="J56" i="13"/>
  <c r="R56" i="13"/>
  <c r="H56" i="13"/>
  <c r="S30" i="13"/>
  <c r="T30" i="13" s="1"/>
  <c r="Q56" i="13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K61" i="11" l="1"/>
  <c r="K56" i="11"/>
  <c r="R66" i="13"/>
  <c r="Q62" i="13"/>
  <c r="P66" i="13"/>
  <c r="O62" i="13"/>
  <c r="N66" i="13"/>
  <c r="M66" i="13"/>
  <c r="M62" i="13" s="1"/>
  <c r="L66" i="13"/>
  <c r="K66" i="13"/>
  <c r="J66" i="13"/>
  <c r="I66" i="13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N7" i="11" s="1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G248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8" i="3" s="1"/>
  <c r="N8" i="3" s="1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45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 s="1"/>
  <c r="A124" i="8"/>
  <c r="O101" i="8"/>
  <c r="A128" i="8"/>
  <c r="A129" i="8"/>
  <c r="A130" i="8"/>
  <c r="A131" i="8"/>
  <c r="B131" i="8" s="1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 s="1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S8" i="8"/>
  <c r="S103" i="8" s="1"/>
  <c r="H8" i="8"/>
  <c r="H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B54" i="8"/>
  <c r="B48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 s="1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P8" i="4"/>
  <c r="P102" i="4" s="1"/>
  <c r="N8" i="4"/>
  <c r="N102" i="4" s="1"/>
  <c r="L8" i="4"/>
  <c r="L102" i="4" s="1"/>
  <c r="J8" i="4"/>
  <c r="J102" i="4" s="1"/>
  <c r="H8" i="4"/>
  <c r="H102" i="4" s="1"/>
  <c r="B60" i="4"/>
  <c r="B54" i="4"/>
  <c r="B49" i="4"/>
  <c r="B44" i="4"/>
  <c r="B24" i="4"/>
  <c r="B1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O117" i="10" s="1"/>
  <c r="A118" i="10"/>
  <c r="A119" i="10"/>
  <c r="B119" i="10" s="1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N115" i="10" s="1"/>
  <c r="A136" i="10"/>
  <c r="A138" i="10"/>
  <c r="A139" i="10"/>
  <c r="A140" i="10"/>
  <c r="J101" i="10"/>
  <c r="A141" i="10"/>
  <c r="M101" i="10"/>
  <c r="A142" i="10"/>
  <c r="A143" i="10"/>
  <c r="A144" i="10"/>
  <c r="O144" i="10" s="1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Q110" i="10" s="1"/>
  <c r="R101" i="10"/>
  <c r="A159" i="10"/>
  <c r="A155" i="10"/>
  <c r="A154" i="10"/>
  <c r="A150" i="10"/>
  <c r="A149" i="10"/>
  <c r="A148" i="10"/>
  <c r="A137" i="10"/>
  <c r="A126" i="10"/>
  <c r="A125" i="10"/>
  <c r="A124" i="10"/>
  <c r="B124" i="10" s="1"/>
  <c r="A114" i="10"/>
  <c r="A106" i="10"/>
  <c r="A105" i="10"/>
  <c r="T103" i="10"/>
  <c r="N8" i="10"/>
  <c r="N103" i="10" s="1"/>
  <c r="H8" i="10"/>
  <c r="H103" i="10" s="1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I8" i="3"/>
  <c r="L8" i="3" s="1"/>
  <c r="R6" i="3"/>
  <c r="N6" i="3"/>
  <c r="O6" i="3" s="1"/>
  <c r="E4" i="3"/>
  <c r="B53" i="11"/>
  <c r="B54" i="11"/>
  <c r="B49" i="11"/>
  <c r="B48" i="11"/>
  <c r="B45" i="11"/>
  <c r="B43" i="11"/>
  <c r="B35" i="11"/>
  <c r="B27" i="11"/>
  <c r="B15" i="11"/>
  <c r="B12" i="11"/>
  <c r="E4" i="11"/>
  <c r="E3" i="11"/>
  <c r="D17" i="1"/>
  <c r="D21" i="1" s="1"/>
  <c r="S14" i="4"/>
  <c r="T14" i="4" s="1"/>
  <c r="S16" i="4"/>
  <c r="T16" i="4" s="1"/>
  <c r="S12" i="4"/>
  <c r="T12" i="4" s="1"/>
  <c r="H118" i="4"/>
  <c r="B113" i="4"/>
  <c r="B130" i="4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/>
  <c r="S27" i="4"/>
  <c r="T27" i="4" s="1"/>
  <c r="S26" i="4"/>
  <c r="T26" i="4" s="1"/>
  <c r="S25" i="4"/>
  <c r="S24" i="4"/>
  <c r="T24" i="4" s="1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20" i="4"/>
  <c r="T25" i="4"/>
  <c r="T37" i="4"/>
  <c r="T17" i="4"/>
  <c r="T23" i="4"/>
  <c r="T33" i="4"/>
  <c r="T38" i="4"/>
  <c r="S11" i="4"/>
  <c r="T11" i="4" s="1"/>
  <c r="S31" i="4"/>
  <c r="T31" i="4" s="1"/>
  <c r="S57" i="4"/>
  <c r="T57" i="4" s="1"/>
  <c r="S65" i="4"/>
  <c r="T65" i="4" s="1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B53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41" i="12"/>
  <c r="B159" i="12"/>
  <c r="M107" i="12"/>
  <c r="I113" i="12"/>
  <c r="M122" i="12"/>
  <c r="B144" i="10"/>
  <c r="Q116" i="4"/>
  <c r="R108" i="4"/>
  <c r="K119" i="8"/>
  <c r="P107" i="8"/>
  <c r="K117" i="8"/>
  <c r="B110" i="4"/>
  <c r="R112" i="4"/>
  <c r="B109" i="8"/>
  <c r="B152" i="8"/>
  <c r="B108" i="9"/>
  <c r="DQ350" i="6"/>
  <c r="CQ386" i="6"/>
  <c r="CU386" i="6"/>
  <c r="B112" i="9"/>
  <c r="B152" i="9"/>
  <c r="CY386" i="6"/>
  <c r="DC386" i="6"/>
  <c r="S61" i="4"/>
  <c r="T61" i="4" s="1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 s="1"/>
  <c r="B153" i="4"/>
  <c r="N111" i="4"/>
  <c r="P117" i="8"/>
  <c r="B156" i="4"/>
  <c r="B118" i="4"/>
  <c r="P108" i="4"/>
  <c r="M116" i="8"/>
  <c r="B154" i="9"/>
  <c r="K115" i="4"/>
  <c r="P116" i="4"/>
  <c r="B131" i="4"/>
  <c r="H8" i="9"/>
  <c r="H102" i="9" s="1"/>
  <c r="I118" i="9"/>
  <c r="CU350" i="6"/>
  <c r="DI350" i="6"/>
  <c r="G112" i="4"/>
  <c r="S112" i="4" s="1"/>
  <c r="T112" i="4" s="1"/>
  <c r="B158" i="4"/>
  <c r="P8" i="9"/>
  <c r="P102" i="9" s="1"/>
  <c r="O112" i="4"/>
  <c r="U120" i="8"/>
  <c r="B114" i="8"/>
  <c r="Q112" i="4"/>
  <c r="DU386" i="6"/>
  <c r="B152" i="4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3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M112" i="10"/>
  <c r="K112" i="10"/>
  <c r="I145" i="10"/>
  <c r="I107" i="10"/>
  <c r="I120" i="10"/>
  <c r="I117" i="10"/>
  <c r="I113" i="10"/>
  <c r="L130" i="10"/>
  <c r="B151" i="10"/>
  <c r="N144" i="10"/>
  <c r="B115" i="10"/>
  <c r="J115" i="10"/>
  <c r="R115" i="10"/>
  <c r="L115" i="10"/>
  <c r="P115" i="10"/>
  <c r="R111" i="10"/>
  <c r="I111" i="10"/>
  <c r="B153" i="10"/>
  <c r="P153" i="10"/>
  <c r="H153" i="10"/>
  <c r="O122" i="10"/>
  <c r="G122" i="10"/>
  <c r="P118" i="10"/>
  <c r="G118" i="10"/>
  <c r="N118" i="10"/>
  <c r="P130" i="10"/>
  <c r="I157" i="10"/>
  <c r="K120" i="12"/>
  <c r="R158" i="12"/>
  <c r="J140" i="12"/>
  <c r="Q153" i="12"/>
  <c r="H154" i="12"/>
  <c r="H111" i="12"/>
  <c r="B158" i="12"/>
  <c r="M140" i="12"/>
  <c r="B153" i="12"/>
  <c r="B127" i="4"/>
  <c r="L61" i="11" l="1"/>
  <c r="M61" i="11"/>
  <c r="R56" i="1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T61" i="11" s="1"/>
  <c r="N56" i="1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3" i="13" s="1"/>
  <c r="J8" i="17"/>
  <c r="J103" i="17" s="1"/>
  <c r="N8" i="13"/>
  <c r="N103" i="13" s="1"/>
  <c r="N8" i="17"/>
  <c r="N103" i="17" s="1"/>
  <c r="R8" i="13"/>
  <c r="R103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3" i="13" s="1"/>
  <c r="G8" i="17"/>
  <c r="G103" i="17" s="1"/>
  <c r="K8" i="13"/>
  <c r="K103" i="13" s="1"/>
  <c r="K8" i="17"/>
  <c r="K103" i="17" s="1"/>
  <c r="O8" i="13"/>
  <c r="O103" i="13" s="1"/>
  <c r="O8" i="17"/>
  <c r="O103" i="17" s="1"/>
  <c r="S7" i="13"/>
  <c r="S102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3" i="13" s="1"/>
  <c r="H8" i="17"/>
  <c r="H103" i="17" s="1"/>
  <c r="L8" i="13"/>
  <c r="L103" i="13" s="1"/>
  <c r="L8" i="17"/>
  <c r="L103" i="17" s="1"/>
  <c r="P8" i="13"/>
  <c r="P103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3" i="13" s="1"/>
  <c r="I8" i="17"/>
  <c r="I103" i="17" s="1"/>
  <c r="M8" i="13"/>
  <c r="M103" i="13" s="1"/>
  <c r="M8" i="17"/>
  <c r="M103" i="17" s="1"/>
  <c r="Q8" i="13"/>
  <c r="Q103" i="13" s="1"/>
  <c r="Q8" i="17"/>
  <c r="Q103" i="17" s="1"/>
  <c r="B102" i="13"/>
  <c r="B102" i="17"/>
  <c r="K66" i="11"/>
  <c r="L66" i="11" s="1"/>
  <c r="R66" i="11"/>
  <c r="T55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2" i="13"/>
  <c r="P62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N8" i="1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P150" i="10" s="1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I62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P8" i="3"/>
  <c r="S8" i="3" s="1"/>
  <c r="Q144" i="8"/>
  <c r="H107" i="8"/>
  <c r="E253" i="2"/>
  <c r="G253" i="2" s="1"/>
  <c r="B7" i="11" s="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DH193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3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T56" i="11" l="1"/>
  <c r="O60" i="11"/>
  <c r="O47" i="11"/>
  <c r="O59" i="11"/>
  <c r="P59" i="11" s="1"/>
  <c r="O37" i="11"/>
  <c r="Q37" i="11" s="1"/>
  <c r="O35" i="11"/>
  <c r="O23" i="11"/>
  <c r="P23" i="11" s="1"/>
  <c r="O16" i="11"/>
  <c r="Q16" i="11" s="1"/>
  <c r="O65" i="11"/>
  <c r="O17" i="11"/>
  <c r="O14" i="11"/>
  <c r="Q14" i="11" s="1"/>
  <c r="O58" i="11"/>
  <c r="Q58" i="11" s="1"/>
  <c r="O48" i="11"/>
  <c r="O42" i="11"/>
  <c r="O52" i="11"/>
  <c r="Q52" i="11" s="1"/>
  <c r="O44" i="11"/>
  <c r="Q44" i="11" s="1"/>
  <c r="O32" i="11"/>
  <c r="O50" i="11"/>
  <c r="P50" i="11" s="1"/>
  <c r="O11" i="11"/>
  <c r="P11" i="11" s="1"/>
  <c r="O27" i="11"/>
  <c r="Q27" i="11" s="1"/>
  <c r="O20" i="11"/>
  <c r="O18" i="11"/>
  <c r="Q18" i="11" s="1"/>
  <c r="O21" i="11"/>
  <c r="P21" i="11" s="1"/>
  <c r="O22" i="11"/>
  <c r="P22" i="11" s="1"/>
  <c r="O43" i="11"/>
  <c r="O40" i="11"/>
  <c r="P40" i="11" s="1"/>
  <c r="O57" i="11"/>
  <c r="O36" i="11"/>
  <c r="P36" i="11" s="1"/>
  <c r="O34" i="11"/>
  <c r="O33" i="11"/>
  <c r="P33" i="11" s="1"/>
  <c r="O53" i="11"/>
  <c r="P53" i="11" s="1"/>
  <c r="O38" i="11"/>
  <c r="Q38" i="11" s="1"/>
  <c r="O15" i="11"/>
  <c r="O64" i="11"/>
  <c r="O24" i="11"/>
  <c r="Q24" i="11" s="1"/>
  <c r="O26" i="11"/>
  <c r="P26" i="11" s="1"/>
  <c r="O25" i="11"/>
  <c r="O63" i="11"/>
  <c r="O45" i="11"/>
  <c r="P45" i="11" s="1"/>
  <c r="O31" i="11"/>
  <c r="Q31" i="11" s="1"/>
  <c r="O41" i="11"/>
  <c r="O51" i="11"/>
  <c r="O46" i="11"/>
  <c r="O19" i="11"/>
  <c r="P19" i="11" s="1"/>
  <c r="O12" i="11"/>
  <c r="O28" i="11"/>
  <c r="P28" i="11" s="1"/>
  <c r="O13" i="11"/>
  <c r="Q13" i="11" s="1"/>
  <c r="O54" i="11"/>
  <c r="P54" i="11" s="1"/>
  <c r="O39" i="11"/>
  <c r="O49" i="11"/>
  <c r="Q49" i="11" s="1"/>
  <c r="O10" i="11"/>
  <c r="O29" i="11"/>
  <c r="O61" i="11"/>
  <c r="O30" i="11"/>
  <c r="O66" i="11"/>
  <c r="O56" i="11"/>
  <c r="O55" i="11"/>
  <c r="O62" i="11"/>
  <c r="Q62" i="11" s="1"/>
  <c r="R62" i="11"/>
  <c r="T62" i="11" s="1"/>
  <c r="K62" i="11"/>
  <c r="L62" i="11" s="1"/>
  <c r="S61" i="11"/>
  <c r="S65" i="11"/>
  <c r="T65" i="11"/>
  <c r="S8" i="13"/>
  <c r="S8" i="17"/>
  <c r="S64" i="11"/>
  <c r="T60" i="11"/>
  <c r="S60" i="11"/>
  <c r="Q60" i="11"/>
  <c r="P60" i="11"/>
  <c r="S63" i="11"/>
  <c r="T63" i="11"/>
  <c r="P20" i="11"/>
  <c r="Q32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Q51" i="11"/>
  <c r="Q42" i="11"/>
  <c r="Q41" i="11"/>
  <c r="P43" i="11"/>
  <c r="P15" i="11"/>
  <c r="Q47" i="11"/>
  <c r="Q48" i="11"/>
  <c r="P35" i="11"/>
  <c r="P39" i="11"/>
  <c r="P17" i="11"/>
  <c r="Q12" i="11"/>
  <c r="Q34" i="11"/>
  <c r="P46" i="11"/>
  <c r="P25" i="1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4" i="13"/>
  <c r="R126" i="4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J48" i="11"/>
  <c r="I151" i="13"/>
  <c r="S158" i="13"/>
  <c r="T158" i="13" s="1"/>
  <c r="L124" i="13"/>
  <c r="P151" i="13"/>
  <c r="N151" i="13"/>
  <c r="Q125" i="13"/>
  <c r="Q149" i="13"/>
  <c r="K151" i="13"/>
  <c r="I49" i="11"/>
  <c r="S144" i="13"/>
  <c r="T144" i="13" s="1"/>
  <c r="O124" i="13"/>
  <c r="S152" i="13"/>
  <c r="T152" i="13" s="1"/>
  <c r="H151" i="13"/>
  <c r="S159" i="13"/>
  <c r="T159" i="13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P32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S25" i="11"/>
  <c r="T44" i="11"/>
  <c r="K8" i="11"/>
  <c r="K8" i="3"/>
  <c r="S8" i="12"/>
  <c r="S8" i="9"/>
  <c r="E254" i="2"/>
  <c r="F254" i="2"/>
  <c r="L48" i="11"/>
  <c r="I26" i="11"/>
  <c r="L34" i="11"/>
  <c r="T54" i="11"/>
  <c r="S58" i="12"/>
  <c r="T58" i="12" s="1"/>
  <c r="J27" i="11"/>
  <c r="J34" i="11"/>
  <c r="I28" i="11"/>
  <c r="I34" i="11"/>
  <c r="J53" i="11"/>
  <c r="M51" i="11"/>
  <c r="I35" i="11"/>
  <c r="L33" i="11"/>
  <c r="I17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I125" i="8" l="1"/>
  <c r="I126" i="8" s="1"/>
  <c r="Q53" i="11"/>
  <c r="Q54" i="11"/>
  <c r="I21" i="1"/>
  <c r="I17" i="1"/>
  <c r="I13" i="1"/>
  <c r="L104" i="9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J57" i="11"/>
  <c r="K125" i="13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L148" i="9"/>
  <c r="L154" i="9" s="1"/>
  <c r="L159" i="9" s="1"/>
  <c r="L155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M148" i="10" l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P30" i="11"/>
  <c r="S57" i="8"/>
  <c r="S31" i="9"/>
  <c r="T31" i="9" s="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P161" i="13"/>
  <c r="P157" i="13" s="1"/>
  <c r="P150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M154" i="10"/>
  <c r="M159" i="10" s="1"/>
  <c r="M155" i="10" s="1"/>
  <c r="M149" i="10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G155" i="12" l="1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P56" i="11"/>
  <c r="I55" i="11"/>
  <c r="S150" i="13"/>
  <c r="T150" i="13" s="1"/>
  <c r="H161" i="13"/>
  <c r="S156" i="13"/>
  <c r="T156" i="13" s="1"/>
  <c r="G65" i="9"/>
  <c r="S60" i="9"/>
  <c r="T60" i="9" s="1"/>
  <c r="M30" i="11"/>
  <c r="S57" i="12"/>
  <c r="T57" i="12" s="1"/>
  <c r="L56" i="11"/>
  <c r="G66" i="12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S159" i="4"/>
  <c r="T159" i="4" s="1"/>
  <c r="J55" i="11"/>
  <c r="H157" i="13"/>
  <c r="S161" i="13"/>
  <c r="T161" i="13" s="1"/>
  <c r="G61" i="9"/>
  <c r="S61" i="9" s="1"/>
  <c r="T61" i="9" s="1"/>
  <c r="S65" i="9"/>
  <c r="T65" i="9" s="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T66" i="12" l="1"/>
  <c r="S62" i="12"/>
  <c r="T62" i="12" s="1"/>
  <c r="G156" i="8"/>
  <c r="W156" i="8" s="1"/>
  <c r="X156" i="8" s="1"/>
  <c r="P62" i="11"/>
  <c r="S157" i="13"/>
  <c r="T157" i="13" s="1"/>
  <c r="M62" i="11"/>
  <c r="G62" i="8"/>
  <c r="W62" i="8" s="1"/>
  <c r="X62" i="8" s="1"/>
  <c r="W66" i="8"/>
  <c r="X66" i="8" s="1"/>
  <c r="S156" i="12"/>
  <c r="T156" i="12" s="1"/>
  <c r="J62" i="11" l="1"/>
  <c r="B102" i="16" l="1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 l="1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<sst xmlns="http://schemas.openxmlformats.org/spreadsheetml/2006/main" count="1609" uniqueCount="796">
  <si>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</si>
  <si>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</si>
  <si>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</si>
  <si>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</si>
  <si>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</si>
  <si>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</si>
  <si>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</si>
  <si>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</si>
  <si>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</si>
  <si>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</si>
  <si>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</si>
  <si>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</si>
  <si>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</si>
  <si>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</si>
  <si>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</si>
  <si>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</si>
  <si>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</si>
  <si>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</si>
  <si>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</si>
  <si>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</si>
  <si>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</si>
  <si>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</si>
  <si>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</si>
  <si>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</si>
  <si>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</si>
  <si>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</si>
  <si>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</si>
  <si>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</si>
  <si>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</si>
  <si>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</si>
  <si>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</si>
  <si>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</si>
  <si>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</si>
  <si>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</si>
  <si>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</si>
  <si>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</si>
  <si>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</si>
  <si>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</si>
  <si>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</si>
  <si>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</si>
  <si>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</si>
  <si>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</si>
  <si>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</si>
  <si>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</si>
  <si>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</si>
  <si>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</si>
  <si>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</si>
  <si>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</si>
  <si>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</si>
  <si>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</si>
  <si>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</si>
  <si>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</si>
  <si>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</si>
  <si>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</si>
  <si>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</si>
  <si>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</si>
  <si>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</si>
  <si>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</si>
  <si>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</si>
  <si>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</si>
  <si>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</si>
  <si>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</si>
  <si>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</si>
  <si>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</si>
  <si>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</si>
  <si>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</si>
  <si>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</si>
  <si>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</si>
  <si>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</si>
  <si>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</si>
  <si>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</si>
  <si>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</si>
  <si>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</si>
  <si>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</si>
  <si>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</si>
  <si>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</si>
  <si>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</si>
  <si>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</si>
  <si>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</si>
  <si>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</si>
  <si>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</si>
  <si>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</si>
  <si>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</si>
  <si>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</si>
  <si>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</si>
  <si>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</si>
  <si>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</si>
  <si>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</si>
  <si>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</si>
  <si>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</si>
  <si>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</si>
  <si>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</si>
  <si>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</si>
  <si>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</si>
  <si>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</si>
  <si>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</si>
  <si>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</si>
  <si>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</si>
  <si>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</si>
  <si>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</si>
  <si>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</si>
  <si>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</si>
  <si>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</si>
  <si>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</si>
  <si>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</si>
  <si>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</si>
  <si>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</si>
  <si>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</si>
  <si>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</si>
  <si>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</si>
  <si>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</si>
  <si>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</si>
  <si>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</si>
  <si>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</si>
  <si>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</si>
  <si>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</si>
  <si>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</si>
  <si>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</si>
  <si>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</si>
  <si>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</si>
  <si>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</si>
  <si>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</si>
  <si>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</si>
  <si>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</si>
  <si>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</si>
  <si>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</si>
  <si>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</si>
  <si>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</si>
  <si>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</si>
  <si>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</si>
  <si>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</si>
  <si>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</si>
  <si>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</si>
  <si>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</si>
  <si>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</si>
  <si>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</si>
  <si>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</si>
  <si>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</si>
  <si>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</si>
  <si>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</si>
  <si>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</si>
  <si>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</si>
  <si>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</si>
  <si>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</si>
  <si>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</si>
  <si>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</si>
  <si>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</si>
  <si>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</si>
  <si>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</si>
  <si>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</si>
  <si>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</si>
  <si>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</si>
  <si>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</si>
  <si>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</si>
  <si>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</si>
  <si>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</si>
  <si>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</si>
  <si>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</si>
  <si>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</si>
  <si>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</si>
  <si>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</si>
  <si>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</si>
  <si>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</si>
  <si>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</si>
  <si>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</si>
  <si>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</si>
  <si>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</si>
  <si>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</si>
  <si>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</si>
  <si>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</si>
  <si>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</si>
  <si>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</si>
  <si>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</si>
  <si>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</si>
  <si>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</si>
  <si>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</si>
  <si>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</si>
  <si>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</si>
  <si>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</si>
  <si>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</si>
  <si>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</si>
  <si>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</si>
  <si>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</si>
  <si>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</si>
  <si>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</si>
  <si>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</si>
  <si>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</si>
  <si>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</si>
  <si>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</si>
  <si>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</si>
  <si>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</si>
  <si>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</si>
  <si>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</si>
  <si>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</si>
  <si>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</si>
  <si>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</si>
  <si>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</si>
  <si>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</si>
  <si>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</si>
  <si>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</si>
  <si>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</si>
  <si>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</si>
  <si>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</si>
  <si>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</si>
  <si>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</si>
  <si>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</si>
  <si>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</si>
  <si>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</si>
  <si>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</si>
  <si>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</si>
  <si>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</si>
  <si>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</si>
  <si>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</si>
  <si>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</si>
  <si>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</si>
  <si>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</si>
  <si>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</si>
  <si>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</si>
  <si>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</si>
  <si>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</si>
  <si>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</si>
  <si>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</si>
  <si>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</si>
  <si>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</si>
  <si>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</si>
  <si>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</si>
  <si>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</si>
  <si>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</si>
  <si>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</si>
  <si>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</si>
  <si>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</si>
  <si>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</si>
  <si>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</si>
  <si>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</si>
  <si>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</si>
  <si>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</si>
  <si>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</si>
  <si>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</si>
  <si>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</si>
  <si>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</si>
  <si>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</si>
  <si>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</si>
  <si>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</si>
  <si>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</si>
  <si>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</si>
  <si>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</si>
  <si>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</si>
  <si>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</si>
  <si>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</si>
  <si>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</si>
  <si>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</si>
  <si>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</si>
  <si>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</si>
  <si>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</si>
  <si>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</si>
  <si>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</si>
  <si>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</si>
  <si>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</si>
  <si>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</si>
  <si>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</si>
  <si>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</si>
  <si>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</si>
  <si>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</si>
  <si>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</si>
  <si>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</si>
  <si>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</si>
  <si>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</si>
  <si>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</si>
  <si>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</si>
  <si>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</si>
  <si>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</si>
  <si>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</si>
  <si>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</si>
  <si>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</si>
  <si>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</si>
  <si>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</si>
  <si>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</si>
  <si>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</si>
  <si>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</si>
  <si>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</si>
  <si>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</si>
  <si>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</si>
  <si>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</si>
  <si>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</si>
  <si>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</si>
  <si>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</si>
  <si>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</si>
  <si>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</si>
  <si>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</si>
  <si>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</si>
  <si>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</si>
  <si>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</si>
  <si>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</si>
  <si>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</si>
  <si>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</si>
  <si>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</si>
  <si>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</si>
  <si>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</si>
  <si>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</si>
  <si>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</si>
  <si>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</si>
  <si>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</si>
  <si>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</si>
  <si>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</si>
  <si>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</si>
  <si>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</si>
  <si>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</si>
  <si>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</si>
  <si>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</si>
  <si>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</si>
  <si>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</si>
  <si>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</si>
  <si>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</si>
  <si>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</si>
  <si>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</si>
  <si>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</si>
  <si>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</si>
  <si>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</si>
  <si>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</si>
  <si>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</si>
  <si>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</si>
  <si>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</si>
  <si>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</si>
  <si>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</si>
  <si>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</si>
  <si>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</si>
  <si>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</si>
  <si>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</si>
  <si>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</si>
  <si>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</si>
  <si>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</si>
  <si>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</si>
  <si>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</si>
  <si>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</si>
  <si>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</si>
  <si>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</si>
  <si>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</si>
  <si>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</si>
  <si>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</si>
  <si>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</si>
  <si>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</si>
  <si>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</si>
  <si>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</si>
  <si>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</si>
  <si>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</si>
  <si>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</si>
  <si>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</si>
  <si>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</si>
  <si>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</si>
  <si>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</si>
  <si>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</si>
  <si>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</si>
  <si>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</si>
  <si>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</si>
  <si>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</si>
  <si>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</si>
  <si>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</si>
  <si>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</si>
  <si>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</si>
  <si>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</si>
  <si>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</si>
  <si>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</si>
  <si>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</si>
  <si>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</si>
  <si>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</si>
  <si>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</si>
  <si>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</si>
  <si>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</si>
  <si>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</si>
  <si>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</si>
  <si>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</si>
  <si>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</si>
  <si>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</si>
  <si>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</si>
  <si>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</si>
  <si>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</si>
  <si>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</si>
  <si>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</si>
  <si>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</si>
  <si>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</si>
  <si>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</si>
  <si>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</si>
  <si>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</si>
  <si>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</si>
  <si>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</si>
  <si>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</si>
  <si>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</si>
  <si>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</si>
  <si>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</si>
  <si>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</si>
  <si>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</si>
  <si>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</si>
  <si>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</si>
  <si>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</si>
  <si>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</si>
  <si>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</si>
  <si>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</si>
  <si>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</si>
  <si>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</si>
  <si>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</si>
  <si>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</si>
  <si>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</si>
  <si>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</si>
  <si>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</si>
  <si>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</si>
  <si>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</si>
  <si>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</si>
  <si>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</si>
  <si>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</si>
  <si>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</si>
  <si>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</si>
  <si>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</si>
  <si>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</si>
  <si>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</si>
  <si>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</si>
  <si>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</si>
  <si>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</si>
  <si>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</si>
  <si>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</si>
  <si>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</si>
  <si>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</si>
  <si>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</si>
  <si>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</si>
  <si>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</si>
  <si>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</si>
  <si>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</si>
  <si>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</si>
  <si>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</si>
  <si>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</si>
  <si>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</si>
  <si>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</si>
  <si>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</si>
  <si>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</si>
  <si>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</si>
  <si>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</si>
  <si>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</si>
  <si>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</si>
  <si>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</si>
  <si>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</si>
  <si>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</si>
  <si>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</si>
  <si>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</si>
  <si>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</si>
  <si>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</si>
  <si>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</si>
  <si>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</si>
  <si>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</si>
  <si>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</si>
  <si>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</si>
  <si>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</si>
  <si>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</si>
  <si>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</si>
  <si>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</si>
  <si>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</si>
  <si>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</si>
  <si>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</si>
  <si>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</si>
  <si>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</si>
  <si>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</si>
  <si>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</si>
  <si>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</si>
  <si>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</si>
  <si>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</si>
  <si>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</si>
  <si>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</si>
  <si>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</si>
  <si>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</si>
  <si>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</si>
  <si>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</si>
  <si>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</si>
  <si>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</si>
  <si>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</si>
  <si>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</si>
  <si>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</si>
  <si>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</si>
  <si>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</si>
  <si>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</si>
  <si>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</si>
  <si>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</si>
  <si>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</si>
  <si>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</si>
  <si>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</si>
  <si>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</si>
  <si>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</si>
  <si>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</si>
  <si>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</si>
  <si>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</si>
  <si>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</si>
  <si>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</si>
  <si>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</si>
  <si>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</si>
  <si>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</si>
  <si>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</si>
  <si>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</si>
  <si>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</si>
  <si>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</si>
  <si>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</si>
  <si>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</si>
  <si>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</si>
  <si>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</si>
  <si>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</si>
  <si>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</si>
  <si>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</si>
  <si>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</si>
  <si>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</si>
  <si>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</si>
  <si>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</si>
  <si>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</si>
  <si>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</si>
  <si>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</si>
  <si>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</si>
  <si>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</si>
  <si>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</si>
  <si>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</si>
  <si>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</si>
  <si>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</si>
  <si>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</si>
  <si>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</si>
  <si>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</si>
  <si>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</si>
  <si>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</si>
  <si>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</si>
  <si>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</si>
  <si>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</si>
  <si>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</si>
  <si>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</si>
  <si>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</si>
  <si>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</si>
  <si>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</si>
  <si>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</si>
  <si>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</si>
  <si>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</si>
  <si>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</si>
  <si>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</si>
  <si>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</si>
  <si>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</si>
  <si>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</si>
  <si>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</si>
  <si>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</si>
  <si>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</si>
  <si>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</si>
  <si>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</si>
  <si>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</si>
  <si>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</si>
  <si>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</si>
  <si>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</si>
  <si>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</si>
  <si>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</si>
  <si>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</si>
  <si>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</si>
  <si>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</si>
  <si>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</si>
  <si>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</si>
  <si>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</si>
  <si>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</si>
  <si>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</si>
  <si>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</si>
  <si>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</si>
  <si>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</si>
  <si>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</si>
  <si>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</si>
  <si>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</si>
  <si>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</si>
  <si>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</si>
  <si>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</si>
  <si>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</si>
  <si>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</si>
  <si>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</si>
  <si>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</si>
  <si>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</si>
  <si>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</si>
  <si>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</si>
  <si>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</si>
  <si>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</si>
  <si>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</si>
  <si>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</si>
  <si>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</si>
  <si>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</si>
  <si>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</si>
  <si>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</si>
  <si>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</si>
  <si>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</si>
  <si>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</si>
  <si>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</si>
  <si>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</si>
  <si>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</si>
  <si>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</si>
  <si>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</si>
  <si>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</si>
  <si>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</si>
  <si>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</si>
  <si>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</si>
  <si>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</si>
  <si>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</si>
  <si>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</si>
  <si>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</si>
  <si>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</si>
  <si>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</si>
  <si>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</si>
  <si>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</si>
  <si>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</si>
  <si>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</si>
  <si>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</si>
  <si>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</si>
  <si>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</si>
  <si>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</si>
  <si>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</si>
  <si>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</si>
  <si>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</si>
  <si>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</si>
  <si>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</si>
  <si>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</si>
  <si>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</si>
  <si>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</si>
  <si>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</si>
  <si>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</si>
  <si>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</si>
  <si>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</si>
  <si>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</si>
  <si>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</si>
  <si>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</si>
  <si>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</si>
  <si>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</si>
  <si>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</si>
  <si>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</si>
  <si>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</si>
  <si>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</si>
  <si>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</si>
  <si>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</si>
  <si>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</si>
  <si>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</si>
  <si>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</si>
  <si>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</si>
  <si>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</si>
  <si>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</si>
  <si>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</si>
  <si>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</si>
  <si>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</si>
  <si>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</si>
  <si>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</si>
  <si>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</si>
  <si>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</si>
  <si>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</si>
  <si>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</si>
  <si>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</si>
  <si>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</si>
  <si>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</si>
  <si>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</si>
  <si>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</si>
  <si>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</si>
  <si>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</si>
  <si>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</si>
  <si>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</si>
  <si>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</si>
  <si>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</si>
  <si>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</si>
  <si>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</si>
  <si>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</si>
  <si>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</si>
  <si>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</si>
  <si>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</si>
  <si>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</si>
  <si>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</si>
  <si>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</si>
  <si>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</si>
  <si>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</si>
  <si>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</si>
  <si>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</si>
  <si>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</si>
  <si>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</si>
  <si>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</si>
  <si>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</si>
  <si>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</si>
  <si>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</si>
  <si>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</si>
  <si>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</si>
  <si>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</si>
  <si>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</si>
  <si>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</si>
  <si>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</si>
  <si>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</si>
  <si>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</si>
  <si>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</si>
  <si>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</si>
  <si>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</si>
  <si>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</si>
  <si>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</si>
  <si>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</si>
  <si>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</si>
  <si>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</si>
  <si>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</si>
  <si>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</si>
  <si>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</si>
  <si>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</si>
  <si>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</si>
  <si>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</si>
  <si>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</si>
  <si>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</si>
  <si>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</si>
  <si>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</si>
  <si>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</si>
  <si>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</si>
  <si>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</si>
  <si>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</si>
  <si>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</si>
  <si>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</si>
  <si>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</si>
  <si>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</si>
  <si>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</si>
  <si>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</si>
  <si>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</si>
  <si>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</si>
  <si>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</si>
  <si>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</si>
  <si>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</si>
  <si>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</si>
  <si>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</si>
  <si>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</si>
  <si>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</si>
  <si>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</si>
  <si>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</si>
  <si>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</si>
  <si>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</si>
  <si>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</si>
  <si>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</si>
  <si>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</si>
  <si>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</si>
  <si>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</si>
  <si>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</si>
  <si>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</si>
  <si>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</si>
  <si>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</si>
  <si>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</si>
  <si>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</si>
  <si>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</si>
  <si>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</si>
  <si>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</si>
  <si>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</si>
  <si>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</si>
  <si>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</si>
  <si>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</si>
  <si>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</si>
  <si>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</si>
  <si>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</si>
  <si>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</si>
  <si>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</si>
  <si>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</si>
  <si>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</si>
  <si>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</si>
  <si>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</si>
  <si>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</si>
  <si>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</si>
  <si>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</si>
  <si>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</si>
  <si>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</si>
  <si>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</si>
  <si>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</si>
  <si>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</si>
  <si>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</si>
  <si>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</si>
  <si>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</si>
  <si>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</si>
  <si>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</si>
  <si>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</si>
  <si>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</si>
  <si>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</si>
  <si>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</si>
  <si>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</si>
  <si>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</si>
  <si>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</si>
  <si>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</si>
  <si>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</si>
  <si>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</si>
  <si>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</si>
  <si>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</si>
  <si>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</si>
  <si>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</si>
  <si>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</si>
  <si>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</si>
  <si>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</si>
  <si>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</si>
  <si>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</si>
  <si>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</si>
  <si>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</si>
  <si>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</si>
  <si>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</si>
  <si>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</si>
  <si>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</si>
  <si>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</si>
  <si>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</si>
  <si>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</si>
  <si>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</si>
  <si>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</si>
  <si>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Suficit/Deficit za period Januar -</t>
  </si>
  <si>
    <t>Surplus/Deficit for period January -</t>
  </si>
  <si>
    <t>Surplus/Deficit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</si>
</sst>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</cellStyleXfs>
  <cellXfs count="56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166" fontId="27" fillId="9" borderId="13" xfId="0" applyNumberFormat="1" applyFont="1" applyFill="1" applyBorder="1" applyAlignment="1" applyProtection="1">
      <alignment horizontal="center"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9" fontId="0" fillId="4" borderId="0" xfId="1" applyFont="1" applyFill="1" applyAlignment="1">
      <alignment horizontal="right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6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6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 3" xfId="133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8362560"/>
        <c:axId val="-1828373984"/>
      </c:lineChart>
      <c:catAx>
        <c:axId val="-1828362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1828373984"/>
        <c:crosses val="autoZero"/>
        <c:auto val="1"/>
        <c:lblAlgn val="ctr"/>
        <c:lblOffset val="100"/>
        <c:tickLblSkip val="3"/>
        <c:noMultiLvlLbl val="0"/>
      </c:catAx>
      <c:valAx>
        <c:axId val="-1828373984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82836256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94790032"/>
        <c:axId val="-1894785680"/>
      </c:lineChart>
      <c:catAx>
        <c:axId val="-1894790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1894785680"/>
        <c:crosses val="autoZero"/>
        <c:auto val="1"/>
        <c:lblAlgn val="ctr"/>
        <c:lblOffset val="100"/>
        <c:tickLblSkip val="3"/>
        <c:noMultiLvlLbl val="0"/>
      </c:catAx>
      <c:valAx>
        <c:axId val="-1894785680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89479003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9'!_2015plan"/><Relationship Id="rId4" Type="http://schemas.openxmlformats.org/officeDocument/2006/relationships/hyperlink" Target="#'2019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695325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sr-Latn-ME" sz="1100"/>
            <a:t>SAOPŠTENJE</a:t>
          </a:r>
          <a:r>
            <a:rPr lang="sr-Latn-ME" sz="1100" baseline="0"/>
            <a:t>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januar-februar 2019. godine iznosili su 223,6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veći su za 13,2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mil.€ ili 6,3% u odnosu na plan. U odnosu na isti period prethodne godine prihodi su veći za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34,9 mil.€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ili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18,5%.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januar-februar 2019. godine iznosili su 267,2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5,6% BDP-a i viši su za 42,0 mil. 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18,7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u odnosu na isti period prethodne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godine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plan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izdaci su manji za 63,4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19,2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periodu januar-februar 2019. godine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 43,6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0,9%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procijenjenog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BDP-a.</a:t>
          </a:r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stavkama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"Bruto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zarade i doprinosi na teret poslodavca" i "Prava iz oblasti penzijskog i invalidskog osiguranja" dobijeni su na osnovu obračunskog usklađivanja, dok su ostale stavke prikazane po kešu.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657225</xdr:colOff>
      <xdr:row>2</xdr:row>
      <xdr:rowOff>9524</xdr:rowOff>
    </xdr:from>
    <xdr:to>
      <xdr:col>13</xdr:col>
      <xdr:colOff>447675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733425</xdr:colOff>
      <xdr:row>0</xdr:row>
      <xdr:rowOff>104775</xdr:rowOff>
    </xdr:from>
    <xdr:to>
      <xdr:col>16</xdr:col>
      <xdr:colOff>131456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13</xdr:col>
      <xdr:colOff>733425</xdr:colOff>
      <xdr:row>2</xdr:row>
      <xdr:rowOff>9525</xdr:rowOff>
    </xdr:from>
    <xdr:to>
      <xdr:col>16</xdr:col>
      <xdr:colOff>131456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13</xdr:col>
      <xdr:colOff>752475</xdr:colOff>
      <xdr:row>3</xdr:row>
      <xdr:rowOff>133350</xdr:rowOff>
    </xdr:from>
    <xdr:to>
      <xdr:col>16</xdr:col>
      <xdr:colOff>150506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838200</xdr:colOff>
      <xdr:row>2</xdr:row>
      <xdr:rowOff>123824</xdr:rowOff>
    </xdr:from>
    <xdr:to>
      <xdr:col>13</xdr:col>
      <xdr:colOff>66675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11</xdr:col>
      <xdr:colOff>819150</xdr:colOff>
      <xdr:row>4</xdr:row>
      <xdr:rowOff>28574</xdr:rowOff>
    </xdr:from>
    <xdr:to>
      <xdr:col>13</xdr:col>
      <xdr:colOff>66674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1</xdr:row>
      <xdr:rowOff>38100</xdr:rowOff>
    </xdr:from>
    <xdr:to>
      <xdr:col>13</xdr:col>
      <xdr:colOff>370933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14</xdr:col>
      <xdr:colOff>114300</xdr:colOff>
      <xdr:row>1</xdr:row>
      <xdr:rowOff>47625</xdr:rowOff>
    </xdr:from>
    <xdr:to>
      <xdr:col>16</xdr:col>
      <xdr:colOff>109312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14</xdr:col>
      <xdr:colOff>114300</xdr:colOff>
      <xdr:row>3</xdr:row>
      <xdr:rowOff>9525</xdr:rowOff>
    </xdr:from>
    <xdr:to>
      <xdr:col>16</xdr:col>
      <xdr:colOff>109312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9</xdr:col>
      <xdr:colOff>285750</xdr:colOff>
      <xdr:row>2</xdr:row>
      <xdr:rowOff>95250</xdr:rowOff>
    </xdr:from>
    <xdr:to>
      <xdr:col>11</xdr:col>
      <xdr:colOff>133985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2019-02</v>
      </c>
      <c r="O6" s="168" t="str">
        <f>+CONCATENATE(N6,"p")</f>
        <v>2019-02p</v>
      </c>
      <c r="P6" s="152"/>
      <c r="Q6" s="152"/>
      <c r="R6" s="168" t="str">
        <f>+IF(Master!B3-10&gt;=0,CONCATENATE(Master!B4-1,"-",Master!B3),CONCATENATE(Master!B4-1,"-0",Master!B3))</f>
        <v>2018-02</v>
      </c>
      <c r="S6" s="152"/>
      <c r="T6" s="152"/>
    </row>
    <row r="7" spans="1:20">
      <c r="A7" s="169"/>
      <c r="B7" s="452" t="s">
        <v>704</v>
      </c>
      <c r="C7" s="453"/>
      <c r="D7" s="453"/>
      <c r="E7" s="453"/>
      <c r="F7" s="453"/>
      <c r="G7" s="461" t="s">
        <v>702</v>
      </c>
      <c r="H7" s="462"/>
      <c r="I7" s="462"/>
      <c r="J7" s="462"/>
      <c r="K7" s="462"/>
      <c r="L7" s="462"/>
      <c r="M7" s="463"/>
      <c r="N7" s="464" t="str">
        <f>+Master!G242</f>
        <v>Decembar</v>
      </c>
      <c r="O7" s="462"/>
      <c r="P7" s="462"/>
      <c r="Q7" s="462"/>
      <c r="R7" s="462"/>
      <c r="S7" s="462"/>
      <c r="T7" s="465"/>
    </row>
    <row r="8" spans="1:20">
      <c r="A8" s="169"/>
      <c r="B8" s="454"/>
      <c r="C8" s="455"/>
      <c r="D8" s="455"/>
      <c r="E8" s="455"/>
      <c r="F8" s="456"/>
      <c r="G8" s="170" t="str">
        <f>+Master!G23</f>
        <v>Ostvarenje</v>
      </c>
      <c r="H8" s="170" t="str">
        <f>+Master!G22</f>
        <v>Plan</v>
      </c>
      <c r="I8" s="448" t="str">
        <f>+Master!G260</f>
        <v>Odstupanje</v>
      </c>
      <c r="J8" s="448"/>
      <c r="K8" s="170" t="str">
        <f>+CONCATENATE(Master!G245," ",Master!B4-1)</f>
        <v>Jan - Feb 2018</v>
      </c>
      <c r="L8" s="448" t="str">
        <f>+I8</f>
        <v>Odstupanje</v>
      </c>
      <c r="M8" s="460"/>
      <c r="N8" s="171" t="str">
        <f>+G8</f>
        <v>Ostvarenje</v>
      </c>
      <c r="O8" s="170" t="str">
        <f>+H8</f>
        <v>Plan</v>
      </c>
      <c r="P8" s="448" t="str">
        <f>+I8</f>
        <v>Odstupanje</v>
      </c>
      <c r="Q8" s="448"/>
      <c r="R8" s="170" t="str">
        <f>+CONCATENATE(Master!G244," ",Master!B4-1)</f>
        <v>Februar 2018</v>
      </c>
      <c r="S8" s="448" t="str">
        <f>+P8</f>
        <v>Odstupanje</v>
      </c>
      <c r="T8" s="449"/>
    </row>
    <row r="9" spans="1:20" ht="15.75" thickBot="1">
      <c r="A9" s="169"/>
      <c r="B9" s="457"/>
      <c r="C9" s="458"/>
      <c r="D9" s="458"/>
      <c r="E9" s="458"/>
      <c r="F9" s="459"/>
      <c r="G9" s="162" t="s">
        <v>425</v>
      </c>
      <c r="H9" s="162" t="s">
        <v>425</v>
      </c>
      <c r="I9" s="162" t="s">
        <v>425</v>
      </c>
      <c r="J9" s="162" t="s">
        <v>690</v>
      </c>
      <c r="K9" s="162" t="s">
        <v>425</v>
      </c>
      <c r="L9" s="162" t="s">
        <v>425</v>
      </c>
      <c r="M9" s="172" t="s">
        <v>690</v>
      </c>
      <c r="N9" s="173" t="s">
        <v>425</v>
      </c>
      <c r="O9" s="162" t="s">
        <v>425</v>
      </c>
      <c r="P9" s="162" t="s">
        <v>425</v>
      </c>
      <c r="Q9" s="162" t="s">
        <v>690</v>
      </c>
      <c r="R9" s="162" t="s">
        <v>425</v>
      </c>
      <c r="S9" s="162" t="s">
        <v>425</v>
      </c>
      <c r="T9" s="174" t="s">
        <v>690</v>
      </c>
    </row>
    <row r="10" spans="1:20" ht="15.7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2" t="e">
        <f>+VLOOKUP($A18,Master!$D$27:$G$225,4,FALSE)</f>
        <v>#N/A</v>
      </c>
      <c r="C18" s="483"/>
      <c r="D18" s="483"/>
      <c r="E18" s="483"/>
      <c r="F18" s="483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2" t="str">
        <f>+VLOOKUP($A19,Master!$D$27:$G$225,4,FALSE)</f>
        <v>Ostali državni porezi</v>
      </c>
      <c r="C19" s="483"/>
      <c r="D19" s="483"/>
      <c r="E19" s="483"/>
      <c r="F19" s="483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2" t="str">
        <f>+VLOOKUP($A20,Master!$D$27:$G$225,4,FALSE)</f>
        <v>Doprinosi</v>
      </c>
      <c r="C20" s="493"/>
      <c r="D20" s="493"/>
      <c r="E20" s="493"/>
      <c r="F20" s="493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2" t="str">
        <f>+VLOOKUP($A21,Master!$D$27:$G$225,4,FALSE)</f>
        <v>Doprinosi za penzijsko i invalidsko osiguranje</v>
      </c>
      <c r="C21" s="483"/>
      <c r="D21" s="483"/>
      <c r="E21" s="483"/>
      <c r="F21" s="483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2" t="str">
        <f>+VLOOKUP($A22,Master!$D$27:$G$225,4,FALSE)</f>
        <v>Doprinosi za zdravstveno osiguranje</v>
      </c>
      <c r="C22" s="483"/>
      <c r="D22" s="483"/>
      <c r="E22" s="483"/>
      <c r="F22" s="483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2" t="str">
        <f>+VLOOKUP($A23,Master!$D$27:$G$225,4,FALSE)</f>
        <v>Doprinosi za osiguranje od nezaposlenosti</v>
      </c>
      <c r="C23" s="483"/>
      <c r="D23" s="483"/>
      <c r="E23" s="483"/>
      <c r="F23" s="483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2" t="str">
        <f>+VLOOKUP($A24,Master!$D$27:$G$225,4,FALSE)</f>
        <v>Ostali doprinosi</v>
      </c>
      <c r="C24" s="483"/>
      <c r="D24" s="483"/>
      <c r="E24" s="483"/>
      <c r="F24" s="483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84" t="str">
        <f>+VLOOKUP($A25,Master!$D$27:$G$225,4,FALSE)</f>
        <v>Takse</v>
      </c>
      <c r="C25" s="485"/>
      <c r="D25" s="485"/>
      <c r="E25" s="485"/>
      <c r="F25" s="485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84" t="str">
        <f>+VLOOKUP($A26,Master!$D$27:$G$225,4,FALSE)</f>
        <v>Naknade</v>
      </c>
      <c r="C26" s="485"/>
      <c r="D26" s="485"/>
      <c r="E26" s="485"/>
      <c r="F26" s="485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84" t="str">
        <f>+VLOOKUP($A27,Master!$D$27:$G$225,4,FALSE)</f>
        <v>Ostali prihodi</v>
      </c>
      <c r="C27" s="485"/>
      <c r="D27" s="485"/>
      <c r="E27" s="485"/>
      <c r="F27" s="485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84" t="str">
        <f>+VLOOKUP($A28,Master!$D$27:$G$225,4,FALSE)</f>
        <v>Primici od otplate kredita i sredstva prenesena iz prethodne godine</v>
      </c>
      <c r="C28" s="485"/>
      <c r="D28" s="485"/>
      <c r="E28" s="485"/>
      <c r="F28" s="485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86" t="str">
        <f>+VLOOKUP($A29,Master!$D$27:$G$225,4,FALSE)</f>
        <v>Donacije i transferi</v>
      </c>
      <c r="C29" s="487"/>
      <c r="D29" s="487"/>
      <c r="E29" s="487"/>
      <c r="F29" s="487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2" t="str">
        <f>+VLOOKUP($A30,Master!$D$27:$G$225,4,FALSE)</f>
        <v>Budžetski izdaci</v>
      </c>
      <c r="C30" s="473"/>
      <c r="D30" s="473"/>
      <c r="E30" s="473"/>
      <c r="F30" s="473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88" t="str">
        <f>+VLOOKUP($A31,Master!$D$27:$G$225,4,FALSE)</f>
        <v>Tekući izdaci</v>
      </c>
      <c r="C31" s="489"/>
      <c r="D31" s="489"/>
      <c r="E31" s="489"/>
      <c r="F31" s="489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90" t="str">
        <f>+VLOOKUP($A32,Master!$D$27:$G$225,4,FALSE)</f>
        <v>Tekući budžetski izdaci</v>
      </c>
      <c r="C32" s="491"/>
      <c r="D32" s="491"/>
      <c r="E32" s="491"/>
      <c r="F32" s="491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2" t="str">
        <f>+VLOOKUP($A33,Master!$D$27:$G$225,4,FALSE)</f>
        <v>Bruto zarade i doprinosi na teret poslodavca</v>
      </c>
      <c r="C33" s="483"/>
      <c r="D33" s="483"/>
      <c r="E33" s="483"/>
      <c r="F33" s="483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2" t="str">
        <f>+VLOOKUP($A34,Master!$D$27:$G$225,4,FALSE)</f>
        <v>Ostala lična primanja</v>
      </c>
      <c r="C34" s="483"/>
      <c r="D34" s="483"/>
      <c r="E34" s="483"/>
      <c r="F34" s="483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2" t="str">
        <f>+VLOOKUP($A35,Master!$D$27:$G$225,4,FALSE)</f>
        <v>Rashodi za materijal</v>
      </c>
      <c r="C35" s="483"/>
      <c r="D35" s="483"/>
      <c r="E35" s="483"/>
      <c r="F35" s="483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2" t="str">
        <f>+VLOOKUP($A36,Master!$D$27:$G$225,4,FALSE)</f>
        <v>Rashodi za usluge</v>
      </c>
      <c r="C36" s="483"/>
      <c r="D36" s="483"/>
      <c r="E36" s="483"/>
      <c r="F36" s="483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2" t="str">
        <f>+VLOOKUP($A37,Master!$D$27:$G$225,4,FALSE)</f>
        <v>Rashodi za tekuće održavanje</v>
      </c>
      <c r="C37" s="483"/>
      <c r="D37" s="483"/>
      <c r="E37" s="483"/>
      <c r="F37" s="483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2" t="str">
        <f>+VLOOKUP($A38,Master!$D$27:$G$225,4,FALSE)</f>
        <v>Kamate</v>
      </c>
      <c r="C38" s="483"/>
      <c r="D38" s="483"/>
      <c r="E38" s="483"/>
      <c r="F38" s="483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2" t="str">
        <f>+VLOOKUP($A39,Master!$D$27:$G$225,4,FALSE)</f>
        <v>Renta</v>
      </c>
      <c r="C39" s="483"/>
      <c r="D39" s="483"/>
      <c r="E39" s="483"/>
      <c r="F39" s="483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2" t="str">
        <f>+VLOOKUP($A40,Master!$D$27:$G$225,4,FALSE)</f>
        <v>Subvencije</v>
      </c>
      <c r="C40" s="483"/>
      <c r="D40" s="483"/>
      <c r="E40" s="483"/>
      <c r="F40" s="483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2" t="str">
        <f>+VLOOKUP($A41,Master!$D$27:$G$225,4,FALSE)</f>
        <v>Ostali izdaci</v>
      </c>
      <c r="C41" s="483"/>
      <c r="D41" s="483"/>
      <c r="E41" s="483"/>
      <c r="F41" s="483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2" t="str">
        <f>+VLOOKUP($A42,Master!$D$27:$G$225,4,FALSE)</f>
        <v>Kapitalni izdaci u tekućem budžetu</v>
      </c>
      <c r="C42" s="483"/>
      <c r="D42" s="483"/>
      <c r="E42" s="483"/>
      <c r="F42" s="483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78" t="str">
        <f>+VLOOKUP($A43,Master!$D$27:$G$225,4,FALSE)</f>
        <v>Transferi za socijalnu zaštitu</v>
      </c>
      <c r="C43" s="479"/>
      <c r="D43" s="479"/>
      <c r="E43" s="479"/>
      <c r="F43" s="479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2" t="str">
        <f>+VLOOKUP($A44,Master!$D$27:$G$225,4,FALSE)</f>
        <v>Prava iz oblasti socijalne zaštite</v>
      </c>
      <c r="C44" s="483"/>
      <c r="D44" s="483"/>
      <c r="E44" s="483"/>
      <c r="F44" s="483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2" t="str">
        <f>+VLOOKUP($A45,Master!$D$27:$G$225,4,FALSE)</f>
        <v>Sredstva za tehnološke viškove</v>
      </c>
      <c r="C45" s="483"/>
      <c r="D45" s="483"/>
      <c r="E45" s="483"/>
      <c r="F45" s="483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2" t="str">
        <f>+VLOOKUP($A46,Master!$D$27:$G$225,4,FALSE)</f>
        <v>Prava iz oblasti penzijskog i invalidskog osiguranja</v>
      </c>
      <c r="C46" s="483"/>
      <c r="D46" s="483"/>
      <c r="E46" s="483"/>
      <c r="F46" s="483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2" t="str">
        <f>+VLOOKUP($A47,Master!$D$27:$G$225,4,FALSE)</f>
        <v>Ostala prava iz oblasti zdravstvene zaštite</v>
      </c>
      <c r="C47" s="483"/>
      <c r="D47" s="483"/>
      <c r="E47" s="483"/>
      <c r="F47" s="483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2" t="str">
        <f>+VLOOKUP($A48,Master!$D$27:$G$225,4,FALSE)</f>
        <v>Ostala prava iz zdravstvenog osiguranja</v>
      </c>
      <c r="C48" s="483"/>
      <c r="D48" s="483"/>
      <c r="E48" s="483"/>
      <c r="F48" s="483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0" t="str">
        <f>+VLOOKUP($A49,Master!$D$27:$G$225,4,FALSE)</f>
        <v xml:space="preserve">Transferi institucijama, pojedincima, nevladinom i javnom sektoru </v>
      </c>
      <c r="C49" s="481"/>
      <c r="D49" s="481"/>
      <c r="E49" s="481"/>
      <c r="F49" s="481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0" t="str">
        <f>+VLOOKUP($A50,Master!$D$27:$G$225,4,FALSE)</f>
        <v>Kapitalni budžet</v>
      </c>
      <c r="C50" s="481"/>
      <c r="D50" s="481"/>
      <c r="E50" s="481"/>
      <c r="F50" s="481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50" t="str">
        <f>+VLOOKUP($A51,Master!$D$27:$G$225,4,FALSE)</f>
        <v>Pozajmice i krediti</v>
      </c>
      <c r="C51" s="451"/>
      <c r="D51" s="451"/>
      <c r="E51" s="451"/>
      <c r="F51" s="451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50" t="str">
        <f>+VLOOKUP($A52,Master!$D$27:$G$225,4,FALSE)</f>
        <v>Rezerve</v>
      </c>
      <c r="C52" s="451"/>
      <c r="D52" s="451"/>
      <c r="E52" s="451"/>
      <c r="F52" s="451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68" t="str">
        <f>+VLOOKUP($A53,Master!$D$27:$G$225,4,FALSE)</f>
        <v>Otplata garancija</v>
      </c>
      <c r="C53" s="469"/>
      <c r="D53" s="469"/>
      <c r="E53" s="469"/>
      <c r="F53" s="469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68" t="str">
        <f>+VLOOKUP($A54,Master!$D$27:$G$225,4,FALSE)</f>
        <v>Otplata obaveza iz prethodnih godina</v>
      </c>
      <c r="C54" s="469"/>
      <c r="D54" s="469"/>
      <c r="E54" s="469"/>
      <c r="F54" s="469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68" t="str">
        <f>+VLOOKUP($A55,Master!$D$27:$G$227,4,FALSE)</f>
        <v>Neto povećanje obaveza</v>
      </c>
      <c r="C55" s="469"/>
      <c r="D55" s="469"/>
      <c r="E55" s="469"/>
      <c r="F55" s="469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4" t="str">
        <f>+VLOOKUP($A56,Master!$D$27:$G$225,4,FALSE)</f>
        <v>Suficit / deficit</v>
      </c>
      <c r="C56" s="475"/>
      <c r="D56" s="475"/>
      <c r="E56" s="475"/>
      <c r="F56" s="475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76" t="str">
        <f>+VLOOKUP($A57,Master!$D$27:$G$225,4,FALSE)</f>
        <v>Primarni bilans</v>
      </c>
      <c r="C57" s="477"/>
      <c r="D57" s="477"/>
      <c r="E57" s="477"/>
      <c r="F57" s="477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78" t="str">
        <f>+VLOOKUP($A58,Master!$D$27:$G$225,4,FALSE)</f>
        <v>Otplata dugova</v>
      </c>
      <c r="C58" s="479"/>
      <c r="D58" s="479"/>
      <c r="E58" s="479"/>
      <c r="F58" s="479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66" t="str">
        <f>+VLOOKUP($A59,Master!$D$27:$G$225,4,FALSE)</f>
        <v>Otplata hartija od vrijednosti i kredita rezidentima</v>
      </c>
      <c r="C59" s="467"/>
      <c r="D59" s="467"/>
      <c r="E59" s="467"/>
      <c r="F59" s="467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50" t="str">
        <f>+VLOOKUP($A60,Master!$D$27:$G$225,4,FALSE)</f>
        <v>Otplata hartija od vrijednosti i kredita nerezidentima</v>
      </c>
      <c r="C60" s="451"/>
      <c r="D60" s="451"/>
      <c r="E60" s="451"/>
      <c r="F60" s="451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695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70" t="str">
        <f>+VLOOKUP($A62,Master!$D$27:$G$225,4,FALSE)</f>
        <v>Nedostajuća sredstva</v>
      </c>
      <c r="C62" s="471"/>
      <c r="D62" s="471"/>
      <c r="E62" s="471"/>
      <c r="F62" s="471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2" t="str">
        <f>+VLOOKUP($A63,Master!$D$27:$G$225,4,FALSE)</f>
        <v>Finansiranje</v>
      </c>
      <c r="C63" s="473"/>
      <c r="D63" s="473"/>
      <c r="E63" s="473"/>
      <c r="F63" s="473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66" t="str">
        <f>+VLOOKUP($A64,Master!$D$27:$G$225,4,FALSE)</f>
        <v>Pozajmice i krediti od domaćih izvora</v>
      </c>
      <c r="C64" s="467"/>
      <c r="D64" s="467"/>
      <c r="E64" s="467"/>
      <c r="F64" s="467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50" t="str">
        <f>+VLOOKUP($A65,Master!$D$27:$G$225,4,FALSE)</f>
        <v>Pozajmice i krediti od inostranih izvora</v>
      </c>
      <c r="C65" s="451"/>
      <c r="D65" s="451"/>
      <c r="E65" s="451"/>
      <c r="F65" s="451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50" t="str">
        <f>+VLOOKUP($A66,Master!$D$27:$G$225,4,FALSE)</f>
        <v>Primici od prodaje imovine</v>
      </c>
      <c r="C66" s="451"/>
      <c r="D66" s="451"/>
      <c r="E66" s="451"/>
      <c r="F66" s="451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515</v>
      </c>
      <c r="H6" s="69" t="s">
        <v>516</v>
      </c>
      <c r="I6" s="69" t="s">
        <v>517</v>
      </c>
      <c r="J6" s="69"/>
      <c r="K6" s="69" t="s">
        <v>518</v>
      </c>
      <c r="L6" s="69" t="s">
        <v>519</v>
      </c>
      <c r="M6" s="69" t="s">
        <v>520</v>
      </c>
      <c r="N6" s="69"/>
      <c r="O6" s="69" t="s">
        <v>521</v>
      </c>
      <c r="P6" s="69" t="s">
        <v>522</v>
      </c>
      <c r="Q6" s="69" t="s">
        <v>523</v>
      </c>
      <c r="R6" s="69"/>
      <c r="S6" s="69" t="s">
        <v>524</v>
      </c>
      <c r="T6" s="69" t="s">
        <v>525</v>
      </c>
      <c r="U6" s="69" t="s">
        <v>526</v>
      </c>
      <c r="V6" s="69"/>
    </row>
    <row r="7" spans="1:24" ht="15" customHeight="1" thickBot="1">
      <c r="B7" s="535" t="str">
        <f>+Master!G251</f>
        <v>Ostvarenje budžeta</v>
      </c>
      <c r="C7" s="536"/>
      <c r="D7" s="536"/>
      <c r="E7" s="536"/>
      <c r="F7" s="536"/>
      <c r="G7" s="528">
        <v>2013</v>
      </c>
      <c r="H7" s="529"/>
      <c r="I7" s="529"/>
      <c r="J7" s="529"/>
      <c r="K7" s="529"/>
      <c r="L7" s="529"/>
      <c r="M7" s="529"/>
      <c r="N7" s="529"/>
      <c r="O7" s="529"/>
      <c r="P7" s="529"/>
      <c r="Q7" s="529"/>
      <c r="R7" s="529"/>
      <c r="S7" s="529"/>
      <c r="T7" s="529"/>
      <c r="U7" s="530"/>
      <c r="V7" s="360"/>
      <c r="W7" s="115" t="str">
        <f>+Master!G248</f>
        <v>BDP</v>
      </c>
      <c r="X7" s="116">
        <v>3327000000</v>
      </c>
    </row>
    <row r="8" spans="1:24" ht="16.5" customHeight="1">
      <c r="B8" s="537"/>
      <c r="C8" s="538"/>
      <c r="D8" s="538"/>
      <c r="E8" s="538"/>
      <c r="F8" s="539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28" t="s">
        <v>703</v>
      </c>
      <c r="X8" s="530"/>
    </row>
    <row r="9" spans="1:24" ht="13.5" thickBot="1">
      <c r="B9" s="540"/>
      <c r="C9" s="541"/>
      <c r="D9" s="541"/>
      <c r="E9" s="541"/>
      <c r="F9" s="542"/>
      <c r="G9" s="68" t="s">
        <v>425</v>
      </c>
      <c r="H9" s="68" t="s">
        <v>425</v>
      </c>
      <c r="I9" s="68" t="s">
        <v>425</v>
      </c>
      <c r="J9" s="68"/>
      <c r="K9" s="68" t="s">
        <v>425</v>
      </c>
      <c r="L9" s="68" t="s">
        <v>425</v>
      </c>
      <c r="M9" s="68" t="s">
        <v>425</v>
      </c>
      <c r="N9" s="68"/>
      <c r="O9" s="68" t="s">
        <v>425</v>
      </c>
      <c r="P9" s="68" t="s">
        <v>425</v>
      </c>
      <c r="Q9" s="68" t="s">
        <v>425</v>
      </c>
      <c r="R9" s="68"/>
      <c r="S9" s="68" t="s">
        <v>425</v>
      </c>
      <c r="T9" s="68" t="s">
        <v>425</v>
      </c>
      <c r="U9" s="68" t="s">
        <v>425</v>
      </c>
      <c r="V9" s="68"/>
      <c r="W9" s="66" t="s">
        <v>425</v>
      </c>
      <c r="X9" s="67" t="str">
        <f>+Master!G249</f>
        <v>% BDP</v>
      </c>
    </row>
    <row r="10" spans="1:24" ht="13.5" thickBot="1">
      <c r="A10" s="72">
        <v>7</v>
      </c>
      <c r="B10" s="531" t="str">
        <f>+VLOOKUP($A10,Master!$D$27:$G$225,4,FALSE)</f>
        <v>Prihodi budžeta</v>
      </c>
      <c r="C10" s="532"/>
      <c r="D10" s="532"/>
      <c r="E10" s="532"/>
      <c r="F10" s="532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33" t="str">
        <f>+VLOOKUP($A11,Master!$D$27:$G$225,4,FALSE)</f>
        <v>Porezi</v>
      </c>
      <c r="C11" s="534"/>
      <c r="D11" s="534"/>
      <c r="E11" s="534"/>
      <c r="F11" s="534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14" t="str">
        <f>+VLOOKUP($A12,Master!$D$27:$G$225,4,FALSE)</f>
        <v>Porez na dohodak fizičkih lica</v>
      </c>
      <c r="C12" s="515"/>
      <c r="D12" s="515"/>
      <c r="E12" s="515"/>
      <c r="F12" s="515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14" t="str">
        <f>+VLOOKUP($A13,Master!$D$27:$G$225,4,FALSE)</f>
        <v>Porez na dobit pravnih lica</v>
      </c>
      <c r="C13" s="515"/>
      <c r="D13" s="515"/>
      <c r="E13" s="515"/>
      <c r="F13" s="515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14" t="str">
        <f>+VLOOKUP($A14,Master!$D$27:$G$225,4,FALSE)</f>
        <v>Porez na promet nepokretnosti</v>
      </c>
      <c r="C14" s="515"/>
      <c r="D14" s="515"/>
      <c r="E14" s="515"/>
      <c r="F14" s="515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14" t="str">
        <f>+VLOOKUP($A15,Master!$D$27:$G$225,4,FALSE)</f>
        <v>Porez na dodatu vrijednost</v>
      </c>
      <c r="C15" s="515"/>
      <c r="D15" s="515"/>
      <c r="E15" s="515"/>
      <c r="F15" s="515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14" t="str">
        <f>+VLOOKUP($A16,Master!$D$27:$G$225,4,FALSE)</f>
        <v>Akcize</v>
      </c>
      <c r="C16" s="515"/>
      <c r="D16" s="515"/>
      <c r="E16" s="515"/>
      <c r="F16" s="515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14" t="str">
        <f>+VLOOKUP($A17,Master!$D$27:$G$225,4,FALSE)</f>
        <v>Porez na međunarodnu trgovinu i transakcije</v>
      </c>
      <c r="C17" s="515"/>
      <c r="D17" s="515"/>
      <c r="E17" s="515"/>
      <c r="F17" s="515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14" t="e">
        <f>+VLOOKUP($A18,Master!$D$27:$G$225,4,FALSE)</f>
        <v>#N/A</v>
      </c>
      <c r="C18" s="515"/>
      <c r="D18" s="515"/>
      <c r="E18" s="515"/>
      <c r="F18" s="515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14" t="str">
        <f>+VLOOKUP($A19,Master!$D$27:$G$225,4,FALSE)</f>
        <v>Ostali državni porezi</v>
      </c>
      <c r="C19" s="515"/>
      <c r="D19" s="515"/>
      <c r="E19" s="515"/>
      <c r="F19" s="515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26" t="str">
        <f>+VLOOKUP($A20,Master!$D$27:$G$225,4,FALSE)</f>
        <v>Doprinosi</v>
      </c>
      <c r="C20" s="527"/>
      <c r="D20" s="527"/>
      <c r="E20" s="527"/>
      <c r="F20" s="527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14" t="str">
        <f>+VLOOKUP($A21,Master!$D$27:$G$225,4,FALSE)</f>
        <v>Doprinosi za penzijsko i invalidsko osiguranje</v>
      </c>
      <c r="C21" s="515"/>
      <c r="D21" s="515"/>
      <c r="E21" s="515"/>
      <c r="F21" s="515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14" t="str">
        <f>+VLOOKUP($A22,Master!$D$27:$G$225,4,FALSE)</f>
        <v>Doprinosi za zdravstveno osiguranje</v>
      </c>
      <c r="C22" s="515"/>
      <c r="D22" s="515"/>
      <c r="E22" s="515"/>
      <c r="F22" s="515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14" t="str">
        <f>+VLOOKUP($A23,Master!$D$27:$G$225,4,FALSE)</f>
        <v>Doprinosi za osiguranje od nezaposlenosti</v>
      </c>
      <c r="C23" s="515"/>
      <c r="D23" s="515"/>
      <c r="E23" s="515"/>
      <c r="F23" s="515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14" t="str">
        <f>+VLOOKUP($A24,Master!$D$27:$G$225,4,FALSE)</f>
        <v>Ostali doprinosi</v>
      </c>
      <c r="C24" s="515"/>
      <c r="D24" s="515"/>
      <c r="E24" s="515"/>
      <c r="F24" s="515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18" t="str">
        <f>+VLOOKUP($A25,Master!$D$27:$G$225,4,FALSE)</f>
        <v>Takse</v>
      </c>
      <c r="C25" s="519"/>
      <c r="D25" s="519"/>
      <c r="E25" s="519"/>
      <c r="F25" s="519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18" t="str">
        <f>+VLOOKUP($A26,Master!$D$27:$G$225,4,FALSE)</f>
        <v>Naknade</v>
      </c>
      <c r="C26" s="519"/>
      <c r="D26" s="519"/>
      <c r="E26" s="519"/>
      <c r="F26" s="519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18" t="str">
        <f>+VLOOKUP($A27,Master!$D$27:$G$225,4,FALSE)</f>
        <v>Ostali prihodi</v>
      </c>
      <c r="C27" s="519"/>
      <c r="D27" s="519"/>
      <c r="E27" s="519"/>
      <c r="F27" s="519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18" t="str">
        <f>+VLOOKUP($A28,Master!$D$27:$G$225,4,FALSE)</f>
        <v>Primici od otplate kredita i sredstva prenesena iz prethodne godine</v>
      </c>
      <c r="C28" s="519"/>
      <c r="D28" s="519"/>
      <c r="E28" s="519"/>
      <c r="F28" s="519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20" t="str">
        <f>+VLOOKUP($A29,Master!$D$27:$G$225,4,FALSE)</f>
        <v>Donacije i transferi</v>
      </c>
      <c r="C29" s="521"/>
      <c r="D29" s="521"/>
      <c r="E29" s="521"/>
      <c r="F29" s="521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06" t="str">
        <f>+VLOOKUP($A30,Master!$D$27:$G$225,4,FALSE)</f>
        <v>Budžetski izdaci</v>
      </c>
      <c r="C30" s="507"/>
      <c r="D30" s="507"/>
      <c r="E30" s="507"/>
      <c r="F30" s="507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22" t="str">
        <f>+VLOOKUP($A31,Master!$D$27:$G$225,4,FALSE)</f>
        <v>Tekući izdaci</v>
      </c>
      <c r="C31" s="523"/>
      <c r="D31" s="523"/>
      <c r="E31" s="523"/>
      <c r="F31" s="523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24" t="str">
        <f>+VLOOKUP($A32,Master!$D$27:$G$225,4,FALSE)</f>
        <v>Tekući budžetski izdaci</v>
      </c>
      <c r="C32" s="525"/>
      <c r="D32" s="525"/>
      <c r="E32" s="525"/>
      <c r="F32" s="525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14" t="str">
        <f>+VLOOKUP($A33,Master!$D$27:$G$225,4,FALSE)</f>
        <v>Bruto zarade i doprinosi na teret poslodavca</v>
      </c>
      <c r="C33" s="515"/>
      <c r="D33" s="515"/>
      <c r="E33" s="515"/>
      <c r="F33" s="515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14" t="str">
        <f>+VLOOKUP($A34,Master!$D$27:$G$225,4,FALSE)</f>
        <v>Ostala lična primanja</v>
      </c>
      <c r="C34" s="515"/>
      <c r="D34" s="515"/>
      <c r="E34" s="515"/>
      <c r="F34" s="515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14" t="str">
        <f>+VLOOKUP($A35,Master!$D$27:$G$225,4,FALSE)</f>
        <v>Rashodi za materijal</v>
      </c>
      <c r="C35" s="515"/>
      <c r="D35" s="515"/>
      <c r="E35" s="515"/>
      <c r="F35" s="515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14" t="str">
        <f>+VLOOKUP($A36,Master!$D$27:$G$225,4,FALSE)</f>
        <v>Rashodi za usluge</v>
      </c>
      <c r="C36" s="515"/>
      <c r="D36" s="515"/>
      <c r="E36" s="515"/>
      <c r="F36" s="515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14" t="str">
        <f>+VLOOKUP($A37,Master!$D$27:$G$225,4,FALSE)</f>
        <v>Rashodi za tekuće održavanje</v>
      </c>
      <c r="C37" s="515"/>
      <c r="D37" s="515"/>
      <c r="E37" s="515"/>
      <c r="F37" s="515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14" t="str">
        <f>+VLOOKUP($A38,Master!$D$27:$G$225,4,FALSE)</f>
        <v>Kamate</v>
      </c>
      <c r="C38" s="515"/>
      <c r="D38" s="515"/>
      <c r="E38" s="515"/>
      <c r="F38" s="515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14" t="str">
        <f>+VLOOKUP($A39,Master!$D$27:$G$225,4,FALSE)</f>
        <v>Renta</v>
      </c>
      <c r="C39" s="515"/>
      <c r="D39" s="515"/>
      <c r="E39" s="515"/>
      <c r="F39" s="515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14" t="str">
        <f>+VLOOKUP($A40,Master!$D$27:$G$225,4,FALSE)</f>
        <v>Subvencije</v>
      </c>
      <c r="C40" s="515"/>
      <c r="D40" s="515"/>
      <c r="E40" s="515"/>
      <c r="F40" s="515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14" t="str">
        <f>+VLOOKUP($A41,Master!$D$27:$G$225,4,FALSE)</f>
        <v>Ostali izdaci</v>
      </c>
      <c r="C41" s="515"/>
      <c r="D41" s="515"/>
      <c r="E41" s="515"/>
      <c r="F41" s="515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14" t="str">
        <f>+VLOOKUP($A42,Master!$D$27:$G$225,4,FALSE)</f>
        <v>Kapitalni izdaci u tekućem budžetu</v>
      </c>
      <c r="C42" s="515"/>
      <c r="D42" s="515"/>
      <c r="E42" s="515"/>
      <c r="F42" s="515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2" t="str">
        <f>+VLOOKUP($A43,Master!$D$27:$G$225,4,FALSE)</f>
        <v>Transferi za socijalnu zaštitu</v>
      </c>
      <c r="C43" s="513"/>
      <c r="D43" s="513"/>
      <c r="E43" s="513"/>
      <c r="F43" s="513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14" t="str">
        <f>+VLOOKUP($A44,Master!$D$27:$G$225,4,FALSE)</f>
        <v>Prava iz oblasti socijalne zaštite</v>
      </c>
      <c r="C44" s="515"/>
      <c r="D44" s="515"/>
      <c r="E44" s="515"/>
      <c r="F44" s="515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14" t="str">
        <f>+VLOOKUP($A45,Master!$D$27:$G$225,4,FALSE)</f>
        <v>Sredstva za tehnološke viškove</v>
      </c>
      <c r="C45" s="515"/>
      <c r="D45" s="515"/>
      <c r="E45" s="515"/>
      <c r="F45" s="515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14" t="str">
        <f>+VLOOKUP($A46,Master!$D$27:$G$225,4,FALSE)</f>
        <v>Prava iz oblasti penzijskog i invalidskog osiguranja</v>
      </c>
      <c r="C46" s="515"/>
      <c r="D46" s="515"/>
      <c r="E46" s="515"/>
      <c r="F46" s="515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14" t="str">
        <f>+VLOOKUP($A47,Master!$D$27:$G$225,4,FALSE)</f>
        <v>Ostala prava iz oblasti zdravstvene zaštite</v>
      </c>
      <c r="C47" s="515"/>
      <c r="D47" s="515"/>
      <c r="E47" s="515"/>
      <c r="F47" s="515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14" t="str">
        <f>+VLOOKUP($A48,Master!$D$27:$G$225,4,FALSE)</f>
        <v>Ostala prava iz zdravstvenog osiguranja</v>
      </c>
      <c r="C48" s="515"/>
      <c r="D48" s="515"/>
      <c r="E48" s="515"/>
      <c r="F48" s="515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16" t="str">
        <f>+VLOOKUP($A49,Master!$D$27:$G$225,4,FALSE)</f>
        <v xml:space="preserve">Transferi institucijama, pojedincima, nevladinom i javnom sektoru </v>
      </c>
      <c r="C49" s="517"/>
      <c r="D49" s="517"/>
      <c r="E49" s="517"/>
      <c r="F49" s="517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16" t="str">
        <f>+VLOOKUP($A50,Master!$D$27:$G$225,4,FALSE)</f>
        <v>Kapitalni budžet</v>
      </c>
      <c r="C50" s="517"/>
      <c r="D50" s="517"/>
      <c r="E50" s="517"/>
      <c r="F50" s="517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00" t="str">
        <f>+VLOOKUP($A51,Master!$D$27:$G$225,4,FALSE)</f>
        <v>Pozajmice i krediti</v>
      </c>
      <c r="C51" s="501"/>
      <c r="D51" s="501"/>
      <c r="E51" s="501"/>
      <c r="F51" s="501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00" t="str">
        <f>+VLOOKUP($A52,Master!$D$27:$G$225,4,FALSE)</f>
        <v>Rezerve</v>
      </c>
      <c r="C52" s="501"/>
      <c r="D52" s="501"/>
      <c r="E52" s="501"/>
      <c r="F52" s="501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4" t="str">
        <f>+VLOOKUP($A53,Master!$D$27:$G$225,4,FALSE)</f>
        <v>Otplata garancija</v>
      </c>
      <c r="C53" s="555"/>
      <c r="D53" s="555"/>
      <c r="E53" s="555"/>
      <c r="F53" s="555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4" t="str">
        <f>+VLOOKUP($A54,Master!$D$27:$G$225,4,FALSE)</f>
        <v>Otplata obaveza iz prethodnih godina</v>
      </c>
      <c r="C54" s="555"/>
      <c r="D54" s="555"/>
      <c r="E54" s="555"/>
      <c r="F54" s="555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4" t="str">
        <f>+VLOOKUP($A55,Master!$D$27:$G$227,4,FALSE)</f>
        <v>Neto povećanje obaveza</v>
      </c>
      <c r="C55" s="555"/>
      <c r="D55" s="555"/>
      <c r="E55" s="555"/>
      <c r="F55" s="555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08" t="str">
        <f>+VLOOKUP($A56,Master!$D$27:$G$225,4,FALSE)</f>
        <v>Suficit / deficit</v>
      </c>
      <c r="C56" s="509"/>
      <c r="D56" s="509"/>
      <c r="E56" s="509"/>
      <c r="F56" s="509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10" t="str">
        <f>+VLOOKUP($A57,Master!$D$27:$G$225,4,FALSE)</f>
        <v>Primarni bilans</v>
      </c>
      <c r="C57" s="511"/>
      <c r="D57" s="511"/>
      <c r="E57" s="511"/>
      <c r="F57" s="511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2" t="str">
        <f>+VLOOKUP($A58,Master!$D$27:$G$225,4,FALSE)</f>
        <v>Otplata dugova</v>
      </c>
      <c r="C58" s="513"/>
      <c r="D58" s="513"/>
      <c r="E58" s="513"/>
      <c r="F58" s="513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02" t="str">
        <f>+VLOOKUP($A59,Master!$D$27:$G$225,4,FALSE)</f>
        <v>Otplata hartija od vrijednosti i kredita rezidentima</v>
      </c>
      <c r="C59" s="503"/>
      <c r="D59" s="503"/>
      <c r="E59" s="503"/>
      <c r="F59" s="503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00" t="str">
        <f>+VLOOKUP($A60,Master!$D$27:$G$225,4,FALSE)</f>
        <v>Otplata hartija od vrijednosti i kredita nerezidentima</v>
      </c>
      <c r="C60" s="501"/>
      <c r="D60" s="501"/>
      <c r="E60" s="501"/>
      <c r="F60" s="501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04" t="str">
        <f>+VLOOKUP($A61,Master!$D$27:$G$225,4,FALSE)</f>
        <v>Nedostajuća sredstva</v>
      </c>
      <c r="C61" s="505"/>
      <c r="D61" s="505"/>
      <c r="E61" s="505"/>
      <c r="F61" s="505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06" t="str">
        <f>+VLOOKUP($A62,Master!$D$27:$G$225,4,FALSE)</f>
        <v>Finansiranje</v>
      </c>
      <c r="C62" s="507"/>
      <c r="D62" s="507"/>
      <c r="E62" s="507"/>
      <c r="F62" s="507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02" t="str">
        <f>+VLOOKUP($A63,Master!$D$27:$G$225,4,FALSE)</f>
        <v>Pozajmice i krediti od domaćih izvora</v>
      </c>
      <c r="C63" s="503"/>
      <c r="D63" s="503"/>
      <c r="E63" s="503"/>
      <c r="F63" s="503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00" t="str">
        <f>+VLOOKUP($A64,Master!$D$27:$G$225,4,FALSE)</f>
        <v>Pozajmice i krediti od inostranih izvora</v>
      </c>
      <c r="C64" s="501"/>
      <c r="D64" s="501"/>
      <c r="E64" s="501"/>
      <c r="F64" s="501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00" t="str">
        <f>+VLOOKUP($A65,Master!$D$27:$G$225,4,FALSE)</f>
        <v>Primici od prodaje imovine</v>
      </c>
      <c r="C65" s="501"/>
      <c r="D65" s="501"/>
      <c r="E65" s="501"/>
      <c r="F65" s="501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53" t="str">
        <f>+Master!G252</f>
        <v>Plan ostvarenja budžeta</v>
      </c>
      <c r="C102" s="453"/>
      <c r="D102" s="453"/>
      <c r="E102" s="453"/>
      <c r="F102" s="453"/>
      <c r="G102" s="461">
        <v>2013</v>
      </c>
      <c r="H102" s="462"/>
      <c r="I102" s="462"/>
      <c r="J102" s="462"/>
      <c r="K102" s="462"/>
      <c r="L102" s="462"/>
      <c r="M102" s="462"/>
      <c r="N102" s="462"/>
      <c r="O102" s="462"/>
      <c r="P102" s="462"/>
      <c r="Q102" s="462"/>
      <c r="R102" s="462"/>
      <c r="S102" s="462"/>
      <c r="T102" s="462"/>
      <c r="U102" s="465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54"/>
      <c r="C103" s="455"/>
      <c r="D103" s="455"/>
      <c r="E103" s="455"/>
      <c r="F103" s="456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61" t="str">
        <f>+Master!G246</f>
        <v>Jan - Dec</v>
      </c>
      <c r="X103" s="465">
        <f>+X8</f>
        <v>0</v>
      </c>
    </row>
    <row r="104" spans="1:24" ht="13.5" thickBot="1">
      <c r="A104" s="169"/>
      <c r="B104" s="457"/>
      <c r="C104" s="458"/>
      <c r="D104" s="458"/>
      <c r="E104" s="458"/>
      <c r="F104" s="459"/>
      <c r="G104" s="162" t="s">
        <v>425</v>
      </c>
      <c r="H104" s="162" t="s">
        <v>425</v>
      </c>
      <c r="I104" s="162" t="s">
        <v>425</v>
      </c>
      <c r="J104" s="162"/>
      <c r="K104" s="162" t="s">
        <v>425</v>
      </c>
      <c r="L104" s="162" t="s">
        <v>425</v>
      </c>
      <c r="M104" s="162" t="s">
        <v>425</v>
      </c>
      <c r="N104" s="162"/>
      <c r="O104" s="162" t="s">
        <v>425</v>
      </c>
      <c r="P104" s="162" t="s">
        <v>425</v>
      </c>
      <c r="Q104" s="162" t="s">
        <v>425</v>
      </c>
      <c r="R104" s="162"/>
      <c r="S104" s="162" t="s">
        <v>425</v>
      </c>
      <c r="T104" s="162" t="s">
        <v>425</v>
      </c>
      <c r="U104" s="162" t="s">
        <v>425</v>
      </c>
      <c r="V104" s="162"/>
      <c r="W104" s="262" t="s">
        <v>425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494" t="str">
        <f>+VLOOKUP(LEFT($A105,LEN(A105)-1)*1,Master!$D$27:$G$225,4,FALSE)</f>
        <v>Prihodi budžeta</v>
      </c>
      <c r="C105" s="495"/>
      <c r="D105" s="495"/>
      <c r="E105" s="495"/>
      <c r="F105" s="495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96" t="str">
        <f>+VLOOKUP(LEFT($A106,LEN(A106)-1)*1,Master!$D$27:$G$225,4,FALSE)</f>
        <v>Porezi</v>
      </c>
      <c r="C106" s="497"/>
      <c r="D106" s="497"/>
      <c r="E106" s="497"/>
      <c r="F106" s="497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2" t="str">
        <f>+VLOOKUP(LEFT($A107,LEN(A107)-1)*1,Master!$D$27:$G$225,4,FALSE)</f>
        <v>Porez na dohodak fizičkih lica</v>
      </c>
      <c r="C107" s="483"/>
      <c r="D107" s="483"/>
      <c r="E107" s="483"/>
      <c r="F107" s="483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2" t="str">
        <f>+VLOOKUP(LEFT($A108,LEN(A108)-1)*1,Master!$D$27:$G$225,4,FALSE)</f>
        <v>Porez na dobit pravnih lica</v>
      </c>
      <c r="C108" s="483"/>
      <c r="D108" s="483"/>
      <c r="E108" s="483"/>
      <c r="F108" s="483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2" t="str">
        <f>+VLOOKUP(LEFT($A109,LEN(A109)-1)*1,Master!$D$27:$G$225,4,FALSE)</f>
        <v>Porez na promet nepokretnosti</v>
      </c>
      <c r="C109" s="483"/>
      <c r="D109" s="483"/>
      <c r="E109" s="483"/>
      <c r="F109" s="483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2" t="str">
        <f>+VLOOKUP(LEFT($A110,LEN(A110)-1)*1,Master!$D$27:$G$225,4,FALSE)</f>
        <v>Porez na dodatu vrijednost</v>
      </c>
      <c r="C110" s="483"/>
      <c r="D110" s="483"/>
      <c r="E110" s="483"/>
      <c r="F110" s="483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2" t="str">
        <f>+VLOOKUP(LEFT($A111,LEN(A111)-1)*1,Master!$D$27:$G$225,4,FALSE)</f>
        <v>Akcize</v>
      </c>
      <c r="C111" s="483"/>
      <c r="D111" s="483"/>
      <c r="E111" s="483"/>
      <c r="F111" s="483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2" t="str">
        <f>+VLOOKUP(LEFT($A112,LEN(A112)-1)*1,Master!$D$27:$G$225,4,FALSE)</f>
        <v>Porez na međunarodnu trgovinu i transakcije</v>
      </c>
      <c r="C112" s="483"/>
      <c r="D112" s="483"/>
      <c r="E112" s="483"/>
      <c r="F112" s="483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2" t="e">
        <f>+VLOOKUP(LEFT($A113,LEN(A113)-1)*1,Master!$D$27:$G$225,4,FALSE)</f>
        <v>#N/A</v>
      </c>
      <c r="C113" s="483"/>
      <c r="D113" s="483"/>
      <c r="E113" s="483"/>
      <c r="F113" s="483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2" t="str">
        <f>+VLOOKUP(LEFT($A114,LEN(A114)-1)*1,Master!$D$27:$G$225,4,FALSE)</f>
        <v>Ostali državni porezi</v>
      </c>
      <c r="C114" s="483"/>
      <c r="D114" s="483"/>
      <c r="E114" s="483"/>
      <c r="F114" s="483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2" t="str">
        <f>+VLOOKUP(LEFT($A115,LEN(A115)-1)*1,Master!$D$27:$G$225,4,FALSE)</f>
        <v>Doprinosi</v>
      </c>
      <c r="C115" s="493"/>
      <c r="D115" s="493"/>
      <c r="E115" s="493"/>
      <c r="F115" s="493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2" t="str">
        <f>+VLOOKUP(LEFT($A116,LEN(A116)-1)*1,Master!$D$27:$G$225,4,FALSE)</f>
        <v>Doprinosi za penzijsko i invalidsko osiguranje</v>
      </c>
      <c r="C116" s="483"/>
      <c r="D116" s="483"/>
      <c r="E116" s="483"/>
      <c r="F116" s="483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2" t="str">
        <f>+VLOOKUP(LEFT($A117,LEN(A117)-1)*1,Master!$D$27:$G$225,4,FALSE)</f>
        <v>Doprinosi za zdravstveno osiguranje</v>
      </c>
      <c r="C117" s="483"/>
      <c r="D117" s="483"/>
      <c r="E117" s="483"/>
      <c r="F117" s="483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2" t="str">
        <f>+VLOOKUP(LEFT($A118,LEN(A118)-1)*1,Master!$D$27:$G$225,4,FALSE)</f>
        <v>Doprinosi za osiguranje od nezaposlenosti</v>
      </c>
      <c r="C118" s="483"/>
      <c r="D118" s="483"/>
      <c r="E118" s="483"/>
      <c r="F118" s="483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2" t="str">
        <f>+VLOOKUP(LEFT($A119,LEN(A119)-1)*1,Master!$D$27:$G$225,4,FALSE)</f>
        <v>Ostali doprinosi</v>
      </c>
      <c r="C119" s="483"/>
      <c r="D119" s="483"/>
      <c r="E119" s="483"/>
      <c r="F119" s="483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84" t="str">
        <f>+VLOOKUP(LEFT($A120,LEN(A120)-1)*1,Master!$D$27:$G$225,4,FALSE)</f>
        <v>Takse</v>
      </c>
      <c r="C120" s="485"/>
      <c r="D120" s="485"/>
      <c r="E120" s="485"/>
      <c r="F120" s="485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84" t="str">
        <f>+VLOOKUP(LEFT($A121,LEN(A121)-1)*1,Master!$D$27:$G$225,4,FALSE)</f>
        <v>Naknade</v>
      </c>
      <c r="C121" s="485"/>
      <c r="D121" s="485"/>
      <c r="E121" s="485"/>
      <c r="F121" s="485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84" t="str">
        <f>+VLOOKUP(LEFT($A122,LEN(A122)-1)*1,Master!$D$27:$G$225,4,FALSE)</f>
        <v>Ostali prihodi</v>
      </c>
      <c r="C122" s="485"/>
      <c r="D122" s="485"/>
      <c r="E122" s="485"/>
      <c r="F122" s="485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84" t="str">
        <f>+VLOOKUP(LEFT($A123,LEN(A123)-1)*1,Master!$D$27:$G$225,4,FALSE)</f>
        <v>Primici od otplate kredita i sredstva prenesena iz prethodne godine</v>
      </c>
      <c r="C123" s="485"/>
      <c r="D123" s="485"/>
      <c r="E123" s="485"/>
      <c r="F123" s="485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86" t="str">
        <f>+VLOOKUP(LEFT($A124,LEN(A124)-1)*1,Master!$D$27:$G$225,4,FALSE)</f>
        <v>Donacije i transferi</v>
      </c>
      <c r="C124" s="487"/>
      <c r="D124" s="487"/>
      <c r="E124" s="487"/>
      <c r="F124" s="487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2" t="str">
        <f>+VLOOKUP(LEFT($A125,LEN(A125)-1)*1,Master!$D$27:$G$225,4,FALSE)</f>
        <v>Budžetski izdaci</v>
      </c>
      <c r="C125" s="473"/>
      <c r="D125" s="473"/>
      <c r="E125" s="473"/>
      <c r="F125" s="473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88" t="str">
        <f>+VLOOKUP(LEFT($A126,LEN(A126)-1)*1,Master!$D$27:$G$225,4,FALSE)</f>
        <v>Tekući izdaci</v>
      </c>
      <c r="C126" s="489"/>
      <c r="D126" s="489"/>
      <c r="E126" s="489"/>
      <c r="F126" s="489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90" t="str">
        <f>+VLOOKUP(LEFT($A127,LEN(A127)-1)*1,Master!$D$27:$G$225,4,FALSE)</f>
        <v>Tekući budžetski izdaci</v>
      </c>
      <c r="C127" s="491"/>
      <c r="D127" s="491"/>
      <c r="E127" s="491"/>
      <c r="F127" s="491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2" t="str">
        <f>+VLOOKUP(LEFT($A128,LEN(A128)-1)*1,Master!$D$27:$G$225,4,FALSE)</f>
        <v>Bruto zarade i doprinosi na teret poslodavca</v>
      </c>
      <c r="C128" s="483"/>
      <c r="D128" s="483"/>
      <c r="E128" s="483"/>
      <c r="F128" s="483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2" t="str">
        <f>+VLOOKUP(LEFT($A129,LEN(A129)-1)*1,Master!$D$27:$G$225,4,FALSE)</f>
        <v>Ostala lična primanja</v>
      </c>
      <c r="C129" s="483"/>
      <c r="D129" s="483"/>
      <c r="E129" s="483"/>
      <c r="F129" s="483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2" t="str">
        <f>+VLOOKUP(LEFT($A130,LEN(A130)-1)*1,Master!$D$27:$G$225,4,FALSE)</f>
        <v>Rashodi za materijal</v>
      </c>
      <c r="C130" s="483"/>
      <c r="D130" s="483"/>
      <c r="E130" s="483"/>
      <c r="F130" s="483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2" t="str">
        <f>+VLOOKUP(LEFT($A131,LEN(A131)-1)*1,Master!$D$27:$G$225,4,FALSE)</f>
        <v>Rashodi za usluge</v>
      </c>
      <c r="C131" s="483"/>
      <c r="D131" s="483"/>
      <c r="E131" s="483"/>
      <c r="F131" s="483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2" t="str">
        <f>+VLOOKUP(LEFT($A132,LEN(A132)-1)*1,Master!$D$27:$G$225,4,FALSE)</f>
        <v>Rashodi za tekuće održavanje</v>
      </c>
      <c r="C132" s="483"/>
      <c r="D132" s="483"/>
      <c r="E132" s="483"/>
      <c r="F132" s="483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2" t="str">
        <f>+VLOOKUP(LEFT($A133,LEN(A133)-1)*1,Master!$D$27:$G$225,4,FALSE)</f>
        <v>Kamate</v>
      </c>
      <c r="C133" s="483"/>
      <c r="D133" s="483"/>
      <c r="E133" s="483"/>
      <c r="F133" s="483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2" t="str">
        <f>+VLOOKUP(LEFT($A134,LEN(A134)-1)*1,Master!$D$27:$G$225,4,FALSE)</f>
        <v>Renta</v>
      </c>
      <c r="C134" s="483"/>
      <c r="D134" s="483"/>
      <c r="E134" s="483"/>
      <c r="F134" s="483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2" t="str">
        <f>+VLOOKUP(LEFT($A135,LEN(A135)-1)*1,Master!$D$27:$G$225,4,FALSE)</f>
        <v>Subvencije</v>
      </c>
      <c r="C135" s="483"/>
      <c r="D135" s="483"/>
      <c r="E135" s="483"/>
      <c r="F135" s="483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2" t="str">
        <f>+VLOOKUP(LEFT($A136,LEN(A136)-1)*1,Master!$D$27:$G$225,4,FALSE)</f>
        <v>Ostali izdaci</v>
      </c>
      <c r="C136" s="483"/>
      <c r="D136" s="483"/>
      <c r="E136" s="483"/>
      <c r="F136" s="483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2" t="str">
        <f>+VLOOKUP(LEFT($A137,LEN(A137)-1)*1,Master!$D$27:$G$225,4,FALSE)</f>
        <v>Kapitalni izdaci u tekućem budžetu</v>
      </c>
      <c r="C137" s="483"/>
      <c r="D137" s="483"/>
      <c r="E137" s="483"/>
      <c r="F137" s="483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78" t="str">
        <f>+VLOOKUP(LEFT($A138,LEN(A138)-1)*1,Master!$D$27:$G$225,4,FALSE)</f>
        <v>Transferi za socijalnu zaštitu</v>
      </c>
      <c r="C138" s="479"/>
      <c r="D138" s="479"/>
      <c r="E138" s="479"/>
      <c r="F138" s="479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2" t="str">
        <f>+VLOOKUP(LEFT($A139,LEN(A139)-1)*1,Master!$D$27:$G$225,4,FALSE)</f>
        <v>Prava iz oblasti socijalne zaštite</v>
      </c>
      <c r="C139" s="483"/>
      <c r="D139" s="483"/>
      <c r="E139" s="483"/>
      <c r="F139" s="483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2" t="str">
        <f>+VLOOKUP(LEFT($A140,LEN(A140)-1)*1,Master!$D$27:$G$225,4,FALSE)</f>
        <v>Sredstva za tehnološke viškove</v>
      </c>
      <c r="C140" s="483"/>
      <c r="D140" s="483"/>
      <c r="E140" s="483"/>
      <c r="F140" s="483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2" t="str">
        <f>+VLOOKUP(LEFT($A141,LEN(A141)-1)*1,Master!$D$27:$G$225,4,FALSE)</f>
        <v>Prava iz oblasti penzijskog i invalidskog osiguranja</v>
      </c>
      <c r="C141" s="483"/>
      <c r="D141" s="483"/>
      <c r="E141" s="483"/>
      <c r="F141" s="483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2" t="str">
        <f>+VLOOKUP(LEFT($A142,LEN(A142)-1)*1,Master!$D$27:$G$225,4,FALSE)</f>
        <v>Ostala prava iz oblasti zdravstvene zaštite</v>
      </c>
      <c r="C142" s="483"/>
      <c r="D142" s="483"/>
      <c r="E142" s="483"/>
      <c r="F142" s="483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2" t="str">
        <f>+VLOOKUP(LEFT($A143,LEN(A143)-1)*1,Master!$D$27:$G$225,4,FALSE)</f>
        <v>Ostala prava iz zdravstvenog osiguranja</v>
      </c>
      <c r="C143" s="483"/>
      <c r="D143" s="483"/>
      <c r="E143" s="483"/>
      <c r="F143" s="483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0" t="str">
        <f>+VLOOKUP(LEFT($A144,LEN(A144)-1)*1,Master!$D$27:$G$225,4,FALSE)</f>
        <v xml:space="preserve">Transferi institucijama, pojedincima, nevladinom i javnom sektoru </v>
      </c>
      <c r="C144" s="481"/>
      <c r="D144" s="481"/>
      <c r="E144" s="481"/>
      <c r="F144" s="481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0" t="str">
        <f>+VLOOKUP(LEFT($A145,LEN(A145)-1)*1,Master!$D$27:$G$225,4,FALSE)</f>
        <v>Kapitalni budžet</v>
      </c>
      <c r="C145" s="481"/>
      <c r="D145" s="481"/>
      <c r="E145" s="481"/>
      <c r="F145" s="481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50" t="str">
        <f>+VLOOKUP(LEFT($A146,LEN(A146)-1)*1,Master!$D$27:$G$225,4,FALSE)</f>
        <v>Pozajmice i krediti</v>
      </c>
      <c r="C146" s="451"/>
      <c r="D146" s="451"/>
      <c r="E146" s="451"/>
      <c r="F146" s="451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50" t="str">
        <f>+VLOOKUP(LEFT($A147,LEN(A147)-1)*1,Master!$D$27:$G$225,4,FALSE)</f>
        <v>Rezerve</v>
      </c>
      <c r="C147" s="451"/>
      <c r="D147" s="451"/>
      <c r="E147" s="451"/>
      <c r="F147" s="451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68" t="str">
        <f>+VLOOKUP(LEFT($A148,LEN(A148)-1)*1,Master!$D$27:$G$225,4,FALSE)</f>
        <v>Otplata garancija</v>
      </c>
      <c r="C148" s="469"/>
      <c r="D148" s="469"/>
      <c r="E148" s="469"/>
      <c r="F148" s="469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4" t="str">
        <f>+VLOOKUP(LEFT($A149,LEN(A149)-1)*1,Master!$D$27:$G$225,4,FALSE)</f>
        <v>Suficit / deficit</v>
      </c>
      <c r="C149" s="475"/>
      <c r="D149" s="475"/>
      <c r="E149" s="475"/>
      <c r="F149" s="475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76" t="str">
        <f>+VLOOKUP(LEFT($A150,LEN(A150)-1)*1,Master!$D$27:$G$225,4,FALSE)</f>
        <v>Primarni bilans</v>
      </c>
      <c r="C150" s="477"/>
      <c r="D150" s="477"/>
      <c r="E150" s="477"/>
      <c r="F150" s="477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78" t="str">
        <f>+VLOOKUP(LEFT($A151,LEN(A151)-1)*1,Master!$D$27:$G$225,4,FALSE)</f>
        <v>Otplata dugova</v>
      </c>
      <c r="C151" s="479"/>
      <c r="D151" s="479"/>
      <c r="E151" s="479"/>
      <c r="F151" s="479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66" t="str">
        <f>+VLOOKUP(LEFT($A152,LEN(A152)-1)*1,Master!$D$27:$G$225,4,FALSE)</f>
        <v>Otplata hartija od vrijednosti i kredita rezidentima</v>
      </c>
      <c r="C152" s="467"/>
      <c r="D152" s="467"/>
      <c r="E152" s="467"/>
      <c r="F152" s="467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50" t="str">
        <f>+VLOOKUP(LEFT($A153,LEN(A153)-1)*1,Master!$D$27:$G$225,4,FALSE)</f>
        <v>Otplata hartija od vrijednosti i kredita nerezidentima</v>
      </c>
      <c r="C153" s="451"/>
      <c r="D153" s="451"/>
      <c r="E153" s="451"/>
      <c r="F153" s="451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68" t="str">
        <f>+VLOOKUP(LEFT($A154,LEN(A154)-1)*1,Master!$D$27:$G$225,4,FALSE)</f>
        <v>Otplata obaveza iz prethodnih godina</v>
      </c>
      <c r="C154" s="469"/>
      <c r="D154" s="469"/>
      <c r="E154" s="469"/>
      <c r="F154" s="469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70" t="str">
        <f>+VLOOKUP(LEFT($A155,LEN(A155)-1)*1,Master!$D$27:$G$225,4,FALSE)</f>
        <v>Nedostajuća sredstva</v>
      </c>
      <c r="C155" s="471"/>
      <c r="D155" s="471"/>
      <c r="E155" s="471"/>
      <c r="F155" s="471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2" t="str">
        <f>+VLOOKUP(LEFT($A156,LEN(A156)-1)*1,Master!$D$27:$G$225,4,FALSE)</f>
        <v>Finansiranje</v>
      </c>
      <c r="C156" s="473"/>
      <c r="D156" s="473"/>
      <c r="E156" s="473"/>
      <c r="F156" s="473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66" t="str">
        <f>+VLOOKUP(LEFT($A157,LEN(A157)-1)*1,Master!$D$27:$G$225,4,FALSE)</f>
        <v>Pozajmice i krediti od domaćih izvora</v>
      </c>
      <c r="C157" s="467"/>
      <c r="D157" s="467"/>
      <c r="E157" s="467"/>
      <c r="F157" s="467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50" t="str">
        <f>+VLOOKUP(LEFT($A158,LEN(A158)-1)*1,Master!$D$27:$G$225,4,FALSE)</f>
        <v>Pozajmice i krediti od inostranih izvora</v>
      </c>
      <c r="C158" s="451"/>
      <c r="D158" s="451"/>
      <c r="E158" s="451"/>
      <c r="F158" s="451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50" t="str">
        <f>+VLOOKUP(LEFT($A159,LEN(A159)-1)*1,Master!$D$27:$G$225,4,FALSE)</f>
        <v>Primici od prodaje imovine</v>
      </c>
      <c r="C159" s="451"/>
      <c r="D159" s="451"/>
      <c r="E159" s="451"/>
      <c r="F159" s="451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+VLOOKUP(LEFT($A160,LEN(A160)-1)*1,Master!$D$27:$G$225,4,FALSE)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515</v>
      </c>
      <c r="H6" s="69" t="s">
        <v>516</v>
      </c>
      <c r="I6" s="69" t="s">
        <v>517</v>
      </c>
      <c r="J6" s="69" t="s">
        <v>518</v>
      </c>
      <c r="K6" s="69" t="s">
        <v>519</v>
      </c>
      <c r="L6" s="69" t="s">
        <v>520</v>
      </c>
      <c r="M6" s="69" t="s">
        <v>521</v>
      </c>
      <c r="N6" s="69" t="s">
        <v>522</v>
      </c>
      <c r="O6" s="69" t="s">
        <v>523</v>
      </c>
      <c r="P6" s="69" t="s">
        <v>524</v>
      </c>
      <c r="Q6" s="69" t="s">
        <v>525</v>
      </c>
      <c r="R6" s="69" t="s">
        <v>526</v>
      </c>
    </row>
    <row r="7" spans="1:20" ht="15" customHeight="1" thickBot="1">
      <c r="B7" s="535" t="str">
        <f>+Master!G251</f>
        <v>Ostvarenje budžeta</v>
      </c>
      <c r="C7" s="536"/>
      <c r="D7" s="536"/>
      <c r="E7" s="536"/>
      <c r="F7" s="536"/>
      <c r="G7" s="528">
        <v>2013</v>
      </c>
      <c r="H7" s="529"/>
      <c r="I7" s="529"/>
      <c r="J7" s="529"/>
      <c r="K7" s="529"/>
      <c r="L7" s="529"/>
      <c r="M7" s="529"/>
      <c r="N7" s="529"/>
      <c r="O7" s="529"/>
      <c r="P7" s="529"/>
      <c r="Q7" s="529"/>
      <c r="R7" s="530"/>
      <c r="S7" s="115" t="str">
        <f>+Master!G248</f>
        <v>BDP</v>
      </c>
      <c r="T7" s="116">
        <v>3393200615</v>
      </c>
    </row>
    <row r="8" spans="1:20" ht="16.5" customHeight="1">
      <c r="B8" s="537"/>
      <c r="C8" s="538"/>
      <c r="D8" s="538"/>
      <c r="E8" s="538"/>
      <c r="F8" s="539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28" t="str">
        <f>+Master!G245</f>
        <v>Jan - Feb</v>
      </c>
      <c r="T8" s="530"/>
    </row>
    <row r="9" spans="1:20" ht="13.5" thickBot="1">
      <c r="B9" s="540"/>
      <c r="C9" s="541"/>
      <c r="D9" s="541"/>
      <c r="E9" s="541"/>
      <c r="F9" s="542"/>
      <c r="G9" s="68" t="s">
        <v>425</v>
      </c>
      <c r="H9" s="68" t="s">
        <v>425</v>
      </c>
      <c r="I9" s="68" t="s">
        <v>425</v>
      </c>
      <c r="J9" s="68" t="s">
        <v>425</v>
      </c>
      <c r="K9" s="68" t="s">
        <v>425</v>
      </c>
      <c r="L9" s="68" t="s">
        <v>425</v>
      </c>
      <c r="M9" s="68" t="s">
        <v>425</v>
      </c>
      <c r="N9" s="68" t="s">
        <v>425</v>
      </c>
      <c r="O9" s="68" t="s">
        <v>425</v>
      </c>
      <c r="P9" s="68" t="s">
        <v>425</v>
      </c>
      <c r="Q9" s="68" t="s">
        <v>425</v>
      </c>
      <c r="R9" s="68" t="s">
        <v>425</v>
      </c>
      <c r="S9" s="66" t="s">
        <v>425</v>
      </c>
      <c r="T9" s="67" t="str">
        <f>+Master!G249</f>
        <v>% BDP</v>
      </c>
    </row>
    <row r="10" spans="1:20" ht="13.5" thickBot="1">
      <c r="A10" s="72">
        <v>7</v>
      </c>
      <c r="B10" s="531" t="str">
        <f>+VLOOKUP($A10,Master!$D$27:$G$225,4,FALSE)</f>
        <v>Prihodi budžeta</v>
      </c>
      <c r="C10" s="532"/>
      <c r="D10" s="532"/>
      <c r="E10" s="532"/>
      <c r="F10" s="532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33" t="str">
        <f>+VLOOKUP($A11,Master!$D$27:$G$225,4,FALSE)</f>
        <v>Porezi</v>
      </c>
      <c r="C11" s="534"/>
      <c r="D11" s="534"/>
      <c r="E11" s="534"/>
      <c r="F11" s="534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14" t="str">
        <f>+VLOOKUP($A12,Master!$D$27:$G$225,4,FALSE)</f>
        <v>Porez na dohodak fizičkih lica</v>
      </c>
      <c r="C12" s="515"/>
      <c r="D12" s="515"/>
      <c r="E12" s="515"/>
      <c r="F12" s="515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14" t="str">
        <f>+VLOOKUP($A13,Master!$D$27:$G$225,4,FALSE)</f>
        <v>Porez na dobit pravnih lica</v>
      </c>
      <c r="C13" s="515"/>
      <c r="D13" s="515"/>
      <c r="E13" s="515"/>
      <c r="F13" s="515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14" t="str">
        <f>+VLOOKUP($A14,Master!$D$27:$G$225,4,FALSE)</f>
        <v>Porez na promet nepokretnosti</v>
      </c>
      <c r="C14" s="515"/>
      <c r="D14" s="515"/>
      <c r="E14" s="515"/>
      <c r="F14" s="515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14" t="str">
        <f>+VLOOKUP($A15,Master!$D$27:$G$225,4,FALSE)</f>
        <v>Porez na dodatu vrijednost</v>
      </c>
      <c r="C15" s="515"/>
      <c r="D15" s="515"/>
      <c r="E15" s="515"/>
      <c r="F15" s="515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14" t="str">
        <f>+VLOOKUP($A16,Master!$D$27:$G$225,4,FALSE)</f>
        <v>Akcize</v>
      </c>
      <c r="C16" s="515"/>
      <c r="D16" s="515"/>
      <c r="E16" s="515"/>
      <c r="F16" s="515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14" t="str">
        <f>+VLOOKUP($A17,Master!$D$27:$G$225,4,FALSE)</f>
        <v>Porez na međunarodnu trgovinu i transakcije</v>
      </c>
      <c r="C17" s="515"/>
      <c r="D17" s="515"/>
      <c r="E17" s="515"/>
      <c r="F17" s="515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14" t="e">
        <f>+VLOOKUP($A18,Master!$D$27:$G$225,4,FALSE)</f>
        <v>#N/A</v>
      </c>
      <c r="C18" s="515"/>
      <c r="D18" s="515"/>
      <c r="E18" s="515"/>
      <c r="F18" s="515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14" t="str">
        <f>+VLOOKUP($A19,Master!$D$27:$G$225,4,FALSE)</f>
        <v>Ostali državni porezi</v>
      </c>
      <c r="C19" s="515"/>
      <c r="D19" s="515"/>
      <c r="E19" s="515"/>
      <c r="F19" s="515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26" t="str">
        <f>+VLOOKUP($A20,Master!$D$27:$G$225,4,FALSE)</f>
        <v>Doprinosi</v>
      </c>
      <c r="C20" s="527"/>
      <c r="D20" s="527"/>
      <c r="E20" s="527"/>
      <c r="F20" s="527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14" t="str">
        <f>+VLOOKUP($A21,Master!$D$27:$G$225,4,FALSE)</f>
        <v>Doprinosi za penzijsko i invalidsko osiguranje</v>
      </c>
      <c r="C21" s="515"/>
      <c r="D21" s="515"/>
      <c r="E21" s="515"/>
      <c r="F21" s="515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14" t="str">
        <f>+VLOOKUP($A22,Master!$D$27:$G$225,4,FALSE)</f>
        <v>Doprinosi za zdravstveno osiguranje</v>
      </c>
      <c r="C22" s="515"/>
      <c r="D22" s="515"/>
      <c r="E22" s="515"/>
      <c r="F22" s="515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14" t="str">
        <f>+VLOOKUP($A23,Master!$D$27:$G$225,4,FALSE)</f>
        <v>Doprinosi za osiguranje od nezaposlenosti</v>
      </c>
      <c r="C23" s="515"/>
      <c r="D23" s="515"/>
      <c r="E23" s="515"/>
      <c r="F23" s="515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14" t="str">
        <f>+VLOOKUP($A24,Master!$D$27:$G$225,4,FALSE)</f>
        <v>Ostali doprinosi</v>
      </c>
      <c r="C24" s="515"/>
      <c r="D24" s="515"/>
      <c r="E24" s="515"/>
      <c r="F24" s="515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18" t="str">
        <f>+VLOOKUP($A25,Master!$D$27:$G$225,4,FALSE)</f>
        <v>Takse</v>
      </c>
      <c r="C25" s="519"/>
      <c r="D25" s="519"/>
      <c r="E25" s="519"/>
      <c r="F25" s="519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18" t="str">
        <f>+VLOOKUP($A26,Master!$D$27:$G$225,4,FALSE)</f>
        <v>Naknade</v>
      </c>
      <c r="C26" s="519"/>
      <c r="D26" s="519"/>
      <c r="E26" s="519"/>
      <c r="F26" s="519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18" t="str">
        <f>+VLOOKUP($A27,Master!$D$27:$G$225,4,FALSE)</f>
        <v>Ostali prihodi</v>
      </c>
      <c r="C27" s="519"/>
      <c r="D27" s="519"/>
      <c r="E27" s="519"/>
      <c r="F27" s="519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18" t="str">
        <f>+VLOOKUP($A28,Master!$D$27:$G$225,4,FALSE)</f>
        <v>Primici od otplate kredita i sredstva prenesena iz prethodne godine</v>
      </c>
      <c r="C28" s="519"/>
      <c r="D28" s="519"/>
      <c r="E28" s="519"/>
      <c r="F28" s="519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20" t="str">
        <f>+VLOOKUP($A29,Master!$D$27:$G$225,4,FALSE)</f>
        <v>Donacije i transferi</v>
      </c>
      <c r="C29" s="521"/>
      <c r="D29" s="521"/>
      <c r="E29" s="521"/>
      <c r="F29" s="521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06" t="str">
        <f>+VLOOKUP($A30,Master!$D$27:$G$225,4,FALSE)</f>
        <v>Budžetski izdaci</v>
      </c>
      <c r="C30" s="507"/>
      <c r="D30" s="507"/>
      <c r="E30" s="507"/>
      <c r="F30" s="507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22" t="str">
        <f>+VLOOKUP($A31,Master!$D$27:$G$225,4,FALSE)</f>
        <v>Tekući izdaci</v>
      </c>
      <c r="C31" s="523"/>
      <c r="D31" s="523"/>
      <c r="E31" s="523"/>
      <c r="F31" s="523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24" t="str">
        <f>+VLOOKUP($A32,Master!$D$27:$G$225,4,FALSE)</f>
        <v>Tekući budžetski izdaci</v>
      </c>
      <c r="C32" s="525"/>
      <c r="D32" s="525"/>
      <c r="E32" s="525"/>
      <c r="F32" s="525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14" t="str">
        <f>+VLOOKUP($A33,Master!$D$27:$G$225,4,FALSE)</f>
        <v>Bruto zarade i doprinosi na teret poslodavca</v>
      </c>
      <c r="C33" s="515"/>
      <c r="D33" s="515"/>
      <c r="E33" s="515"/>
      <c r="F33" s="515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14" t="str">
        <f>+VLOOKUP($A34,Master!$D$27:$G$225,4,FALSE)</f>
        <v>Ostala lična primanja</v>
      </c>
      <c r="C34" s="515"/>
      <c r="D34" s="515"/>
      <c r="E34" s="515"/>
      <c r="F34" s="515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14" t="str">
        <f>+VLOOKUP($A35,Master!$D$27:$G$225,4,FALSE)</f>
        <v>Rashodi za materijal</v>
      </c>
      <c r="C35" s="515"/>
      <c r="D35" s="515"/>
      <c r="E35" s="515"/>
      <c r="F35" s="515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14" t="str">
        <f>+VLOOKUP($A36,Master!$D$27:$G$225,4,FALSE)</f>
        <v>Rashodi za usluge</v>
      </c>
      <c r="C36" s="515"/>
      <c r="D36" s="515"/>
      <c r="E36" s="515"/>
      <c r="F36" s="515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14" t="str">
        <f>+VLOOKUP($A37,Master!$D$27:$G$225,4,FALSE)</f>
        <v>Rashodi za tekuće održavanje</v>
      </c>
      <c r="C37" s="515"/>
      <c r="D37" s="515"/>
      <c r="E37" s="515"/>
      <c r="F37" s="515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14" t="str">
        <f>+VLOOKUP($A38,Master!$D$27:$G$225,4,FALSE)</f>
        <v>Kamate</v>
      </c>
      <c r="C38" s="515"/>
      <c r="D38" s="515"/>
      <c r="E38" s="515"/>
      <c r="F38" s="515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14" t="str">
        <f>+VLOOKUP($A39,Master!$D$27:$G$225,4,FALSE)</f>
        <v>Renta</v>
      </c>
      <c r="C39" s="515"/>
      <c r="D39" s="515"/>
      <c r="E39" s="515"/>
      <c r="F39" s="515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14" t="str">
        <f>+VLOOKUP($A40,Master!$D$27:$G$225,4,FALSE)</f>
        <v>Subvencije</v>
      </c>
      <c r="C40" s="515"/>
      <c r="D40" s="515"/>
      <c r="E40" s="515"/>
      <c r="F40" s="515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14" t="str">
        <f>+VLOOKUP($A41,Master!$D$27:$G$225,4,FALSE)</f>
        <v>Ostali izdaci</v>
      </c>
      <c r="C41" s="515"/>
      <c r="D41" s="515"/>
      <c r="E41" s="515"/>
      <c r="F41" s="515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14" t="str">
        <f>+VLOOKUP($A42,Master!$D$27:$G$225,4,FALSE)</f>
        <v>Kapitalni izdaci u tekućem budžetu</v>
      </c>
      <c r="C42" s="515"/>
      <c r="D42" s="515"/>
      <c r="E42" s="515"/>
      <c r="F42" s="515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2" t="str">
        <f>+VLOOKUP($A43,Master!$D$27:$G$225,4,FALSE)</f>
        <v>Transferi za socijalnu zaštitu</v>
      </c>
      <c r="C43" s="513"/>
      <c r="D43" s="513"/>
      <c r="E43" s="513"/>
      <c r="F43" s="513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14" t="str">
        <f>+VLOOKUP($A44,Master!$D$27:$G$225,4,FALSE)</f>
        <v>Prava iz oblasti socijalne zaštite</v>
      </c>
      <c r="C44" s="515"/>
      <c r="D44" s="515"/>
      <c r="E44" s="515"/>
      <c r="F44" s="515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14" t="str">
        <f>+VLOOKUP($A45,Master!$D$27:$G$225,4,FALSE)</f>
        <v>Sredstva za tehnološke viškove</v>
      </c>
      <c r="C45" s="515"/>
      <c r="D45" s="515"/>
      <c r="E45" s="515"/>
      <c r="F45" s="515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14" t="str">
        <f>+VLOOKUP($A46,Master!$D$27:$G$225,4,FALSE)</f>
        <v>Prava iz oblasti penzijskog i invalidskog osiguranja</v>
      </c>
      <c r="C46" s="515"/>
      <c r="D46" s="515"/>
      <c r="E46" s="515"/>
      <c r="F46" s="515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14" t="str">
        <f>+VLOOKUP($A47,Master!$D$27:$G$225,4,FALSE)</f>
        <v>Ostala prava iz oblasti zdravstvene zaštite</v>
      </c>
      <c r="C47" s="515"/>
      <c r="D47" s="515"/>
      <c r="E47" s="515"/>
      <c r="F47" s="515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14" t="str">
        <f>+VLOOKUP($A48,Master!$D$27:$G$225,4,FALSE)</f>
        <v>Ostala prava iz zdravstvenog osiguranja</v>
      </c>
      <c r="C48" s="515"/>
      <c r="D48" s="515"/>
      <c r="E48" s="515"/>
      <c r="F48" s="515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16" t="str">
        <f>+VLOOKUP($A49,Master!$D$27:$G$225,4,FALSE)</f>
        <v xml:space="preserve">Transferi institucijama, pojedincima, nevladinom i javnom sektoru </v>
      </c>
      <c r="C49" s="517"/>
      <c r="D49" s="517"/>
      <c r="E49" s="517"/>
      <c r="F49" s="517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16" t="str">
        <f>+VLOOKUP($A50,Master!$D$27:$G$225,4,FALSE)</f>
        <v>Kapitalni budžet</v>
      </c>
      <c r="C50" s="517"/>
      <c r="D50" s="517"/>
      <c r="E50" s="517"/>
      <c r="F50" s="517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00" t="str">
        <f>+VLOOKUP($A51,Master!$D$27:$G$225,4,FALSE)</f>
        <v>Pozajmice i krediti</v>
      </c>
      <c r="C51" s="501"/>
      <c r="D51" s="501"/>
      <c r="E51" s="501"/>
      <c r="F51" s="501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00" t="str">
        <f>+VLOOKUP($A52,Master!$D$27:$G$225,4,FALSE)</f>
        <v>Rezerve</v>
      </c>
      <c r="C52" s="501"/>
      <c r="D52" s="501"/>
      <c r="E52" s="501"/>
      <c r="F52" s="501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4" t="str">
        <f>+VLOOKUP($A53,Master!$D$27:$G$225,4,FALSE)</f>
        <v>Otplata garancija</v>
      </c>
      <c r="C53" s="555"/>
      <c r="D53" s="555"/>
      <c r="E53" s="555"/>
      <c r="F53" s="555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08" t="str">
        <f>+VLOOKUP($A54,Master!$D$27:$G$225,4,FALSE)</f>
        <v>Suficit / deficit</v>
      </c>
      <c r="C54" s="509"/>
      <c r="D54" s="509"/>
      <c r="E54" s="509"/>
      <c r="F54" s="509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10" t="str">
        <f>+VLOOKUP($A55,Master!$D$27:$G$225,4,FALSE)</f>
        <v>Primarni bilans</v>
      </c>
      <c r="C55" s="511"/>
      <c r="D55" s="511"/>
      <c r="E55" s="511"/>
      <c r="F55" s="511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2" t="str">
        <f>+VLOOKUP($A56,Master!$D$27:$G$225,4,FALSE)</f>
        <v>Otplata dugova</v>
      </c>
      <c r="C56" s="513"/>
      <c r="D56" s="513"/>
      <c r="E56" s="513"/>
      <c r="F56" s="513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02" t="str">
        <f>+VLOOKUP($A57,Master!$D$27:$G$225,4,FALSE)</f>
        <v>Otplata hartija od vrijednosti i kredita rezidentima</v>
      </c>
      <c r="C57" s="503"/>
      <c r="D57" s="503"/>
      <c r="E57" s="503"/>
      <c r="F57" s="503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00" t="str">
        <f>+VLOOKUP($A58,Master!$D$27:$G$225,4,FALSE)</f>
        <v>Otplata hartija od vrijednosti i kredita nerezidentima</v>
      </c>
      <c r="C58" s="501"/>
      <c r="D58" s="501"/>
      <c r="E58" s="501"/>
      <c r="F58" s="501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4" t="str">
        <f>+VLOOKUP($A59,Master!$D$27:$G$225,4,FALSE)</f>
        <v>Otplata obaveza iz prethodnih godina</v>
      </c>
      <c r="C59" s="555"/>
      <c r="D59" s="555"/>
      <c r="E59" s="555"/>
      <c r="F59" s="555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04" t="str">
        <f>+VLOOKUP($A60,Master!$D$27:$G$225,4,FALSE)</f>
        <v>Nedostajuća sredstva</v>
      </c>
      <c r="C60" s="505"/>
      <c r="D60" s="505"/>
      <c r="E60" s="505"/>
      <c r="F60" s="505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06" t="str">
        <f>+VLOOKUP($A61,Master!$D$27:$G$225,4,FALSE)</f>
        <v>Finansiranje</v>
      </c>
      <c r="C61" s="507"/>
      <c r="D61" s="507"/>
      <c r="E61" s="507"/>
      <c r="F61" s="507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02" t="str">
        <f>+VLOOKUP($A62,Master!$D$27:$G$225,4,FALSE)</f>
        <v>Pozajmice i krediti od domaćih izvora</v>
      </c>
      <c r="C62" s="503"/>
      <c r="D62" s="503"/>
      <c r="E62" s="503"/>
      <c r="F62" s="503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00" t="str">
        <f>+VLOOKUP($A63,Master!$D$27:$G$225,4,FALSE)</f>
        <v>Pozajmice i krediti od inostranih izvora</v>
      </c>
      <c r="C63" s="501"/>
      <c r="D63" s="501"/>
      <c r="E63" s="501"/>
      <c r="F63" s="501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00" t="str">
        <f>+VLOOKUP($A64,Master!$D$27:$G$225,4,FALSE)</f>
        <v>Primici od prodaje imovine</v>
      </c>
      <c r="C64" s="501"/>
      <c r="D64" s="501"/>
      <c r="E64" s="501"/>
      <c r="F64" s="501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53" t="str">
        <f>+Master!G252</f>
        <v>Plan ostvarenja budžeta</v>
      </c>
      <c r="C101" s="453"/>
      <c r="D101" s="453"/>
      <c r="E101" s="453"/>
      <c r="F101" s="453"/>
      <c r="G101" s="461">
        <v>2014</v>
      </c>
      <c r="H101" s="462"/>
      <c r="I101" s="462"/>
      <c r="J101" s="462"/>
      <c r="K101" s="462"/>
      <c r="L101" s="462"/>
      <c r="M101" s="462"/>
      <c r="N101" s="462"/>
      <c r="O101" s="462"/>
      <c r="P101" s="462"/>
      <c r="Q101" s="462"/>
      <c r="R101" s="465"/>
      <c r="S101" s="260" t="str">
        <f>+S7</f>
        <v>BDP</v>
      </c>
      <c r="T101" s="261">
        <v>3393200615</v>
      </c>
    </row>
    <row r="102" spans="1:20" ht="15.75" customHeight="1">
      <c r="A102" s="169"/>
      <c r="B102" s="454"/>
      <c r="C102" s="455"/>
      <c r="D102" s="455"/>
      <c r="E102" s="455"/>
      <c r="F102" s="456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61" t="str">
        <f>+Master!G246</f>
        <v>Jan - Dec</v>
      </c>
      <c r="T102" s="465">
        <f t="shared" si="16"/>
        <v>0</v>
      </c>
    </row>
    <row r="103" spans="1:20" ht="13.5" thickBot="1">
      <c r="A103" s="169"/>
      <c r="B103" s="457"/>
      <c r="C103" s="458"/>
      <c r="D103" s="458"/>
      <c r="E103" s="458"/>
      <c r="F103" s="459"/>
      <c r="G103" s="162" t="s">
        <v>425</v>
      </c>
      <c r="H103" s="162" t="s">
        <v>425</v>
      </c>
      <c r="I103" s="162" t="s">
        <v>425</v>
      </c>
      <c r="J103" s="162" t="s">
        <v>425</v>
      </c>
      <c r="K103" s="162" t="s">
        <v>425</v>
      </c>
      <c r="L103" s="162" t="s">
        <v>425</v>
      </c>
      <c r="M103" s="162" t="s">
        <v>425</v>
      </c>
      <c r="N103" s="162" t="s">
        <v>425</v>
      </c>
      <c r="O103" s="162" t="s">
        <v>425</v>
      </c>
      <c r="P103" s="162" t="s">
        <v>425</v>
      </c>
      <c r="Q103" s="162" t="s">
        <v>425</v>
      </c>
      <c r="R103" s="162" t="s">
        <v>425</v>
      </c>
      <c r="S103" s="262" t="s">
        <v>425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494" t="str">
        <f>+VLOOKUP(LEFT($A104,LEN(A104)-1)*1,Master!$D$27:$G$225,4,FALSE)</f>
        <v>Prihodi budžeta</v>
      </c>
      <c r="C104" s="495"/>
      <c r="D104" s="495"/>
      <c r="E104" s="495"/>
      <c r="F104" s="495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96" t="str">
        <f>+VLOOKUP(LEFT($A105,LEN(A105)-1)*1,Master!$D$27:$G$225,4,FALSE)</f>
        <v>Porezi</v>
      </c>
      <c r="C105" s="497"/>
      <c r="D105" s="497"/>
      <c r="E105" s="497"/>
      <c r="F105" s="497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2" t="str">
        <f>+VLOOKUP(LEFT($A106,LEN(A106)-1)*1,Master!$D$27:$G$225,4,FALSE)</f>
        <v>Porez na dohodak fizičkih lica</v>
      </c>
      <c r="C106" s="483"/>
      <c r="D106" s="483"/>
      <c r="E106" s="483"/>
      <c r="F106" s="483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2" t="str">
        <f>+VLOOKUP(LEFT($A107,LEN(A107)-1)*1,Master!$D$27:$G$225,4,FALSE)</f>
        <v>Porez na dobit pravnih lica</v>
      </c>
      <c r="C107" s="483"/>
      <c r="D107" s="483"/>
      <c r="E107" s="483"/>
      <c r="F107" s="483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2" t="str">
        <f>+VLOOKUP(LEFT($A108,LEN(A108)-1)*1,Master!$D$27:$G$225,4,FALSE)</f>
        <v>Porez na promet nepokretnosti</v>
      </c>
      <c r="C108" s="483"/>
      <c r="D108" s="483"/>
      <c r="E108" s="483"/>
      <c r="F108" s="483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2" t="str">
        <f>+VLOOKUP(LEFT($A109,LEN(A109)-1)*1,Master!$D$27:$G$225,4,FALSE)</f>
        <v>Porez na dodatu vrijednost</v>
      </c>
      <c r="C109" s="483"/>
      <c r="D109" s="483"/>
      <c r="E109" s="483"/>
      <c r="F109" s="483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2" t="str">
        <f>+VLOOKUP(LEFT($A110,LEN(A110)-1)*1,Master!$D$27:$G$225,4,FALSE)</f>
        <v>Akcize</v>
      </c>
      <c r="C110" s="483"/>
      <c r="D110" s="483"/>
      <c r="E110" s="483"/>
      <c r="F110" s="483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2" t="str">
        <f>+VLOOKUP(LEFT($A111,LEN(A111)-1)*1,Master!$D$27:$G$225,4,FALSE)</f>
        <v>Porez na međunarodnu trgovinu i transakcije</v>
      </c>
      <c r="C111" s="483"/>
      <c r="D111" s="483"/>
      <c r="E111" s="483"/>
      <c r="F111" s="483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2" t="e">
        <f>+VLOOKUP(LEFT($A112,LEN(A112)-1)*1,Master!$D$27:$G$225,4,FALSE)</f>
        <v>#N/A</v>
      </c>
      <c r="C112" s="483"/>
      <c r="D112" s="483"/>
      <c r="E112" s="483"/>
      <c r="F112" s="483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2" t="str">
        <f>+VLOOKUP(LEFT($A113,LEN(A113)-1)*1,Master!$D$27:$G$225,4,FALSE)</f>
        <v>Ostali državni porezi</v>
      </c>
      <c r="C113" s="483"/>
      <c r="D113" s="483"/>
      <c r="E113" s="483"/>
      <c r="F113" s="483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2" t="str">
        <f>+VLOOKUP(LEFT($A114,LEN(A114)-1)*1,Master!$D$27:$G$225,4,FALSE)</f>
        <v>Doprinosi</v>
      </c>
      <c r="C114" s="493"/>
      <c r="D114" s="493"/>
      <c r="E114" s="493"/>
      <c r="F114" s="493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2" t="str">
        <f>+VLOOKUP(LEFT($A115,LEN(A115)-1)*1,Master!$D$27:$G$225,4,FALSE)</f>
        <v>Doprinosi za penzijsko i invalidsko osiguranje</v>
      </c>
      <c r="C115" s="483"/>
      <c r="D115" s="483"/>
      <c r="E115" s="483"/>
      <c r="F115" s="483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2" t="str">
        <f>+VLOOKUP(LEFT($A116,LEN(A116)-1)*1,Master!$D$27:$G$225,4,FALSE)</f>
        <v>Doprinosi za zdravstveno osiguranje</v>
      </c>
      <c r="C116" s="483"/>
      <c r="D116" s="483"/>
      <c r="E116" s="483"/>
      <c r="F116" s="483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2" t="str">
        <f>+VLOOKUP(LEFT($A117,LEN(A117)-1)*1,Master!$D$27:$G$225,4,FALSE)</f>
        <v>Doprinosi za osiguranje od nezaposlenosti</v>
      </c>
      <c r="C117" s="483"/>
      <c r="D117" s="483"/>
      <c r="E117" s="483"/>
      <c r="F117" s="483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2" t="str">
        <f>+VLOOKUP(LEFT($A118,LEN(A118)-1)*1,Master!$D$27:$G$225,4,FALSE)</f>
        <v>Ostali doprinosi</v>
      </c>
      <c r="C118" s="483"/>
      <c r="D118" s="483"/>
      <c r="E118" s="483"/>
      <c r="F118" s="483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84" t="str">
        <f>+VLOOKUP(LEFT($A119,LEN(A119)-1)*1,Master!$D$27:$G$225,4,FALSE)</f>
        <v>Takse</v>
      </c>
      <c r="C119" s="485"/>
      <c r="D119" s="485"/>
      <c r="E119" s="485"/>
      <c r="F119" s="485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84" t="str">
        <f>+VLOOKUP(LEFT($A120,LEN(A120)-1)*1,Master!$D$27:$G$225,4,FALSE)</f>
        <v>Naknade</v>
      </c>
      <c r="C120" s="485"/>
      <c r="D120" s="485"/>
      <c r="E120" s="485"/>
      <c r="F120" s="485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84" t="str">
        <f>+VLOOKUP(LEFT($A121,LEN(A121)-1)*1,Master!$D$27:$G$225,4,FALSE)</f>
        <v>Ostali prihodi</v>
      </c>
      <c r="C121" s="485"/>
      <c r="D121" s="485"/>
      <c r="E121" s="485"/>
      <c r="F121" s="485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84" t="str">
        <f>+VLOOKUP(LEFT($A122,LEN(A122)-1)*1,Master!$D$27:$G$225,4,FALSE)</f>
        <v>Primici od otplate kredita i sredstva prenesena iz prethodne godine</v>
      </c>
      <c r="C122" s="485"/>
      <c r="D122" s="485"/>
      <c r="E122" s="485"/>
      <c r="F122" s="485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86" t="str">
        <f>+VLOOKUP(LEFT($A123,LEN(A123)-1)*1,Master!$D$27:$G$225,4,FALSE)</f>
        <v>Donacije i transferi</v>
      </c>
      <c r="C123" s="487"/>
      <c r="D123" s="487"/>
      <c r="E123" s="487"/>
      <c r="F123" s="487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2" t="str">
        <f>+VLOOKUP(LEFT($A124,LEN(A124)-1)*1,Master!$D$27:$G$225,4,FALSE)</f>
        <v>Budžetski izdaci</v>
      </c>
      <c r="C124" s="473"/>
      <c r="D124" s="473"/>
      <c r="E124" s="473"/>
      <c r="F124" s="473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88" t="str">
        <f>+VLOOKUP(LEFT($A125,LEN(A125)-1)*1,Master!$D$27:$G$225,4,FALSE)</f>
        <v>Tekući izdaci</v>
      </c>
      <c r="C125" s="489"/>
      <c r="D125" s="489"/>
      <c r="E125" s="489"/>
      <c r="F125" s="489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90" t="str">
        <f>+VLOOKUP(LEFT($A126,LEN(A126)-1)*1,Master!$D$27:$G$225,4,FALSE)</f>
        <v>Tekući budžetski izdaci</v>
      </c>
      <c r="C126" s="491"/>
      <c r="D126" s="491"/>
      <c r="E126" s="491"/>
      <c r="F126" s="491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2" t="str">
        <f>+VLOOKUP(LEFT($A127,LEN(A127)-1)*1,Master!$D$27:$G$225,4,FALSE)</f>
        <v>Bruto zarade i doprinosi na teret poslodavca</v>
      </c>
      <c r="C127" s="483"/>
      <c r="D127" s="483"/>
      <c r="E127" s="483"/>
      <c r="F127" s="483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2" t="str">
        <f>+VLOOKUP(LEFT($A128,LEN(A128)-1)*1,Master!$D$27:$G$225,4,FALSE)</f>
        <v>Ostala lična primanja</v>
      </c>
      <c r="C128" s="483"/>
      <c r="D128" s="483"/>
      <c r="E128" s="483"/>
      <c r="F128" s="483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2" t="str">
        <f>+VLOOKUP(LEFT($A129,LEN(A129)-1)*1,Master!$D$27:$G$225,4,FALSE)</f>
        <v>Rashodi za materijal</v>
      </c>
      <c r="C129" s="483"/>
      <c r="D129" s="483"/>
      <c r="E129" s="483"/>
      <c r="F129" s="483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2" t="str">
        <f>+VLOOKUP(LEFT($A130,LEN(A130)-1)*1,Master!$D$27:$G$225,4,FALSE)</f>
        <v>Rashodi za usluge</v>
      </c>
      <c r="C130" s="483"/>
      <c r="D130" s="483"/>
      <c r="E130" s="483"/>
      <c r="F130" s="483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2" t="str">
        <f>+VLOOKUP(LEFT($A131,LEN(A131)-1)*1,Master!$D$27:$G$225,4,FALSE)</f>
        <v>Rashodi za tekuće održavanje</v>
      </c>
      <c r="C131" s="483"/>
      <c r="D131" s="483"/>
      <c r="E131" s="483"/>
      <c r="F131" s="483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2" t="str">
        <f>+VLOOKUP(LEFT($A132,LEN(A132)-1)*1,Master!$D$27:$G$225,4,FALSE)</f>
        <v>Kamate</v>
      </c>
      <c r="C132" s="483"/>
      <c r="D132" s="483"/>
      <c r="E132" s="483"/>
      <c r="F132" s="483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2" t="str">
        <f>+VLOOKUP(LEFT($A133,LEN(A133)-1)*1,Master!$D$27:$G$225,4,FALSE)</f>
        <v>Renta</v>
      </c>
      <c r="C133" s="483"/>
      <c r="D133" s="483"/>
      <c r="E133" s="483"/>
      <c r="F133" s="483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2" t="str">
        <f>+VLOOKUP(LEFT($A134,LEN(A134)-1)*1,Master!$D$27:$G$225,4,FALSE)</f>
        <v>Subvencije</v>
      </c>
      <c r="C134" s="483"/>
      <c r="D134" s="483"/>
      <c r="E134" s="483"/>
      <c r="F134" s="483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2" t="str">
        <f>+VLOOKUP(LEFT($A135,LEN(A135)-1)*1,Master!$D$27:$G$225,4,FALSE)</f>
        <v>Ostali izdaci</v>
      </c>
      <c r="C135" s="483"/>
      <c r="D135" s="483"/>
      <c r="E135" s="483"/>
      <c r="F135" s="483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2" t="str">
        <f>+VLOOKUP(LEFT($A136,LEN(A136)-1)*1,Master!$D$27:$G$225,4,FALSE)</f>
        <v>Kapitalni izdaci u tekućem budžetu</v>
      </c>
      <c r="C136" s="483"/>
      <c r="D136" s="483"/>
      <c r="E136" s="483"/>
      <c r="F136" s="483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78" t="str">
        <f>+VLOOKUP(LEFT($A137,LEN(A137)-1)*1,Master!$D$27:$G$225,4,FALSE)</f>
        <v>Transferi za socijalnu zaštitu</v>
      </c>
      <c r="C137" s="479"/>
      <c r="D137" s="479"/>
      <c r="E137" s="479"/>
      <c r="F137" s="479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2" t="str">
        <f>+VLOOKUP(LEFT($A138,LEN(A138)-1)*1,Master!$D$27:$G$225,4,FALSE)</f>
        <v>Prava iz oblasti socijalne zaštite</v>
      </c>
      <c r="C138" s="483"/>
      <c r="D138" s="483"/>
      <c r="E138" s="483"/>
      <c r="F138" s="483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2" t="str">
        <f>+VLOOKUP(LEFT($A139,LEN(A139)-1)*1,Master!$D$27:$G$225,4,FALSE)</f>
        <v>Sredstva za tehnološke viškove</v>
      </c>
      <c r="C139" s="483"/>
      <c r="D139" s="483"/>
      <c r="E139" s="483"/>
      <c r="F139" s="483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2" t="str">
        <f>+VLOOKUP(LEFT($A140,LEN(A140)-1)*1,Master!$D$27:$G$225,4,FALSE)</f>
        <v>Prava iz oblasti penzijskog i invalidskog osiguranja</v>
      </c>
      <c r="C140" s="483"/>
      <c r="D140" s="483"/>
      <c r="E140" s="483"/>
      <c r="F140" s="483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2" t="str">
        <f>+VLOOKUP(LEFT($A141,LEN(A141)-1)*1,Master!$D$27:$G$225,4,FALSE)</f>
        <v>Ostala prava iz oblasti zdravstvene zaštite</v>
      </c>
      <c r="C141" s="483"/>
      <c r="D141" s="483"/>
      <c r="E141" s="483"/>
      <c r="F141" s="483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2" t="str">
        <f>+VLOOKUP(LEFT($A142,LEN(A142)-1)*1,Master!$D$27:$G$225,4,FALSE)</f>
        <v>Ostala prava iz zdravstvenog osiguranja</v>
      </c>
      <c r="C142" s="483"/>
      <c r="D142" s="483"/>
      <c r="E142" s="483"/>
      <c r="F142" s="483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0" t="str">
        <f>+VLOOKUP(LEFT($A143,LEN(A143)-1)*1,Master!$D$27:$G$225,4,FALSE)</f>
        <v xml:space="preserve">Transferi institucijama, pojedincima, nevladinom i javnom sektoru </v>
      </c>
      <c r="C143" s="481"/>
      <c r="D143" s="481"/>
      <c r="E143" s="481"/>
      <c r="F143" s="481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0" t="str">
        <f>+VLOOKUP(LEFT($A144,LEN(A144)-1)*1,Master!$D$27:$G$225,4,FALSE)</f>
        <v>Kapitalni budžet</v>
      </c>
      <c r="C144" s="481"/>
      <c r="D144" s="481"/>
      <c r="E144" s="481"/>
      <c r="F144" s="481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50" t="str">
        <f>+VLOOKUP(LEFT($A145,LEN(A145)-1)*1,Master!$D$27:$G$225,4,FALSE)</f>
        <v>Pozajmice i krediti</v>
      </c>
      <c r="C145" s="451"/>
      <c r="D145" s="451"/>
      <c r="E145" s="451"/>
      <c r="F145" s="451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50" t="str">
        <f>+VLOOKUP(LEFT($A146,LEN(A146)-1)*1,Master!$D$27:$G$225,4,FALSE)</f>
        <v>Rezerve</v>
      </c>
      <c r="C146" s="451"/>
      <c r="D146" s="451"/>
      <c r="E146" s="451"/>
      <c r="F146" s="451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68" t="str">
        <f>+VLOOKUP(LEFT($A147,LEN(A147)-1)*1,Master!$D$27:$G$225,4,FALSE)</f>
        <v>Otplata garancija</v>
      </c>
      <c r="C147" s="469"/>
      <c r="D147" s="469"/>
      <c r="E147" s="469"/>
      <c r="F147" s="469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4" t="str">
        <f>+VLOOKUP(LEFT($A148,LEN(A148)-1)*1,Master!$D$27:$G$225,4,FALSE)</f>
        <v>Suficit / deficit</v>
      </c>
      <c r="C148" s="475"/>
      <c r="D148" s="475"/>
      <c r="E148" s="475"/>
      <c r="F148" s="475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76" t="str">
        <f>+VLOOKUP(LEFT($A149,LEN(A149)-1)*1,Master!$D$27:$G$225,4,FALSE)</f>
        <v>Primarni bilans</v>
      </c>
      <c r="C149" s="477"/>
      <c r="D149" s="477"/>
      <c r="E149" s="477"/>
      <c r="F149" s="477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78" t="str">
        <f>+VLOOKUP(LEFT($A150,LEN(A150)-1)*1,Master!$D$27:$G$225,4,FALSE)</f>
        <v>Otplata dugova</v>
      </c>
      <c r="C150" s="479"/>
      <c r="D150" s="479"/>
      <c r="E150" s="479"/>
      <c r="F150" s="479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66" t="str">
        <f>+VLOOKUP(LEFT($A151,LEN(A151)-1)*1,Master!$D$27:$G$225,4,FALSE)</f>
        <v>Otplata hartija od vrijednosti i kredita rezidentima</v>
      </c>
      <c r="C151" s="467"/>
      <c r="D151" s="467"/>
      <c r="E151" s="467"/>
      <c r="F151" s="467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50" t="str">
        <f>+VLOOKUP(LEFT($A152,LEN(A152)-1)*1,Master!$D$27:$G$225,4,FALSE)</f>
        <v>Otplata hartija od vrijednosti i kredita nerezidentima</v>
      </c>
      <c r="C152" s="451"/>
      <c r="D152" s="451"/>
      <c r="E152" s="451"/>
      <c r="F152" s="451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68" t="str">
        <f>+VLOOKUP(LEFT($A153,LEN(A153)-1)*1,Master!$D$27:$G$225,4,FALSE)</f>
        <v>Otplata obaveza iz prethodnih godina</v>
      </c>
      <c r="C153" s="469"/>
      <c r="D153" s="469"/>
      <c r="E153" s="469"/>
      <c r="F153" s="469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70" t="str">
        <f>+VLOOKUP(LEFT($A154,LEN(A154)-1)*1,Master!$D$27:$G$225,4,FALSE)</f>
        <v>Nedostajuća sredstva</v>
      </c>
      <c r="C154" s="471"/>
      <c r="D154" s="471"/>
      <c r="E154" s="471"/>
      <c r="F154" s="471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2" t="str">
        <f>+VLOOKUP(LEFT($A155,LEN(A155)-1)*1,Master!$D$27:$G$225,4,FALSE)</f>
        <v>Finansiranje</v>
      </c>
      <c r="C155" s="473"/>
      <c r="D155" s="473"/>
      <c r="E155" s="473"/>
      <c r="F155" s="473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66" t="str">
        <f>+VLOOKUP(LEFT($A156,LEN(A156)-1)*1,Master!$D$27:$G$225,4,FALSE)</f>
        <v>Pozajmice i krediti od domaćih izvora</v>
      </c>
      <c r="C156" s="467"/>
      <c r="D156" s="467"/>
      <c r="E156" s="467"/>
      <c r="F156" s="467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50" t="str">
        <f>+VLOOKUP(LEFT($A157,LEN(A157)-1)*1,Master!$D$27:$G$225,4,FALSE)</f>
        <v>Pozajmice i krediti od inostranih izvora</v>
      </c>
      <c r="C157" s="451"/>
      <c r="D157" s="451"/>
      <c r="E157" s="451"/>
      <c r="F157" s="451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50" t="str">
        <f>+VLOOKUP(LEFT($A158,LEN(A158)-1)*1,Master!$D$27:$G$225,4,FALSE)</f>
        <v>Primici od prodaje imovine</v>
      </c>
      <c r="C158" s="451"/>
      <c r="D158" s="451"/>
      <c r="E158" s="451"/>
      <c r="F158" s="451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+VLOOKUP(LEFT($A159,LEN(A159)-1)*1,Master!$D$27:$G$225,4,FALSE)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F8" activePane="bottomRight" state="frozen"/>
      <selection pane="topRight" activeCell="F1" sqref="F1"/>
      <selection pane="bottomLeft" activeCell="A8" sqref="A8"/>
      <selection pane="bottomRight" activeCell="FH17" sqref="FH17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bestFit="1" customWidth="1"/>
    <col min="163" max="163" width="11.140625" style="41" customWidth="1"/>
    <col min="164" max="164" width="13.85546875" style="41" bestFit="1" customWidth="1"/>
    <col min="165" max="165" width="12.7109375" style="41" bestFit="1" customWidth="1"/>
    <col min="166" max="166" width="13.85546875" style="41" bestFit="1" customWidth="1"/>
    <col min="167" max="173" width="12.7109375" style="41" bestFit="1" customWidth="1"/>
    <col min="174" max="174" width="12" style="41" customWidth="1"/>
    <col min="175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1" t="s">
        <v>566</v>
      </c>
      <c r="F6" s="558">
        <v>2006</v>
      </c>
      <c r="G6" s="559"/>
      <c r="H6" s="559"/>
      <c r="I6" s="559"/>
      <c r="J6" s="559"/>
      <c r="K6" s="559"/>
      <c r="L6" s="559"/>
      <c r="M6" s="559"/>
      <c r="N6" s="559"/>
      <c r="O6" s="559"/>
      <c r="P6" s="559"/>
      <c r="Q6" s="560"/>
      <c r="R6" s="558">
        <v>2007</v>
      </c>
      <c r="S6" s="559"/>
      <c r="T6" s="559"/>
      <c r="U6" s="559"/>
      <c r="V6" s="559"/>
      <c r="W6" s="559"/>
      <c r="X6" s="559"/>
      <c r="Y6" s="559"/>
      <c r="Z6" s="559"/>
      <c r="AA6" s="559"/>
      <c r="AB6" s="559"/>
      <c r="AC6" s="560"/>
      <c r="AD6" s="558">
        <v>2008</v>
      </c>
      <c r="AE6" s="559"/>
      <c r="AF6" s="559"/>
      <c r="AG6" s="559"/>
      <c r="AH6" s="559"/>
      <c r="AI6" s="559"/>
      <c r="AJ6" s="559"/>
      <c r="AK6" s="559"/>
      <c r="AL6" s="559"/>
      <c r="AM6" s="559"/>
      <c r="AN6" s="559"/>
      <c r="AO6" s="560"/>
      <c r="AP6" s="558">
        <v>2009</v>
      </c>
      <c r="AQ6" s="559"/>
      <c r="AR6" s="559"/>
      <c r="AS6" s="559"/>
      <c r="AT6" s="559"/>
      <c r="AU6" s="559"/>
      <c r="AV6" s="559"/>
      <c r="AW6" s="559"/>
      <c r="AX6" s="559"/>
      <c r="AY6" s="559"/>
      <c r="AZ6" s="559"/>
      <c r="BA6" s="560"/>
      <c r="BB6" s="558">
        <v>2010</v>
      </c>
      <c r="BC6" s="559"/>
      <c r="BD6" s="559"/>
      <c r="BE6" s="559"/>
      <c r="BF6" s="559"/>
      <c r="BG6" s="559"/>
      <c r="BH6" s="559"/>
      <c r="BI6" s="559"/>
      <c r="BJ6" s="559"/>
      <c r="BK6" s="559"/>
      <c r="BL6" s="559"/>
      <c r="BM6" s="560"/>
      <c r="BN6" s="558">
        <v>2011</v>
      </c>
      <c r="BO6" s="559"/>
      <c r="BP6" s="559"/>
      <c r="BQ6" s="559"/>
      <c r="BR6" s="559"/>
      <c r="BS6" s="559"/>
      <c r="BT6" s="559"/>
      <c r="BU6" s="559"/>
      <c r="BV6" s="559"/>
      <c r="BW6" s="559"/>
      <c r="BX6" s="559"/>
      <c r="BY6" s="560"/>
      <c r="BZ6" s="559">
        <v>2012</v>
      </c>
      <c r="CA6" s="559"/>
      <c r="CB6" s="559"/>
      <c r="CC6" s="559"/>
      <c r="CD6" s="559"/>
      <c r="CE6" s="559"/>
      <c r="CF6" s="559"/>
      <c r="CG6" s="559"/>
      <c r="CH6" s="559"/>
      <c r="CI6" s="559"/>
      <c r="CJ6" s="559"/>
      <c r="CK6" s="559"/>
      <c r="CL6" s="558">
        <v>2013</v>
      </c>
      <c r="CM6" s="559"/>
      <c r="CN6" s="559"/>
      <c r="CO6" s="559"/>
      <c r="CP6" s="559"/>
      <c r="CQ6" s="559"/>
      <c r="CR6" s="559"/>
      <c r="CS6" s="559"/>
      <c r="CT6" s="559"/>
      <c r="CU6" s="559"/>
      <c r="CV6" s="559"/>
      <c r="CW6" s="560"/>
      <c r="CX6" s="558">
        <v>2014</v>
      </c>
      <c r="CY6" s="559"/>
      <c r="CZ6" s="559"/>
      <c r="DA6" s="559"/>
      <c r="DB6" s="559"/>
      <c r="DC6" s="559"/>
      <c r="DD6" s="559"/>
      <c r="DE6" s="559"/>
      <c r="DF6" s="559"/>
      <c r="DG6" s="559"/>
      <c r="DH6" s="559"/>
      <c r="DI6" s="560"/>
      <c r="DJ6" s="558">
        <v>2015</v>
      </c>
      <c r="DK6" s="559"/>
      <c r="DL6" s="559"/>
      <c r="DM6" s="559"/>
      <c r="DN6" s="559"/>
      <c r="DO6" s="559"/>
      <c r="DP6" s="559"/>
      <c r="DQ6" s="559"/>
      <c r="DR6" s="559"/>
      <c r="DS6" s="559"/>
      <c r="DT6" s="559"/>
      <c r="DU6" s="560"/>
    </row>
    <row r="7" spans="1:321">
      <c r="E7" s="561"/>
      <c r="F7" s="75" t="s">
        <v>431</v>
      </c>
      <c r="G7" s="76" t="s">
        <v>432</v>
      </c>
      <c r="H7" s="76" t="s">
        <v>433</v>
      </c>
      <c r="I7" s="76" t="s">
        <v>434</v>
      </c>
      <c r="J7" s="76" t="s">
        <v>435</v>
      </c>
      <c r="K7" s="76" t="s">
        <v>436</v>
      </c>
      <c r="L7" s="76" t="s">
        <v>437</v>
      </c>
      <c r="M7" s="76" t="s">
        <v>438</v>
      </c>
      <c r="N7" s="76" t="s">
        <v>439</v>
      </c>
      <c r="O7" s="76" t="s">
        <v>440</v>
      </c>
      <c r="P7" s="76" t="s">
        <v>441</v>
      </c>
      <c r="Q7" s="77" t="s">
        <v>442</v>
      </c>
      <c r="R7" s="75" t="s">
        <v>443</v>
      </c>
      <c r="S7" s="76" t="s">
        <v>444</v>
      </c>
      <c r="T7" s="76" t="s">
        <v>445</v>
      </c>
      <c r="U7" s="76" t="s">
        <v>446</v>
      </c>
      <c r="V7" s="76" t="s">
        <v>447</v>
      </c>
      <c r="W7" s="76" t="s">
        <v>448</v>
      </c>
      <c r="X7" s="76" t="s">
        <v>449</v>
      </c>
      <c r="Y7" s="76" t="s">
        <v>450</v>
      </c>
      <c r="Z7" s="76" t="s">
        <v>451</v>
      </c>
      <c r="AA7" s="76" t="s">
        <v>452</v>
      </c>
      <c r="AB7" s="76" t="s">
        <v>453</v>
      </c>
      <c r="AC7" s="77" t="s">
        <v>454</v>
      </c>
      <c r="AD7" s="75" t="s">
        <v>456</v>
      </c>
      <c r="AE7" s="76" t="s">
        <v>457</v>
      </c>
      <c r="AF7" s="76" t="s">
        <v>458</v>
      </c>
      <c r="AG7" s="76" t="s">
        <v>459</v>
      </c>
      <c r="AH7" s="76" t="s">
        <v>460</v>
      </c>
      <c r="AI7" s="76" t="s">
        <v>461</v>
      </c>
      <c r="AJ7" s="76" t="s">
        <v>462</v>
      </c>
      <c r="AK7" s="76" t="s">
        <v>463</v>
      </c>
      <c r="AL7" s="76" t="s">
        <v>464</v>
      </c>
      <c r="AM7" s="76" t="s">
        <v>465</v>
      </c>
      <c r="AN7" s="76" t="s">
        <v>466</v>
      </c>
      <c r="AO7" s="77" t="s">
        <v>455</v>
      </c>
      <c r="AP7" s="75" t="s">
        <v>467</v>
      </c>
      <c r="AQ7" s="76" t="s">
        <v>468</v>
      </c>
      <c r="AR7" s="76" t="s">
        <v>469</v>
      </c>
      <c r="AS7" s="76" t="s">
        <v>470</v>
      </c>
      <c r="AT7" s="76" t="s">
        <v>471</v>
      </c>
      <c r="AU7" s="76" t="s">
        <v>472</v>
      </c>
      <c r="AV7" s="76" t="s">
        <v>473</v>
      </c>
      <c r="AW7" s="76" t="s">
        <v>474</v>
      </c>
      <c r="AX7" s="76" t="s">
        <v>475</v>
      </c>
      <c r="AY7" s="76" t="s">
        <v>476</v>
      </c>
      <c r="AZ7" s="76" t="s">
        <v>477</v>
      </c>
      <c r="BA7" s="77" t="s">
        <v>478</v>
      </c>
      <c r="BB7" s="75" t="s">
        <v>479</v>
      </c>
      <c r="BC7" s="76" t="s">
        <v>480</v>
      </c>
      <c r="BD7" s="76" t="s">
        <v>481</v>
      </c>
      <c r="BE7" s="76" t="s">
        <v>482</v>
      </c>
      <c r="BF7" s="76" t="s">
        <v>483</v>
      </c>
      <c r="BG7" s="76" t="s">
        <v>484</v>
      </c>
      <c r="BH7" s="76" t="s">
        <v>485</v>
      </c>
      <c r="BI7" s="76" t="s">
        <v>486</v>
      </c>
      <c r="BJ7" s="76" t="s">
        <v>487</v>
      </c>
      <c r="BK7" s="76" t="s">
        <v>488</v>
      </c>
      <c r="BL7" s="76" t="s">
        <v>489</v>
      </c>
      <c r="BM7" s="77" t="s">
        <v>490</v>
      </c>
      <c r="BN7" s="75" t="s">
        <v>491</v>
      </c>
      <c r="BO7" s="76" t="s">
        <v>492</v>
      </c>
      <c r="BP7" s="76" t="s">
        <v>493</v>
      </c>
      <c r="BQ7" s="76" t="s">
        <v>494</v>
      </c>
      <c r="BR7" s="76" t="s">
        <v>495</v>
      </c>
      <c r="BS7" s="76" t="s">
        <v>496</v>
      </c>
      <c r="BT7" s="76" t="s">
        <v>497</v>
      </c>
      <c r="BU7" s="76" t="s">
        <v>498</v>
      </c>
      <c r="BV7" s="76" t="s">
        <v>499</v>
      </c>
      <c r="BW7" s="76" t="s">
        <v>500</v>
      </c>
      <c r="BX7" s="76" t="s">
        <v>501</v>
      </c>
      <c r="BY7" s="77" t="s">
        <v>502</v>
      </c>
      <c r="BZ7" s="76" t="s">
        <v>503</v>
      </c>
      <c r="CA7" s="76" t="s">
        <v>504</v>
      </c>
      <c r="CB7" s="76" t="s">
        <v>505</v>
      </c>
      <c r="CC7" s="76" t="s">
        <v>506</v>
      </c>
      <c r="CD7" s="76" t="s">
        <v>507</v>
      </c>
      <c r="CE7" s="76" t="s">
        <v>508</v>
      </c>
      <c r="CF7" s="76" t="s">
        <v>509</v>
      </c>
      <c r="CG7" s="76" t="s">
        <v>510</v>
      </c>
      <c r="CH7" s="76" t="s">
        <v>511</v>
      </c>
      <c r="CI7" s="76" t="s">
        <v>512</v>
      </c>
      <c r="CJ7" s="76" t="s">
        <v>513</v>
      </c>
      <c r="CK7" s="76" t="s">
        <v>514</v>
      </c>
      <c r="CL7" s="75" t="s">
        <v>515</v>
      </c>
      <c r="CM7" s="76" t="s">
        <v>516</v>
      </c>
      <c r="CN7" s="76" t="s">
        <v>517</v>
      </c>
      <c r="CO7" s="76" t="s">
        <v>518</v>
      </c>
      <c r="CP7" s="76" t="s">
        <v>519</v>
      </c>
      <c r="CQ7" s="76" t="s">
        <v>520</v>
      </c>
      <c r="CR7" s="76" t="s">
        <v>521</v>
      </c>
      <c r="CS7" s="76" t="s">
        <v>522</v>
      </c>
      <c r="CT7" s="76" t="s">
        <v>523</v>
      </c>
      <c r="CU7" s="76" t="s">
        <v>524</v>
      </c>
      <c r="CV7" s="76" t="s">
        <v>525</v>
      </c>
      <c r="CW7" s="77" t="s">
        <v>526</v>
      </c>
      <c r="CX7" s="75" t="s">
        <v>527</v>
      </c>
      <c r="CY7" s="76" t="s">
        <v>528</v>
      </c>
      <c r="CZ7" s="76" t="s">
        <v>529</v>
      </c>
      <c r="DA7" s="76" t="s">
        <v>530</v>
      </c>
      <c r="DB7" s="76" t="s">
        <v>531</v>
      </c>
      <c r="DC7" s="76" t="s">
        <v>532</v>
      </c>
      <c r="DD7" s="76" t="s">
        <v>533</v>
      </c>
      <c r="DE7" s="76" t="s">
        <v>534</v>
      </c>
      <c r="DF7" s="76" t="s">
        <v>535</v>
      </c>
      <c r="DG7" s="76" t="s">
        <v>536</v>
      </c>
      <c r="DH7" s="76" t="s">
        <v>537</v>
      </c>
      <c r="DI7" s="77" t="s">
        <v>538</v>
      </c>
      <c r="DJ7" s="75" t="s">
        <v>539</v>
      </c>
      <c r="DK7" s="76" t="s">
        <v>540</v>
      </c>
      <c r="DL7" s="76" t="s">
        <v>541</v>
      </c>
      <c r="DM7" s="76" t="s">
        <v>542</v>
      </c>
      <c r="DN7" s="76" t="s">
        <v>543</v>
      </c>
      <c r="DO7" s="76" t="s">
        <v>544</v>
      </c>
      <c r="DP7" s="76" t="s">
        <v>545</v>
      </c>
      <c r="DQ7" s="76" t="s">
        <v>546</v>
      </c>
      <c r="DR7" s="76" t="s">
        <v>547</v>
      </c>
      <c r="DS7" s="76" t="s">
        <v>548</v>
      </c>
      <c r="DT7" s="76" t="s">
        <v>549</v>
      </c>
      <c r="DU7" s="77" t="s">
        <v>550</v>
      </c>
      <c r="DV7" s="42" t="s">
        <v>705</v>
      </c>
      <c r="DW7" s="42" t="s">
        <v>706</v>
      </c>
      <c r="DX7" s="42" t="s">
        <v>707</v>
      </c>
      <c r="DY7" s="42" t="s">
        <v>708</v>
      </c>
      <c r="DZ7" s="42" t="s">
        <v>709</v>
      </c>
      <c r="EA7" s="42" t="s">
        <v>710</v>
      </c>
      <c r="EB7" s="42" t="s">
        <v>711</v>
      </c>
      <c r="EC7" s="42" t="s">
        <v>712</v>
      </c>
      <c r="ED7" s="42" t="s">
        <v>713</v>
      </c>
      <c r="EE7" s="42" t="s">
        <v>714</v>
      </c>
      <c r="EF7" s="42" t="s">
        <v>715</v>
      </c>
      <c r="EG7" s="42" t="s">
        <v>716</v>
      </c>
      <c r="EH7" s="42" t="s">
        <v>739</v>
      </c>
      <c r="EI7" s="42" t="s">
        <v>740</v>
      </c>
      <c r="EJ7" s="42" t="s">
        <v>741</v>
      </c>
      <c r="EK7" s="42" t="s">
        <v>742</v>
      </c>
      <c r="EL7" s="42" t="s">
        <v>743</v>
      </c>
      <c r="EM7" s="42" t="s">
        <v>744</v>
      </c>
      <c r="EN7" s="42" t="s">
        <v>745</v>
      </c>
      <c r="EO7" s="42" t="s">
        <v>746</v>
      </c>
      <c r="EP7" s="42" t="s">
        <v>747</v>
      </c>
      <c r="EQ7" s="42" t="s">
        <v>748</v>
      </c>
      <c r="ER7" s="42" t="s">
        <v>749</v>
      </c>
      <c r="ES7" s="42" t="s">
        <v>750</v>
      </c>
      <c r="ET7" s="393" t="s">
        <v>757</v>
      </c>
      <c r="EU7" s="393" t="s">
        <v>758</v>
      </c>
      <c r="EV7" s="393" t="s">
        <v>759</v>
      </c>
      <c r="EW7" s="393" t="s">
        <v>760</v>
      </c>
      <c r="EX7" s="393" t="s">
        <v>761</v>
      </c>
      <c r="EY7" s="393" t="s">
        <v>762</v>
      </c>
      <c r="EZ7" s="393" t="s">
        <v>763</v>
      </c>
      <c r="FA7" s="393" t="s">
        <v>764</v>
      </c>
      <c r="FB7" s="393" t="s">
        <v>765</v>
      </c>
      <c r="FC7" s="393" t="s">
        <v>766</v>
      </c>
      <c r="FD7" s="393" t="s">
        <v>767</v>
      </c>
      <c r="FE7" s="393" t="s">
        <v>768</v>
      </c>
      <c r="FF7" s="393" t="s">
        <v>781</v>
      </c>
      <c r="FG7" s="393" t="s">
        <v>782</v>
      </c>
      <c r="FH7" s="393" t="s">
        <v>783</v>
      </c>
      <c r="FI7" s="393" t="s">
        <v>784</v>
      </c>
      <c r="FJ7" s="393" t="s">
        <v>785</v>
      </c>
      <c r="FK7" s="393" t="s">
        <v>786</v>
      </c>
      <c r="FL7" s="393" t="s">
        <v>787</v>
      </c>
      <c r="FM7" s="393" t="s">
        <v>788</v>
      </c>
      <c r="FN7" s="393" t="s">
        <v>789</v>
      </c>
      <c r="FO7" s="393" t="s">
        <v>790</v>
      </c>
      <c r="FP7" s="393" t="s">
        <v>791</v>
      </c>
      <c r="FQ7" s="393" t="s">
        <v>792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4">
        <v>79855347.849999994</v>
      </c>
      <c r="EU9" s="424">
        <v>106190042</v>
      </c>
      <c r="EV9" s="424">
        <v>137417391.37</v>
      </c>
      <c r="EW9" s="424">
        <v>147833434.00999999</v>
      </c>
      <c r="EX9" s="424">
        <v>135934065.38</v>
      </c>
      <c r="EY9" s="424"/>
      <c r="EZ9" s="424"/>
      <c r="FA9" s="424"/>
      <c r="FB9" s="424"/>
      <c r="FC9" s="424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42">
        <v>60295851.509999998</v>
      </c>
      <c r="EU10" s="442">
        <v>64797597.329999998</v>
      </c>
      <c r="EV10" s="442">
        <v>89261850.609999999</v>
      </c>
      <c r="EW10" s="442">
        <v>97799793.079999998</v>
      </c>
      <c r="EX10" s="442">
        <v>90553351.069999993</v>
      </c>
      <c r="EY10" s="442">
        <v>87503254.430000007</v>
      </c>
      <c r="EZ10" s="442">
        <v>105015545.47</v>
      </c>
      <c r="FA10" s="442">
        <v>107951400.73999999</v>
      </c>
      <c r="FB10" s="442">
        <v>102839740.52</v>
      </c>
      <c r="FC10" s="442">
        <v>89707200.510000005</v>
      </c>
      <c r="FD10" s="378">
        <v>81788199.120000005</v>
      </c>
      <c r="FE10" s="378">
        <v>91433416.909999996</v>
      </c>
      <c r="FF10" s="378">
        <v>72429730.420000002</v>
      </c>
      <c r="FG10" s="378">
        <v>68470908.439999998</v>
      </c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>
        <v>4240913.8099999996</v>
      </c>
      <c r="FG11" s="376">
        <v>9361661.1500000004</v>
      </c>
      <c r="FH11" s="376"/>
      <c r="FI11" s="376"/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>
        <v>936843.13</v>
      </c>
      <c r="FG12" s="376">
        <v>1962550.32</v>
      </c>
      <c r="FH12" s="376"/>
      <c r="FI12" s="376"/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>
        <v>118243.45</v>
      </c>
      <c r="FG13" s="376">
        <v>169568.16</v>
      </c>
      <c r="FH13" s="376"/>
      <c r="FI13" s="376"/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>
        <v>49847223.18</v>
      </c>
      <c r="FG14" s="376">
        <v>38958365.399999999</v>
      </c>
      <c r="FH14" s="376"/>
      <c r="FI14" s="376"/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>
        <v>15141217.210000001</v>
      </c>
      <c r="FG15" s="376">
        <v>13186126.23</v>
      </c>
      <c r="FH15" s="376"/>
      <c r="FI15" s="376"/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>
        <v>1424968.68</v>
      </c>
      <c r="FG16" s="376">
        <v>1733788.33</v>
      </c>
      <c r="FH16" s="376"/>
      <c r="FI16" s="376"/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>
        <v>720320.96</v>
      </c>
      <c r="FG17" s="376">
        <v>3098848.85</v>
      </c>
      <c r="FH17" s="376"/>
      <c r="FI17" s="376"/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>
        <v>16498881.48</v>
      </c>
      <c r="FG18" s="378">
        <v>41912269.380000003</v>
      </c>
      <c r="FH18" s="378"/>
      <c r="FI18" s="378"/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>
        <v>9695765.5800000001</v>
      </c>
      <c r="FG19" s="376">
        <v>24593790.260000002</v>
      </c>
      <c r="FH19" s="376"/>
      <c r="FI19" s="376"/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>
        <v>5963049.2000000002</v>
      </c>
      <c r="FG20" s="376">
        <v>15122476.890000001</v>
      </c>
      <c r="FH20" s="376"/>
      <c r="FI20" s="376"/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>
        <v>459881.42</v>
      </c>
      <c r="FG21" s="376">
        <v>1160315.8500000001</v>
      </c>
      <c r="FH21" s="376"/>
      <c r="FI21" s="376"/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>
        <v>380185.28</v>
      </c>
      <c r="FG22" s="376">
        <v>1035686.38</v>
      </c>
      <c r="FH22" s="376"/>
      <c r="FI22" s="376"/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785627.24</v>
      </c>
      <c r="EU23" s="378">
        <v>993423.94</v>
      </c>
      <c r="EV23" s="378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1882210.04</v>
      </c>
      <c r="FB23" s="378">
        <v>1545122.56</v>
      </c>
      <c r="FC23" s="378">
        <v>1510208.2</v>
      </c>
      <c r="FD23" s="378">
        <v>1331866.75</v>
      </c>
      <c r="FE23" s="378">
        <v>1403288.34</v>
      </c>
      <c r="FF23" s="378">
        <v>803704.72</v>
      </c>
      <c r="FG23" s="378">
        <v>967294.73</v>
      </c>
      <c r="FH23" s="378"/>
      <c r="FI23" s="378"/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572123.71</v>
      </c>
      <c r="EU24" s="376">
        <v>691468.91</v>
      </c>
      <c r="EV24" s="376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1077861.3</v>
      </c>
      <c r="FB24" s="376">
        <v>936074.99</v>
      </c>
      <c r="FC24" s="376">
        <v>992644.36</v>
      </c>
      <c r="FD24" s="376">
        <v>888912.28</v>
      </c>
      <c r="FE24" s="376">
        <v>934198.37</v>
      </c>
      <c r="FF24" s="376">
        <v>601666.93000000005</v>
      </c>
      <c r="FG24" s="376">
        <v>744946.04</v>
      </c>
      <c r="FH24" s="376"/>
      <c r="FI24" s="376"/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>
        <v>64695</v>
      </c>
      <c r="FG25" s="376">
        <v>85955.36</v>
      </c>
      <c r="FH25" s="376"/>
      <c r="FI25" s="376"/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>
        <v>24775.52</v>
      </c>
      <c r="FG26" s="376">
        <v>28443.63</v>
      </c>
      <c r="FH26" s="376"/>
      <c r="FI26" s="376"/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>
        <v>112567.27</v>
      </c>
      <c r="FG27" s="376">
        <v>107949.7</v>
      </c>
      <c r="FH27" s="376"/>
      <c r="FI27" s="376"/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>
        <v>2315003.25</v>
      </c>
      <c r="FG28" s="378">
        <v>1541397.86</v>
      </c>
      <c r="FH28" s="378"/>
      <c r="FI28" s="378"/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>
        <v>5596.5</v>
      </c>
      <c r="FG29" s="376">
        <v>10696.96</v>
      </c>
      <c r="FH29" s="376"/>
      <c r="FI29" s="376"/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>
        <v>111165.46</v>
      </c>
      <c r="FG30" s="376">
        <v>101009.27</v>
      </c>
      <c r="FH30" s="376"/>
      <c r="FI30" s="376"/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>
        <v>45324.14</v>
      </c>
      <c r="FG31" s="376">
        <v>46657.06</v>
      </c>
      <c r="FH31" s="376"/>
      <c r="FI31" s="376"/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769</v>
      </c>
      <c r="EN32" s="376" t="s">
        <v>770</v>
      </c>
      <c r="EO32" s="376">
        <v>608693.02</v>
      </c>
      <c r="EP32" s="376" t="s">
        <v>771</v>
      </c>
      <c r="EQ32" s="376">
        <v>179273.43</v>
      </c>
      <c r="ER32" s="376" t="s">
        <v>772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>
        <v>654304.80000000005</v>
      </c>
      <c r="FG32" s="376">
        <v>660078.18000000005</v>
      </c>
      <c r="FH32" s="376"/>
      <c r="FI32" s="376"/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>
        <v>106207.67</v>
      </c>
      <c r="FG33" s="376">
        <v>203595.89</v>
      </c>
      <c r="FH33" s="376"/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>
        <v>1392404.68</v>
      </c>
      <c r="FG34" s="376">
        <v>519360.5</v>
      </c>
      <c r="FH34" s="376"/>
      <c r="FI34" s="376"/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2425520.81</v>
      </c>
      <c r="EU35" s="378">
        <v>1609741.96</v>
      </c>
      <c r="EV35" s="378">
        <v>2046839.31</v>
      </c>
      <c r="EW35" s="378">
        <v>5482431.4299999997</v>
      </c>
      <c r="EX35" s="378">
        <v>2149512.65</v>
      </c>
      <c r="EY35" s="378">
        <v>2742239.31</v>
      </c>
      <c r="EZ35" s="378">
        <v>3903791.18</v>
      </c>
      <c r="FA35" s="378">
        <v>3453341.6</v>
      </c>
      <c r="FB35" s="378">
        <v>37485113.789999999</v>
      </c>
      <c r="FC35" s="378">
        <v>2347445.85</v>
      </c>
      <c r="FD35" s="378">
        <v>3454247.32</v>
      </c>
      <c r="FE35" s="378">
        <v>4014664.14</v>
      </c>
      <c r="FF35" s="378">
        <v>1513907.86</v>
      </c>
      <c r="FG35" s="378">
        <v>2139132.87</v>
      </c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757682.7</v>
      </c>
      <c r="EU36" s="376">
        <v>26758.59</v>
      </c>
      <c r="EV36" s="376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>
        <v>35372327.289999999</v>
      </c>
      <c r="FC36" s="376">
        <v>93263.79</v>
      </c>
      <c r="FD36" s="376">
        <v>86764.65</v>
      </c>
      <c r="FE36" s="376">
        <v>1098323.3600000001</v>
      </c>
      <c r="FF36" s="376">
        <v>319064.56</v>
      </c>
      <c r="FG36" s="376">
        <v>248874.56</v>
      </c>
      <c r="FH36" s="376"/>
      <c r="FI36" s="376"/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>
        <v>609800.16</v>
      </c>
      <c r="FG37" s="376">
        <v>943704.64</v>
      </c>
      <c r="FH37" s="376"/>
      <c r="FI37" s="376"/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>
        <v>164019.29</v>
      </c>
      <c r="FG38" s="376">
        <v>247340.36</v>
      </c>
      <c r="FH38" s="376"/>
      <c r="FI38" s="376"/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558412.55000000005</v>
      </c>
      <c r="EV39" s="376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1467566.13</v>
      </c>
      <c r="FB39" s="376">
        <v>794367.45</v>
      </c>
      <c r="FC39" s="376">
        <v>884956.07</v>
      </c>
      <c r="FD39" s="376">
        <v>2238150.0099999998</v>
      </c>
      <c r="FE39" s="376">
        <v>1558672.65</v>
      </c>
      <c r="FF39" s="376">
        <v>421023.85</v>
      </c>
      <c r="FG39" s="376">
        <v>699213.31</v>
      </c>
      <c r="FH39" s="376"/>
      <c r="FI39" s="376"/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>
        <v>26594.13</v>
      </c>
      <c r="FG40" s="378">
        <v>177395.91</v>
      </c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24"/>
      <c r="EU41" s="424"/>
      <c r="EV41" s="424"/>
      <c r="EW41" s="424"/>
      <c r="EX41" s="424"/>
      <c r="EY41" s="424"/>
      <c r="EZ41" s="424"/>
      <c r="FA41" s="424"/>
      <c r="FB41" s="424"/>
      <c r="FC41" s="424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780987.28</v>
      </c>
      <c r="FF43" s="378">
        <v>69158.880000000005</v>
      </c>
      <c r="FG43" s="378">
        <v>375609.72</v>
      </c>
      <c r="FH43" s="378"/>
      <c r="FI43" s="378"/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24"/>
      <c r="EU44" s="424"/>
      <c r="EV44" s="424"/>
      <c r="EW44" s="424"/>
      <c r="EX44" s="424"/>
      <c r="EY44" s="424"/>
      <c r="EZ44" s="424"/>
      <c r="FA44" s="424"/>
      <c r="FB44" s="424"/>
      <c r="FC44" s="424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>
        <v>658145.13</v>
      </c>
      <c r="FC46" s="378">
        <v>1526158.48</v>
      </c>
      <c r="FD46" s="378">
        <v>5006180.46</v>
      </c>
      <c r="FE46" s="378">
        <v>3845038.84</v>
      </c>
      <c r="FF46" s="378">
        <v>13518225.6</v>
      </c>
      <c r="FG46" s="378">
        <v>998602.95</v>
      </c>
      <c r="FH46" s="378"/>
      <c r="FI46" s="378"/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24"/>
      <c r="EU47" s="424"/>
      <c r="EV47" s="424"/>
      <c r="EW47" s="424"/>
      <c r="EX47" s="424"/>
      <c r="EY47" s="424"/>
      <c r="EZ47" s="424"/>
      <c r="FA47" s="424"/>
      <c r="FB47" s="424"/>
      <c r="FC47" s="424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24"/>
      <c r="EU48" s="424"/>
      <c r="EV48" s="424"/>
      <c r="EW48" s="424"/>
      <c r="EX48" s="424"/>
      <c r="EY48" s="424"/>
      <c r="EZ48" s="424"/>
      <c r="FA48" s="424"/>
      <c r="FB48" s="424"/>
      <c r="FC48" s="424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24"/>
      <c r="EU50" s="424"/>
      <c r="EV50" s="424"/>
      <c r="EW50" s="424"/>
      <c r="EX50" s="424"/>
      <c r="EY50" s="424"/>
      <c r="EZ50" s="424"/>
      <c r="FA50" s="424"/>
      <c r="FB50" s="424"/>
      <c r="FC50" s="424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>
        <v>18000000</v>
      </c>
      <c r="FG51" s="376">
        <v>54000000</v>
      </c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494250833.62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23679982.34</v>
      </c>
      <c r="FF52" s="376">
        <v>25745826.41</v>
      </c>
      <c r="FG52" s="376">
        <v>1491277.56</v>
      </c>
      <c r="FH52" s="376"/>
      <c r="FI52" s="376"/>
      <c r="FJ52" s="437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>
        <v>38898745.609999999</v>
      </c>
      <c r="FG55" s="376">
        <v>38576856.590000004</v>
      </c>
      <c r="FH55" s="376"/>
      <c r="FI55" s="376"/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>
        <v>432717.77</v>
      </c>
      <c r="FG61" s="376">
        <v>1037317.51</v>
      </c>
      <c r="FH61" s="376"/>
      <c r="FI61" s="376"/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24"/>
      <c r="EU62" s="424"/>
      <c r="EV62" s="424"/>
      <c r="EW62" s="424"/>
      <c r="EX62" s="424"/>
      <c r="EY62" s="424"/>
      <c r="EZ62" s="424"/>
      <c r="FA62" s="424"/>
      <c r="FB62" s="424"/>
      <c r="FC62" s="424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24"/>
      <c r="EU63" s="424"/>
      <c r="EV63" s="424"/>
      <c r="EW63" s="424"/>
      <c r="EX63" s="424"/>
      <c r="EY63" s="424"/>
      <c r="EZ63" s="424"/>
      <c r="FA63" s="424"/>
      <c r="FB63" s="424"/>
      <c r="FC63" s="424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24"/>
      <c r="EU64" s="424"/>
      <c r="EV64" s="424"/>
      <c r="EW64" s="424"/>
      <c r="EX64" s="424"/>
      <c r="EY64" s="424"/>
      <c r="EZ64" s="424"/>
      <c r="FA64" s="424"/>
      <c r="FB64" s="424"/>
      <c r="FC64" s="424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24"/>
      <c r="EU65" s="424"/>
      <c r="EV65" s="424"/>
      <c r="EW65" s="424"/>
      <c r="EX65" s="424"/>
      <c r="EY65" s="424"/>
      <c r="EZ65" s="424"/>
      <c r="FA65" s="424"/>
      <c r="FB65" s="424"/>
      <c r="FC65" s="424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24"/>
      <c r="EU66" s="424"/>
      <c r="EV66" s="424"/>
      <c r="EW66" s="424"/>
      <c r="EX66" s="424"/>
      <c r="EY66" s="424"/>
      <c r="EZ66" s="424"/>
      <c r="FA66" s="424"/>
      <c r="FB66" s="424"/>
      <c r="FC66" s="424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24"/>
      <c r="EU68" s="424"/>
      <c r="EV68" s="424"/>
      <c r="EW68" s="424"/>
      <c r="EX68" s="424"/>
      <c r="EY68" s="424"/>
      <c r="EZ68" s="424"/>
      <c r="FA68" s="424"/>
      <c r="FB68" s="424"/>
      <c r="FC68" s="424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1027061</v>
      </c>
      <c r="EU69" s="376">
        <v>2339456.96</v>
      </c>
      <c r="EV69" s="376">
        <v>3799655</v>
      </c>
      <c r="EW69" s="376">
        <v>2451684.9300000002</v>
      </c>
      <c r="EX69" s="376">
        <v>2819164.34</v>
      </c>
      <c r="EY69" s="376">
        <v>2228904.96</v>
      </c>
      <c r="EZ69" s="376">
        <v>2861487.4</v>
      </c>
      <c r="FA69" s="376">
        <v>2382536.89</v>
      </c>
      <c r="FB69" s="376">
        <v>1934822.17</v>
      </c>
      <c r="FC69" s="376">
        <v>3004874.41</v>
      </c>
      <c r="FD69" s="376">
        <v>3035158.15</v>
      </c>
      <c r="FE69" s="376">
        <v>8916158.6899999995</v>
      </c>
      <c r="FF69" s="376">
        <v>854167.64</v>
      </c>
      <c r="FG69" s="376">
        <v>2492370.9900000002</v>
      </c>
      <c r="FH69" s="376"/>
      <c r="FI69" s="376"/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1695715.73</v>
      </c>
      <c r="EU76" s="376">
        <v>3144208.56</v>
      </c>
      <c r="EV76" s="376">
        <v>4225810.8600000003</v>
      </c>
      <c r="EW76" s="376">
        <v>4576692.6500000004</v>
      </c>
      <c r="EX76" s="376">
        <v>4902792.45</v>
      </c>
      <c r="EY76" s="376">
        <v>14378909.140000001</v>
      </c>
      <c r="EZ76" s="376">
        <v>4958236.41</v>
      </c>
      <c r="FA76" s="376">
        <v>3624827.41</v>
      </c>
      <c r="FB76" s="376">
        <v>5520757.9299999997</v>
      </c>
      <c r="FC76" s="376">
        <v>5612259.6799999997</v>
      </c>
      <c r="FD76" s="376">
        <v>5170200.84</v>
      </c>
      <c r="FE76" s="376">
        <v>17427573.32</v>
      </c>
      <c r="FF76" s="376">
        <v>2813388.82</v>
      </c>
      <c r="FG76" s="376">
        <v>4275265.79</v>
      </c>
      <c r="FH76" s="376"/>
      <c r="FI76" s="376"/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1254053.07</v>
      </c>
      <c r="EV86" s="376">
        <v>1932637.76</v>
      </c>
      <c r="EW86" s="376">
        <v>1702193.19</v>
      </c>
      <c r="EX86" s="376">
        <v>1674065.37</v>
      </c>
      <c r="EY86" s="376">
        <v>1595120.98</v>
      </c>
      <c r="EZ86" s="376">
        <v>1765491.98</v>
      </c>
      <c r="FA86" s="376">
        <v>823314.3</v>
      </c>
      <c r="FB86" s="376">
        <v>2309329.44</v>
      </c>
      <c r="FC86" s="376">
        <v>1827701.36</v>
      </c>
      <c r="FD86" s="376">
        <v>1127698.73</v>
      </c>
      <c r="FE86" s="376">
        <v>4873366.55</v>
      </c>
      <c r="FF86" s="376">
        <v>109483.07</v>
      </c>
      <c r="FG86" s="376">
        <v>1534108.39</v>
      </c>
      <c r="FH86" s="376"/>
      <c r="FI86" s="376"/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8129668.5499999998</v>
      </c>
      <c r="EX90" s="376">
        <v>10064809.060000001</v>
      </c>
      <c r="EY90" s="376">
        <v>1838720.63</v>
      </c>
      <c r="EZ90" s="376">
        <v>7493936.0099999998</v>
      </c>
      <c r="FA90" s="376">
        <v>1134154.94</v>
      </c>
      <c r="FB90" s="376">
        <v>3617355.6</v>
      </c>
      <c r="FC90" s="376">
        <v>1538688.3</v>
      </c>
      <c r="FD90" s="376">
        <v>4283049.2</v>
      </c>
      <c r="FE90" s="376">
        <v>5656669.4199999999</v>
      </c>
      <c r="FF90" s="376">
        <v>6133054.0599999996</v>
      </c>
      <c r="FG90" s="376">
        <v>822328.63</v>
      </c>
      <c r="FH90" s="376"/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939648.68</v>
      </c>
      <c r="EY93" s="376">
        <v>835746.88</v>
      </c>
      <c r="EZ93" s="376">
        <v>824933.88</v>
      </c>
      <c r="FA93" s="376">
        <v>556574.75</v>
      </c>
      <c r="FB93" s="376">
        <v>949304.64</v>
      </c>
      <c r="FC93" s="376">
        <v>1043096.71</v>
      </c>
      <c r="FD93" s="376">
        <v>584262.68000000005</v>
      </c>
      <c r="FE93" s="376">
        <v>2920206.78</v>
      </c>
      <c r="FF93" s="376">
        <v>220526.46</v>
      </c>
      <c r="FG93" s="376">
        <v>779733.65</v>
      </c>
      <c r="FH93" s="376"/>
      <c r="FI93" s="376"/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>
        <v>99006.6</v>
      </c>
      <c r="FG97" s="376">
        <v>1819632.21</v>
      </c>
      <c r="FH97" s="376"/>
      <c r="FI97" s="376"/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585935.19999999995</v>
      </c>
      <c r="EU101" s="376">
        <v>3390433.55</v>
      </c>
      <c r="EV101" s="376">
        <v>2155321.13</v>
      </c>
      <c r="EW101" s="376">
        <v>2890777.66</v>
      </c>
      <c r="EX101" s="376">
        <v>2637225.6800000002</v>
      </c>
      <c r="EY101" s="376">
        <v>3638653.72</v>
      </c>
      <c r="EZ101" s="376">
        <v>2920320.15</v>
      </c>
      <c r="FA101" s="376">
        <v>3454663.76</v>
      </c>
      <c r="FB101" s="376">
        <v>3201235.33</v>
      </c>
      <c r="FC101" s="376">
        <v>3108711.17</v>
      </c>
      <c r="FD101" s="376">
        <v>3357388.61</v>
      </c>
      <c r="FE101" s="376">
        <v>12270930.109999999</v>
      </c>
      <c r="FF101" s="376">
        <v>695586.92</v>
      </c>
      <c r="FG101" s="376">
        <v>3360581.13</v>
      </c>
      <c r="FH101" s="376"/>
      <c r="FI101" s="376"/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>
        <v>5984394.8399999999</v>
      </c>
      <c r="FG112" s="376">
        <v>6928715.1699999999</v>
      </c>
      <c r="FH112" s="376"/>
      <c r="FI112" s="376"/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24"/>
      <c r="EU114" s="424"/>
      <c r="EV114" s="424"/>
      <c r="EW114" s="424"/>
      <c r="EX114" s="424"/>
      <c r="EY114" s="424"/>
      <c r="EZ114" s="424"/>
      <c r="FA114" s="424"/>
      <c r="FB114" s="424"/>
      <c r="FC114" s="424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24"/>
      <c r="EU115" s="424"/>
      <c r="EV115" s="424"/>
      <c r="EW115" s="424"/>
      <c r="EX115" s="424"/>
      <c r="EY115" s="424"/>
      <c r="EZ115" s="424"/>
      <c r="FA115" s="424"/>
      <c r="FB115" s="424"/>
      <c r="FC115" s="424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24"/>
      <c r="EU116" s="424"/>
      <c r="EV116" s="424"/>
      <c r="EW116" s="424"/>
      <c r="EX116" s="424"/>
      <c r="EY116" s="424"/>
      <c r="EZ116" s="424"/>
      <c r="FA116" s="424"/>
      <c r="FB116" s="424"/>
      <c r="FC116" s="424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24"/>
      <c r="EU117" s="424"/>
      <c r="EV117" s="424"/>
      <c r="EW117" s="424"/>
      <c r="EX117" s="424"/>
      <c r="EY117" s="424"/>
      <c r="EZ117" s="424"/>
      <c r="FA117" s="424"/>
      <c r="FB117" s="424"/>
      <c r="FC117" s="424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24"/>
      <c r="EU118" s="424"/>
      <c r="EV118" s="424"/>
      <c r="EW118" s="424"/>
      <c r="EX118" s="424"/>
      <c r="EY118" s="424"/>
      <c r="EZ118" s="424"/>
      <c r="FA118" s="424"/>
      <c r="FB118" s="424"/>
      <c r="FC118" s="424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24"/>
      <c r="EU119" s="424"/>
      <c r="EV119" s="424"/>
      <c r="EW119" s="424"/>
      <c r="EX119" s="424"/>
      <c r="EY119" s="424"/>
      <c r="EZ119" s="424"/>
      <c r="FA119" s="424"/>
      <c r="FB119" s="424"/>
      <c r="FC119" s="424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736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24"/>
      <c r="EU120" s="424"/>
      <c r="EV120" s="424"/>
      <c r="EW120" s="424"/>
      <c r="EX120" s="424"/>
      <c r="EY120" s="424"/>
      <c r="EZ120" s="424"/>
      <c r="FA120" s="424"/>
      <c r="FB120" s="424"/>
      <c r="FC120" s="424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>
        <v>43800</v>
      </c>
      <c r="FG121" s="376">
        <v>1198874.72</v>
      </c>
      <c r="FH121" s="376"/>
      <c r="FI121" s="376"/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>
        <v>34463250.560000002</v>
      </c>
      <c r="FG127" s="376">
        <v>35530168.719999999</v>
      </c>
      <c r="FH127" s="376"/>
      <c r="FI127" s="376"/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>
        <v>1579079.63</v>
      </c>
      <c r="FG135" s="376">
        <v>1855950.15</v>
      </c>
      <c r="FH135" s="376"/>
      <c r="FI135" s="376"/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>
        <v>492655.92</v>
      </c>
      <c r="FG137" s="376">
        <v>1082093.31</v>
      </c>
      <c r="FH137" s="376"/>
      <c r="FI137" s="376"/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15698178.050000001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16865431.859999999</v>
      </c>
      <c r="FD141" s="376">
        <v>17575098.66</v>
      </c>
      <c r="FE141" s="376">
        <v>33426737.670000002</v>
      </c>
      <c r="FF141" s="376">
        <v>15740550.810000001</v>
      </c>
      <c r="FG141" s="376">
        <v>18630588.73</v>
      </c>
      <c r="FH141" s="376"/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>
        <v>16553117.15</v>
      </c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>
        <v>2077471.58</v>
      </c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731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2163260.08</v>
      </c>
      <c r="EU159" s="376">
        <v>3337170.39</v>
      </c>
      <c r="EV159" s="376">
        <v>11819290.74</v>
      </c>
      <c r="EW159" s="376">
        <v>29570153.77</v>
      </c>
      <c r="EX159" s="376">
        <v>13043534.289999999</v>
      </c>
      <c r="EY159" s="376">
        <v>23764039.27</v>
      </c>
      <c r="EZ159" s="376">
        <v>23502059.140000001</v>
      </c>
      <c r="FA159" s="376">
        <v>7969058.6900000004</v>
      </c>
      <c r="FB159" s="376">
        <v>39845946.350000001</v>
      </c>
      <c r="FC159" s="376">
        <v>28551193.390000001</v>
      </c>
      <c r="FD159" s="376">
        <v>25822537.190000001</v>
      </c>
      <c r="FE159" s="376">
        <v>55311184</v>
      </c>
      <c r="FF159" s="376">
        <v>26828354.949999999</v>
      </c>
      <c r="FG159" s="376">
        <v>4589377.4800000004</v>
      </c>
      <c r="FH159" s="376"/>
      <c r="FI159" s="376"/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422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3164306.35</v>
      </c>
      <c r="EU160" s="376">
        <v>874187.86</v>
      </c>
      <c r="EV160" s="376">
        <v>1385420.74</v>
      </c>
      <c r="EW160" s="376">
        <v>1772827.43</v>
      </c>
      <c r="EX160" s="376">
        <v>2361781.61</v>
      </c>
      <c r="EY160" s="376">
        <v>3518258.03</v>
      </c>
      <c r="EZ160" s="376">
        <v>1333103.1100000001</v>
      </c>
      <c r="FA160" s="376">
        <v>1880172.05</v>
      </c>
      <c r="FB160" s="376">
        <v>1846837.17</v>
      </c>
      <c r="FC160" s="376">
        <v>4655294.9000000004</v>
      </c>
      <c r="FD160" s="376">
        <v>27589177.949999999</v>
      </c>
      <c r="FE160" s="376">
        <v>5940844.4199999999</v>
      </c>
      <c r="FF160" s="376">
        <v>720914.39</v>
      </c>
      <c r="FG160" s="376">
        <v>270310.34999999998</v>
      </c>
      <c r="FH160" s="376"/>
      <c r="FI160" s="376"/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/>
      <c r="FH168" s="376"/>
      <c r="FI168" s="376"/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>
        <v>272323.98</v>
      </c>
      <c r="FH171" s="376"/>
      <c r="FI171" s="376"/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>
        <v>18084948.579999998</v>
      </c>
      <c r="FG179" s="376">
        <v>64835364.859999999</v>
      </c>
      <c r="FH179" s="376"/>
      <c r="FI179" s="376"/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>
        <v>1433418.82</v>
      </c>
      <c r="FG180" s="376">
        <v>2530058.2599999998</v>
      </c>
      <c r="FH180" s="376"/>
      <c r="FI180" s="376"/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>
        <v>2253720.0299999998</v>
      </c>
      <c r="FG181" s="376">
        <v>494.04</v>
      </c>
      <c r="FH181" s="376"/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4566064.25</v>
      </c>
      <c r="FA184" s="376">
        <v>962361.47</v>
      </c>
      <c r="FB184" s="376">
        <v>895331.03</v>
      </c>
      <c r="FC184" s="376">
        <v>1966075.9</v>
      </c>
      <c r="FD184" s="376">
        <v>1659582.3</v>
      </c>
      <c r="FE184" s="376">
        <v>1173790.67</v>
      </c>
      <c r="FF184" s="376">
        <v>1205053.3500000001</v>
      </c>
      <c r="FG184" s="376">
        <v>581258.80000000005</v>
      </c>
      <c r="FH184" s="376"/>
      <c r="FI184" s="376"/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>
        <v>1952871.71</v>
      </c>
      <c r="FH185" s="376"/>
      <c r="FI185" s="376"/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0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696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24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7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75">
      <c r="EH212" s="339"/>
    </row>
    <row r="215" spans="1:175">
      <c r="E215" s="561" t="s">
        <v>687</v>
      </c>
      <c r="F215" s="558">
        <v>2006</v>
      </c>
      <c r="G215" s="559"/>
      <c r="H215" s="559"/>
      <c r="I215" s="559"/>
      <c r="J215" s="559"/>
      <c r="K215" s="559"/>
      <c r="L215" s="559"/>
      <c r="M215" s="559"/>
      <c r="N215" s="559"/>
      <c r="O215" s="559"/>
      <c r="P215" s="559"/>
      <c r="Q215" s="560"/>
      <c r="R215" s="558">
        <v>2007</v>
      </c>
      <c r="S215" s="559"/>
      <c r="T215" s="559"/>
      <c r="U215" s="559"/>
      <c r="V215" s="559"/>
      <c r="W215" s="559"/>
      <c r="X215" s="559"/>
      <c r="Y215" s="559"/>
      <c r="Z215" s="559"/>
      <c r="AA215" s="559"/>
      <c r="AB215" s="559"/>
      <c r="AC215" s="560"/>
      <c r="AD215" s="558">
        <v>2008</v>
      </c>
      <c r="AE215" s="559"/>
      <c r="AF215" s="559"/>
      <c r="AG215" s="559"/>
      <c r="AH215" s="559"/>
      <c r="AI215" s="559"/>
      <c r="AJ215" s="559"/>
      <c r="AK215" s="559"/>
      <c r="AL215" s="559"/>
      <c r="AM215" s="559"/>
      <c r="AN215" s="559"/>
      <c r="AO215" s="560"/>
      <c r="AP215" s="558">
        <v>2009</v>
      </c>
      <c r="AQ215" s="559"/>
      <c r="AR215" s="559"/>
      <c r="AS215" s="559"/>
      <c r="AT215" s="559"/>
      <c r="AU215" s="559"/>
      <c r="AV215" s="559"/>
      <c r="AW215" s="559"/>
      <c r="AX215" s="559"/>
      <c r="AY215" s="559"/>
      <c r="AZ215" s="559"/>
      <c r="BA215" s="560"/>
      <c r="BB215" s="558">
        <v>2010</v>
      </c>
      <c r="BC215" s="559"/>
      <c r="BD215" s="559"/>
      <c r="BE215" s="559"/>
      <c r="BF215" s="559"/>
      <c r="BG215" s="559"/>
      <c r="BH215" s="559"/>
      <c r="BI215" s="559"/>
      <c r="BJ215" s="559"/>
      <c r="BK215" s="559"/>
      <c r="BL215" s="559"/>
      <c r="BM215" s="560"/>
      <c r="BN215" s="558">
        <v>2011</v>
      </c>
      <c r="BO215" s="559"/>
      <c r="BP215" s="559"/>
      <c r="BQ215" s="559"/>
      <c r="BR215" s="559"/>
      <c r="BS215" s="559"/>
      <c r="BT215" s="559"/>
      <c r="BU215" s="559"/>
      <c r="BV215" s="559"/>
      <c r="BW215" s="559"/>
      <c r="BX215" s="559"/>
      <c r="BY215" s="560"/>
      <c r="BZ215" s="559">
        <v>2012</v>
      </c>
      <c r="CA215" s="559"/>
      <c r="CB215" s="559"/>
      <c r="CC215" s="559"/>
      <c r="CD215" s="559"/>
      <c r="CE215" s="559"/>
      <c r="CF215" s="559"/>
      <c r="CG215" s="559"/>
      <c r="CH215" s="559"/>
      <c r="CI215" s="559"/>
      <c r="CJ215" s="559"/>
      <c r="CK215" s="559"/>
      <c r="CL215" s="558">
        <v>2013</v>
      </c>
      <c r="CM215" s="559"/>
      <c r="CN215" s="559"/>
      <c r="CO215" s="559"/>
      <c r="CP215" s="559"/>
      <c r="CQ215" s="559"/>
      <c r="CR215" s="559"/>
      <c r="CS215" s="559"/>
      <c r="CT215" s="559"/>
      <c r="CU215" s="559"/>
      <c r="CV215" s="559"/>
      <c r="CW215" s="560"/>
      <c r="CX215" s="558">
        <v>2014</v>
      </c>
      <c r="CY215" s="559"/>
      <c r="CZ215" s="559"/>
      <c r="DA215" s="559"/>
      <c r="DB215" s="559"/>
      <c r="DC215" s="559"/>
      <c r="DD215" s="559"/>
      <c r="DE215" s="559"/>
      <c r="DF215" s="559"/>
      <c r="DG215" s="559"/>
      <c r="DH215" s="559"/>
      <c r="DI215" s="560"/>
      <c r="DJ215" s="558">
        <v>2015</v>
      </c>
      <c r="DK215" s="559"/>
      <c r="DL215" s="559"/>
      <c r="DM215" s="559"/>
      <c r="DN215" s="559"/>
      <c r="DO215" s="559"/>
      <c r="DP215" s="559"/>
      <c r="DQ215" s="559"/>
      <c r="DR215" s="559"/>
      <c r="DS215" s="559"/>
      <c r="DT215" s="559"/>
      <c r="DU215" s="560"/>
    </row>
    <row r="216" spans="1:175">
      <c r="E216" s="561"/>
      <c r="F216" s="75" t="s">
        <v>567</v>
      </c>
      <c r="G216" s="76" t="s">
        <v>568</v>
      </c>
      <c r="H216" s="76" t="s">
        <v>569</v>
      </c>
      <c r="I216" s="76" t="s">
        <v>570</v>
      </c>
      <c r="J216" s="76" t="s">
        <v>571</v>
      </c>
      <c r="K216" s="76" t="s">
        <v>572</v>
      </c>
      <c r="L216" s="76" t="s">
        <v>573</v>
      </c>
      <c r="M216" s="76" t="s">
        <v>574</v>
      </c>
      <c r="N216" s="76" t="s">
        <v>575</v>
      </c>
      <c r="O216" s="76" t="s">
        <v>576</v>
      </c>
      <c r="P216" s="76" t="s">
        <v>577</v>
      </c>
      <c r="Q216" s="77" t="s">
        <v>578</v>
      </c>
      <c r="R216" s="75" t="s">
        <v>579</v>
      </c>
      <c r="S216" s="76" t="s">
        <v>580</v>
      </c>
      <c r="T216" s="76" t="s">
        <v>581</v>
      </c>
      <c r="U216" s="76" t="s">
        <v>582</v>
      </c>
      <c r="V216" s="76" t="s">
        <v>583</v>
      </c>
      <c r="W216" s="76" t="s">
        <v>584</v>
      </c>
      <c r="X216" s="76" t="s">
        <v>585</v>
      </c>
      <c r="Y216" s="76" t="s">
        <v>586</v>
      </c>
      <c r="Z216" s="76" t="s">
        <v>587</v>
      </c>
      <c r="AA216" s="76" t="s">
        <v>588</v>
      </c>
      <c r="AB216" s="76" t="s">
        <v>589</v>
      </c>
      <c r="AC216" s="77" t="s">
        <v>590</v>
      </c>
      <c r="AD216" s="75" t="s">
        <v>591</v>
      </c>
      <c r="AE216" s="76" t="s">
        <v>592</v>
      </c>
      <c r="AF216" s="76" t="s">
        <v>593</v>
      </c>
      <c r="AG216" s="76" t="s">
        <v>594</v>
      </c>
      <c r="AH216" s="76" t="s">
        <v>595</v>
      </c>
      <c r="AI216" s="76" t="s">
        <v>596</v>
      </c>
      <c r="AJ216" s="76" t="s">
        <v>597</v>
      </c>
      <c r="AK216" s="76" t="s">
        <v>598</v>
      </c>
      <c r="AL216" s="76" t="s">
        <v>599</v>
      </c>
      <c r="AM216" s="76" t="s">
        <v>600</v>
      </c>
      <c r="AN216" s="76" t="s">
        <v>601</v>
      </c>
      <c r="AO216" s="77" t="s">
        <v>602</v>
      </c>
      <c r="AP216" s="75" t="s">
        <v>603</v>
      </c>
      <c r="AQ216" s="76" t="s">
        <v>604</v>
      </c>
      <c r="AR216" s="76" t="s">
        <v>605</v>
      </c>
      <c r="AS216" s="76" t="s">
        <v>606</v>
      </c>
      <c r="AT216" s="76" t="s">
        <v>607</v>
      </c>
      <c r="AU216" s="76" t="s">
        <v>608</v>
      </c>
      <c r="AV216" s="76" t="s">
        <v>609</v>
      </c>
      <c r="AW216" s="76" t="s">
        <v>610</v>
      </c>
      <c r="AX216" s="76" t="s">
        <v>611</v>
      </c>
      <c r="AY216" s="76" t="s">
        <v>612</v>
      </c>
      <c r="AZ216" s="76" t="s">
        <v>613</v>
      </c>
      <c r="BA216" s="77" t="s">
        <v>614</v>
      </c>
      <c r="BB216" s="75" t="s">
        <v>615</v>
      </c>
      <c r="BC216" s="76" t="s">
        <v>616</v>
      </c>
      <c r="BD216" s="76" t="s">
        <v>617</v>
      </c>
      <c r="BE216" s="76" t="s">
        <v>618</v>
      </c>
      <c r="BF216" s="76" t="s">
        <v>619</v>
      </c>
      <c r="BG216" s="76" t="s">
        <v>620</v>
      </c>
      <c r="BH216" s="76" t="s">
        <v>621</v>
      </c>
      <c r="BI216" s="76" t="s">
        <v>622</v>
      </c>
      <c r="BJ216" s="76" t="s">
        <v>623</v>
      </c>
      <c r="BK216" s="76" t="s">
        <v>624</v>
      </c>
      <c r="BL216" s="76" t="s">
        <v>625</v>
      </c>
      <c r="BM216" s="77" t="s">
        <v>626</v>
      </c>
      <c r="BN216" s="75" t="s">
        <v>627</v>
      </c>
      <c r="BO216" s="76" t="s">
        <v>628</v>
      </c>
      <c r="BP216" s="76" t="s">
        <v>629</v>
      </c>
      <c r="BQ216" s="76" t="s">
        <v>630</v>
      </c>
      <c r="BR216" s="76" t="s">
        <v>631</v>
      </c>
      <c r="BS216" s="76" t="s">
        <v>632</v>
      </c>
      <c r="BT216" s="76" t="s">
        <v>633</v>
      </c>
      <c r="BU216" s="76" t="s">
        <v>634</v>
      </c>
      <c r="BV216" s="76" t="s">
        <v>635</v>
      </c>
      <c r="BW216" s="76" t="s">
        <v>636</v>
      </c>
      <c r="BX216" s="76" t="s">
        <v>637</v>
      </c>
      <c r="BY216" s="77" t="s">
        <v>638</v>
      </c>
      <c r="BZ216" s="76" t="s">
        <v>639</v>
      </c>
      <c r="CA216" s="76" t="s">
        <v>640</v>
      </c>
      <c r="CB216" s="76" t="s">
        <v>641</v>
      </c>
      <c r="CC216" s="76" t="s">
        <v>642</v>
      </c>
      <c r="CD216" s="76" t="s">
        <v>643</v>
      </c>
      <c r="CE216" s="76" t="s">
        <v>644</v>
      </c>
      <c r="CF216" s="76" t="s">
        <v>645</v>
      </c>
      <c r="CG216" s="76" t="s">
        <v>646</v>
      </c>
      <c r="CH216" s="76" t="s">
        <v>647</v>
      </c>
      <c r="CI216" s="76" t="s">
        <v>648</v>
      </c>
      <c r="CJ216" s="76" t="s">
        <v>649</v>
      </c>
      <c r="CK216" s="76" t="s">
        <v>650</v>
      </c>
      <c r="CL216" s="75" t="s">
        <v>651</v>
      </c>
      <c r="CM216" s="76" t="s">
        <v>652</v>
      </c>
      <c r="CN216" s="76" t="s">
        <v>653</v>
      </c>
      <c r="CO216" s="76" t="s">
        <v>654</v>
      </c>
      <c r="CP216" s="76" t="s">
        <v>655</v>
      </c>
      <c r="CQ216" s="76" t="s">
        <v>656</v>
      </c>
      <c r="CR216" s="76" t="s">
        <v>657</v>
      </c>
      <c r="CS216" s="76" t="s">
        <v>658</v>
      </c>
      <c r="CT216" s="76" t="s">
        <v>659</v>
      </c>
      <c r="CU216" s="76" t="s">
        <v>660</v>
      </c>
      <c r="CV216" s="76" t="s">
        <v>661</v>
      </c>
      <c r="CW216" s="77" t="s">
        <v>662</v>
      </c>
      <c r="CX216" s="75" t="s">
        <v>663</v>
      </c>
      <c r="CY216" s="76" t="s">
        <v>664</v>
      </c>
      <c r="CZ216" s="76" t="s">
        <v>665</v>
      </c>
      <c r="DA216" s="76" t="s">
        <v>666</v>
      </c>
      <c r="DB216" s="76" t="s">
        <v>667</v>
      </c>
      <c r="DC216" s="76" t="s">
        <v>668</v>
      </c>
      <c r="DD216" s="76" t="s">
        <v>669</v>
      </c>
      <c r="DE216" s="76" t="s">
        <v>670</v>
      </c>
      <c r="DF216" s="76" t="s">
        <v>671</v>
      </c>
      <c r="DG216" s="76" t="s">
        <v>672</v>
      </c>
      <c r="DH216" s="76" t="s">
        <v>673</v>
      </c>
      <c r="DI216" s="77" t="s">
        <v>674</v>
      </c>
      <c r="DJ216" s="75" t="s">
        <v>675</v>
      </c>
      <c r="DK216" s="76" t="s">
        <v>676</v>
      </c>
      <c r="DL216" s="76" t="s">
        <v>677</v>
      </c>
      <c r="DM216" s="76" t="s">
        <v>678</v>
      </c>
      <c r="DN216" s="76" t="s">
        <v>679</v>
      </c>
      <c r="DO216" s="76" t="s">
        <v>680</v>
      </c>
      <c r="DP216" s="76" t="s">
        <v>681</v>
      </c>
      <c r="DQ216" s="76" t="s">
        <v>682</v>
      </c>
      <c r="DR216" s="76" t="s">
        <v>683</v>
      </c>
      <c r="DS216" s="76" t="s">
        <v>684</v>
      </c>
      <c r="DT216" s="76" t="s">
        <v>685</v>
      </c>
      <c r="DU216" s="77" t="s">
        <v>686</v>
      </c>
      <c r="DV216" s="42" t="s">
        <v>717</v>
      </c>
      <c r="DW216" s="42" t="s">
        <v>718</v>
      </c>
      <c r="DX216" s="42" t="s">
        <v>719</v>
      </c>
      <c r="DY216" s="42" t="s">
        <v>720</v>
      </c>
      <c r="DZ216" s="42" t="s">
        <v>721</v>
      </c>
      <c r="EA216" s="42" t="s">
        <v>722</v>
      </c>
      <c r="EB216" s="42" t="s">
        <v>723</v>
      </c>
      <c r="EC216" s="42" t="s">
        <v>724</v>
      </c>
      <c r="ED216" s="42" t="s">
        <v>725</v>
      </c>
      <c r="EE216" s="42" t="s">
        <v>726</v>
      </c>
      <c r="EF216" s="42" t="s">
        <v>727</v>
      </c>
      <c r="EG216" s="42" t="s">
        <v>728</v>
      </c>
      <c r="EH216" s="393" t="s">
        <v>739</v>
      </c>
      <c r="EI216" s="393" t="s">
        <v>740</v>
      </c>
      <c r="EJ216" s="393" t="s">
        <v>741</v>
      </c>
      <c r="EK216" s="393" t="s">
        <v>742</v>
      </c>
      <c r="EL216" s="393" t="s">
        <v>743</v>
      </c>
      <c r="EM216" s="393" t="s">
        <v>744</v>
      </c>
      <c r="EN216" s="393" t="s">
        <v>745</v>
      </c>
      <c r="EO216" s="393" t="s">
        <v>746</v>
      </c>
      <c r="EP216" s="393" t="s">
        <v>747</v>
      </c>
      <c r="EQ216" s="393" t="s">
        <v>748</v>
      </c>
      <c r="ER216" s="393" t="s">
        <v>749</v>
      </c>
      <c r="ES216" s="393" t="s">
        <v>750</v>
      </c>
      <c r="ET216" s="393" t="s">
        <v>757</v>
      </c>
      <c r="EU216" s="393" t="s">
        <v>758</v>
      </c>
      <c r="EV216" s="393" t="s">
        <v>759</v>
      </c>
      <c r="EW216" s="393" t="s">
        <v>760</v>
      </c>
      <c r="EX216" s="393" t="s">
        <v>761</v>
      </c>
      <c r="EY216" s="393" t="s">
        <v>762</v>
      </c>
      <c r="EZ216" s="393" t="s">
        <v>763</v>
      </c>
      <c r="FA216" s="393" t="s">
        <v>764</v>
      </c>
      <c r="FB216" s="393" t="s">
        <v>765</v>
      </c>
      <c r="FC216" s="393" t="s">
        <v>766</v>
      </c>
      <c r="FD216" s="393" t="s">
        <v>767</v>
      </c>
      <c r="FE216" s="393" t="s">
        <v>768</v>
      </c>
      <c r="FF216" s="393" t="s">
        <v>781</v>
      </c>
      <c r="FG216" s="393" t="s">
        <v>782</v>
      </c>
      <c r="FH216" s="393" t="s">
        <v>783</v>
      </c>
      <c r="FI216" s="393" t="s">
        <v>784</v>
      </c>
      <c r="FJ216" s="393" t="s">
        <v>785</v>
      </c>
      <c r="FK216" s="393" t="s">
        <v>786</v>
      </c>
      <c r="FL216" s="393" t="s">
        <v>787</v>
      </c>
      <c r="FM216" s="393" t="s">
        <v>788</v>
      </c>
      <c r="FN216" s="393" t="s">
        <v>789</v>
      </c>
      <c r="FO216" s="393" t="s">
        <v>790</v>
      </c>
      <c r="FP216" s="393" t="s">
        <v>791</v>
      </c>
      <c r="FQ216" s="393" t="s">
        <v>792</v>
      </c>
      <c r="FS216" s="444"/>
    </row>
    <row r="217" spans="1:175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4">
        <v>60295851.510000005</v>
      </c>
      <c r="EU219" s="404">
        <v>64797597.330000006</v>
      </c>
      <c r="EV219" s="404">
        <v>89261850.609999985</v>
      </c>
      <c r="EW219" s="404">
        <v>97799793.080000013</v>
      </c>
      <c r="EX219" s="404">
        <v>90553351.069999993</v>
      </c>
      <c r="EY219" s="404">
        <v>87503254.430000007</v>
      </c>
      <c r="EZ219" s="404">
        <v>99397799.482830197</v>
      </c>
      <c r="FA219" s="404">
        <v>110357770.3498607</v>
      </c>
      <c r="FB219" s="404">
        <v>102093047.15872496</v>
      </c>
      <c r="FC219" s="404">
        <v>95698512.829288453</v>
      </c>
      <c r="FD219" s="404">
        <v>82424829.046484277</v>
      </c>
      <c r="FE219" s="404">
        <v>98213532.499999791</v>
      </c>
      <c r="FF219" s="445">
        <v>66350952.18828921</v>
      </c>
      <c r="FG219" s="445">
        <v>66472981.942397669</v>
      </c>
      <c r="FH219" s="445">
        <v>93002932.070390105</v>
      </c>
      <c r="FI219" s="445">
        <v>102239095.0183354</v>
      </c>
      <c r="FJ219" s="445">
        <v>94699693.448994264</v>
      </c>
      <c r="FK219" s="445">
        <v>91492613.061199591</v>
      </c>
      <c r="FL219" s="445">
        <v>112923554.20062464</v>
      </c>
      <c r="FM219" s="445">
        <v>113143297.77609694</v>
      </c>
      <c r="FN219" s="445">
        <v>103026361.00846727</v>
      </c>
      <c r="FO219" s="445">
        <v>93606542.740928665</v>
      </c>
      <c r="FP219" s="445">
        <v>84962600.741949648</v>
      </c>
      <c r="FQ219" s="445">
        <v>93740018.517628297</v>
      </c>
    </row>
    <row r="220" spans="1:175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3652899.4658571309</v>
      </c>
      <c r="FG220" s="41">
        <v>8022759.2428831048</v>
      </c>
      <c r="FH220" s="41">
        <v>9018350.9541227892</v>
      </c>
      <c r="FI220" s="41">
        <v>8926461.2777662594</v>
      </c>
      <c r="FJ220" s="41">
        <v>9315147.433583051</v>
      </c>
      <c r="FK220" s="41">
        <v>9445633.2450224012</v>
      </c>
      <c r="FL220" s="41">
        <v>10205937.595552938</v>
      </c>
      <c r="FM220" s="41">
        <v>10123433.296484467</v>
      </c>
      <c r="FN220" s="41">
        <v>8654681.0736119766</v>
      </c>
      <c r="FO220" s="41">
        <v>9265743.8443470914</v>
      </c>
      <c r="FP220" s="41">
        <v>9472310.2676257156</v>
      </c>
      <c r="FQ220" s="41">
        <v>16517258.248203963</v>
      </c>
    </row>
    <row r="221" spans="1:175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  <c r="FF221" s="41">
        <v>500908.59191930544</v>
      </c>
      <c r="FG221" s="41">
        <v>1728915.0269937462</v>
      </c>
      <c r="FH221" s="41">
        <v>23447142.113813326</v>
      </c>
      <c r="FI221" s="41">
        <v>19058662.940981645</v>
      </c>
      <c r="FJ221" s="41">
        <v>3928923.943707631</v>
      </c>
      <c r="FK221" s="41">
        <v>3583416.79871599</v>
      </c>
      <c r="FL221" s="41">
        <v>9457741.7110314406</v>
      </c>
      <c r="FM221" s="41">
        <v>3685443.6740218182</v>
      </c>
      <c r="FN221" s="41">
        <v>2555024.3067054795</v>
      </c>
      <c r="FO221" s="41">
        <v>1099414.7304318412</v>
      </c>
      <c r="FP221" s="41">
        <v>845177.9860074711</v>
      </c>
      <c r="FQ221" s="41">
        <v>1909016.1037912499</v>
      </c>
    </row>
    <row r="222" spans="1:175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96249.011498017411</v>
      </c>
      <c r="FG222" s="41">
        <v>120146.26435610364</v>
      </c>
      <c r="FH222" s="41">
        <v>209659.82846113556</v>
      </c>
      <c r="FI222" s="41">
        <v>121004.94574649777</v>
      </c>
      <c r="FJ222" s="41">
        <v>148306.47673758463</v>
      </c>
      <c r="FK222" s="41">
        <v>125876.16325992151</v>
      </c>
      <c r="FL222" s="41">
        <v>117744.05088327322</v>
      </c>
      <c r="FM222" s="41">
        <v>225326.54561980077</v>
      </c>
      <c r="FN222" s="41">
        <v>152871.08637766869</v>
      </c>
      <c r="FO222" s="41">
        <v>160318.03884668328</v>
      </c>
      <c r="FP222" s="41">
        <v>199620.99998265412</v>
      </c>
      <c r="FQ222" s="41">
        <v>215373.43170328165</v>
      </c>
    </row>
    <row r="223" spans="1:175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45311601.807667136</v>
      </c>
      <c r="FG223" s="41">
        <v>40500051.462180994</v>
      </c>
      <c r="FH223" s="41">
        <v>42870636.919596858</v>
      </c>
      <c r="FI223" s="41">
        <v>53276433.401434079</v>
      </c>
      <c r="FJ223" s="41">
        <v>56985238.833298653</v>
      </c>
      <c r="FK223" s="41">
        <v>55167623.820050351</v>
      </c>
      <c r="FL223" s="41">
        <v>65608697.993098289</v>
      </c>
      <c r="FM223" s="41">
        <v>67890311.931873396</v>
      </c>
      <c r="FN223" s="41">
        <v>60747048.514482975</v>
      </c>
      <c r="FO223" s="41">
        <v>60046360.535818934</v>
      </c>
      <c r="FP223" s="41">
        <v>50598426.623042114</v>
      </c>
      <c r="FQ223" s="41">
        <v>53857666.854387075</v>
      </c>
    </row>
    <row r="224" spans="1:175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14802170.311350815</v>
      </c>
      <c r="FG224" s="41">
        <v>13752359.500128729</v>
      </c>
      <c r="FH224" s="41">
        <v>14470500.314192023</v>
      </c>
      <c r="FI224" s="41">
        <v>17858265.727539971</v>
      </c>
      <c r="FJ224" s="41">
        <v>20891088.570270509</v>
      </c>
      <c r="FK224" s="41">
        <v>19831823.145692226</v>
      </c>
      <c r="FL224" s="41">
        <v>23769815.550913561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1250663.2131918652</v>
      </c>
      <c r="FG225" s="41">
        <v>1722044.3795582296</v>
      </c>
      <c r="FH225" s="41">
        <v>2286430.5633199541</v>
      </c>
      <c r="FI225" s="41">
        <v>2249532.0000431878</v>
      </c>
      <c r="FJ225" s="41">
        <v>2665262.8330451054</v>
      </c>
      <c r="FK225" s="41">
        <v>2391366.8090515211</v>
      </c>
      <c r="FL225" s="41">
        <v>2874823.7198000303</v>
      </c>
      <c r="FM225" s="41">
        <v>2933294.0296025178</v>
      </c>
      <c r="FN225" s="41">
        <v>2262615.8066899669</v>
      </c>
      <c r="FO225" s="41">
        <v>2636954.7714076787</v>
      </c>
      <c r="FP225" s="41">
        <v>1951413.1885985387</v>
      </c>
      <c r="FQ225" s="41">
        <v>2103744.048736285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736459.78680493729</v>
      </c>
      <c r="FG227" s="41">
        <v>626706.06629676104</v>
      </c>
      <c r="FH227" s="41">
        <v>700211.37688401563</v>
      </c>
      <c r="FI227" s="41">
        <v>748734.72482375184</v>
      </c>
      <c r="FJ227" s="41">
        <v>765725.35835171666</v>
      </c>
      <c r="FK227" s="41">
        <v>946873.07940717612</v>
      </c>
      <c r="FL227" s="41">
        <v>888793.57934511674</v>
      </c>
      <c r="FM227" s="41">
        <v>870924.50475999399</v>
      </c>
      <c r="FN227" s="41">
        <v>832973.33566279267</v>
      </c>
      <c r="FO227" s="41">
        <v>803878.4523988833</v>
      </c>
      <c r="FP227" s="41">
        <v>818938.53619078756</v>
      </c>
      <c r="FQ227" s="41">
        <v>861325.43572509091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4">
        <v>14572676.99</v>
      </c>
      <c r="EU228" s="404">
        <v>36938118.07</v>
      </c>
      <c r="EV228" s="404">
        <v>43053255.970000006</v>
      </c>
      <c r="EW228" s="404">
        <v>41029948.000000007</v>
      </c>
      <c r="EX228" s="404">
        <v>40388291.549999997</v>
      </c>
      <c r="EY228" s="404">
        <v>42077356.240000002</v>
      </c>
      <c r="EZ228" s="404">
        <v>46362054.926801726</v>
      </c>
      <c r="FA228" s="404">
        <v>45724084.253699668</v>
      </c>
      <c r="FB228" s="404">
        <v>41947258.969554022</v>
      </c>
      <c r="FC228" s="404">
        <v>44433442.802094914</v>
      </c>
      <c r="FD228" s="404">
        <v>45788790.684398532</v>
      </c>
      <c r="FE228" s="404">
        <v>79938550.463845864</v>
      </c>
      <c r="FF228" s="445">
        <v>14755895.780545458</v>
      </c>
      <c r="FG228" s="445">
        <v>37403451.017929606</v>
      </c>
      <c r="FH228" s="445">
        <v>43601797.580043353</v>
      </c>
      <c r="FI228" s="445">
        <v>41553058.121337146</v>
      </c>
      <c r="FJ228" s="445">
        <v>40898605.146830343</v>
      </c>
      <c r="FK228" s="445">
        <v>42603078.705825843</v>
      </c>
      <c r="FL228" s="445">
        <v>46250891.035691187</v>
      </c>
      <c r="FM228" s="445">
        <v>46210377.052519538</v>
      </c>
      <c r="FN228" s="445">
        <v>42496040.115985423</v>
      </c>
      <c r="FO228" s="445">
        <v>48421361.70604302</v>
      </c>
      <c r="FP228" s="445">
        <v>45532452.215976171</v>
      </c>
      <c r="FQ228" s="445">
        <v>81297365.468062162</v>
      </c>
    </row>
    <row r="229" spans="1:174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9127432.1840227619</v>
      </c>
      <c r="FG229" s="41">
        <v>22757066.487967167</v>
      </c>
      <c r="FH229" s="41">
        <v>26489853.50225101</v>
      </c>
      <c r="FI229" s="41">
        <v>25260565.437348519</v>
      </c>
      <c r="FJ229" s="41">
        <v>24837700.78348216</v>
      </c>
      <c r="FK229" s="41">
        <v>25522109.790882807</v>
      </c>
      <c r="FL229" s="41">
        <v>27482444.037160631</v>
      </c>
      <c r="FM229" s="41">
        <v>27431759.977263737</v>
      </c>
      <c r="FN229" s="41">
        <v>25758654.549990863</v>
      </c>
      <c r="FO229" s="41">
        <v>29909297.679381389</v>
      </c>
      <c r="FP229" s="41">
        <v>28126522.515346657</v>
      </c>
      <c r="FQ229" s="41">
        <v>48976990.327575065</v>
      </c>
    </row>
    <row r="230" spans="1:174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4949664.4366387613</v>
      </c>
      <c r="FG230" s="41">
        <v>12811801.099004392</v>
      </c>
      <c r="FH230" s="41">
        <v>14869363.320545932</v>
      </c>
      <c r="FI230" s="41">
        <v>14198899.515922202</v>
      </c>
      <c r="FJ230" s="41">
        <v>14065277.256726971</v>
      </c>
      <c r="FK230" s="41">
        <v>15027164.196316766</v>
      </c>
      <c r="FL230" s="41">
        <v>16394230.760278165</v>
      </c>
      <c r="FM230" s="41">
        <v>16398511.128757462</v>
      </c>
      <c r="FN230" s="41">
        <v>14604885.136878882</v>
      </c>
      <c r="FO230" s="41">
        <v>16272112.902301818</v>
      </c>
      <c r="FP230" s="41">
        <v>15429290.637964325</v>
      </c>
      <c r="FQ230" s="41">
        <v>28597997.946427643</v>
      </c>
    </row>
    <row r="231" spans="1:174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351859.53156741383</v>
      </c>
      <c r="FG231" s="41">
        <v>923569.68270678399</v>
      </c>
      <c r="FH231" s="41">
        <v>1073402.2178698475</v>
      </c>
      <c r="FI231" s="41">
        <v>996973.05599738541</v>
      </c>
      <c r="FJ231" s="41">
        <v>987534.50739325164</v>
      </c>
      <c r="FK231" s="41">
        <v>1050381.0843362929</v>
      </c>
      <c r="FL231" s="41">
        <v>1142926.9664523243</v>
      </c>
      <c r="FM231" s="41">
        <v>1148438.0865313176</v>
      </c>
      <c r="FN231" s="41">
        <v>1042336.9826976907</v>
      </c>
      <c r="FO231" s="41">
        <v>1170445.1852002153</v>
      </c>
      <c r="FP231" s="41">
        <v>1112642.8807910515</v>
      </c>
      <c r="FQ231" s="41">
        <v>2066334.3255100392</v>
      </c>
    </row>
    <row r="232" spans="1:174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326939.62831652147</v>
      </c>
      <c r="FG232" s="41">
        <v>911013.74825126899</v>
      </c>
      <c r="FH232" s="41">
        <v>1169178.5393765648</v>
      </c>
      <c r="FI232" s="41">
        <v>1096620.1120690373</v>
      </c>
      <c r="FJ232" s="41">
        <v>1008092.5992279621</v>
      </c>
      <c r="FK232" s="41">
        <v>1003423.6342899711</v>
      </c>
      <c r="FL232" s="41">
        <v>1231289.271800064</v>
      </c>
      <c r="FM232" s="41">
        <v>1231667.8599670264</v>
      </c>
      <c r="FN232" s="41">
        <v>1090163.4464179957</v>
      </c>
      <c r="FO232" s="41">
        <v>1069505.9391595994</v>
      </c>
      <c r="FP232" s="41">
        <v>863996.18187413388</v>
      </c>
      <c r="FQ232" s="41">
        <v>1656042.8685494228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4">
        <v>785627.23999999987</v>
      </c>
      <c r="EU233" s="404">
        <v>993423.94</v>
      </c>
      <c r="EV233" s="404">
        <v>1089343.29</v>
      </c>
      <c r="EW233" s="404">
        <v>1198538.77</v>
      </c>
      <c r="EX233" s="404">
        <v>1382138.7799999998</v>
      </c>
      <c r="EY233" s="404">
        <v>1539773.02</v>
      </c>
      <c r="EZ233" s="404">
        <v>1993333.2050530105</v>
      </c>
      <c r="FA233" s="404">
        <v>2094009.8411112905</v>
      </c>
      <c r="FB233" s="404">
        <v>1758705.3100069393</v>
      </c>
      <c r="FC233" s="404">
        <v>1756312.8353634721</v>
      </c>
      <c r="FD233" s="404">
        <v>1538063.0039378535</v>
      </c>
      <c r="FE233" s="404">
        <v>1571199.152751297</v>
      </c>
      <c r="FF233" s="445">
        <v>685138.90036642621</v>
      </c>
      <c r="FG233" s="445">
        <v>871672.04535604198</v>
      </c>
      <c r="FH233" s="445">
        <v>947520.73643311416</v>
      </c>
      <c r="FI233" s="445">
        <v>1037067.5822273893</v>
      </c>
      <c r="FJ233" s="445">
        <v>1197898.4298929251</v>
      </c>
      <c r="FK233" s="445">
        <v>1410094.209853129</v>
      </c>
      <c r="FL233" s="445">
        <v>1787620.5734576886</v>
      </c>
      <c r="FM233" s="445">
        <v>1693345.6465282508</v>
      </c>
      <c r="FN233" s="445">
        <v>1380625.1787412395</v>
      </c>
      <c r="FO233" s="445">
        <v>1333417.9608404613</v>
      </c>
      <c r="FP233" s="445">
        <v>1126294.7115248898</v>
      </c>
      <c r="FQ233" s="445">
        <v>1238030.6502392469</v>
      </c>
    </row>
    <row r="234" spans="1:174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464997.13576608867</v>
      </c>
      <c r="FG234" s="41">
        <v>561995.69603801146</v>
      </c>
      <c r="FH234" s="41">
        <v>653014.54830777051</v>
      </c>
      <c r="FI234" s="41">
        <v>735641.52947990969</v>
      </c>
      <c r="FJ234" s="41">
        <v>835903.95640369598</v>
      </c>
      <c r="FK234" s="41">
        <v>942151.95942995627</v>
      </c>
      <c r="FL234" s="41">
        <v>1007173.5099397091</v>
      </c>
      <c r="FM234" s="41">
        <v>876038.53588433319</v>
      </c>
      <c r="FN234" s="41">
        <v>760800.82262675336</v>
      </c>
      <c r="FO234" s="41">
        <v>806777.9331053457</v>
      </c>
      <c r="FP234" s="41">
        <v>674208.06222795055</v>
      </c>
      <c r="FQ234" s="41">
        <v>759275.58794469247</v>
      </c>
    </row>
    <row r="235" spans="1:174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99742.399316498544</v>
      </c>
      <c r="FG235" s="41">
        <v>116770.40580909733</v>
      </c>
      <c r="FH235" s="41">
        <v>128930.70403975334</v>
      </c>
      <c r="FI235" s="41">
        <v>115041.35935122269</v>
      </c>
      <c r="FJ235" s="41">
        <v>112488.35505639648</v>
      </c>
      <c r="FK235" s="41">
        <v>124071.82408811898</v>
      </c>
      <c r="FL235" s="41">
        <v>123048.60477569235</v>
      </c>
      <c r="FM235" s="41">
        <v>85238.382188353047</v>
      </c>
      <c r="FN235" s="41">
        <v>105584.03993960534</v>
      </c>
      <c r="FO235" s="41">
        <v>112222.45958703337</v>
      </c>
      <c r="FP235" s="41">
        <v>124842.67328687879</v>
      </c>
      <c r="FQ235" s="41">
        <v>147415.29633242387</v>
      </c>
    </row>
    <row r="236" spans="1:174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22028.059003534945</v>
      </c>
      <c r="FG236" s="41">
        <v>24898.816007421276</v>
      </c>
      <c r="FH236" s="41">
        <v>30917.459715251316</v>
      </c>
      <c r="FI236" s="41">
        <v>45958.24984151221</v>
      </c>
      <c r="FJ236" s="41">
        <v>74634.132786773087</v>
      </c>
      <c r="FK236" s="41">
        <v>156976.47692364466</v>
      </c>
      <c r="FL236" s="41">
        <v>360646.99185008102</v>
      </c>
      <c r="FM236" s="41">
        <v>433674.25705057522</v>
      </c>
      <c r="FN236" s="41">
        <v>239040.12329734358</v>
      </c>
      <c r="FO236" s="41">
        <v>121211.46209198405</v>
      </c>
      <c r="FP236" s="41">
        <v>78146.125782532647</v>
      </c>
      <c r="FQ236" s="41">
        <v>30050.381905864346</v>
      </c>
    </row>
    <row r="237" spans="1:174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98371.306280303921</v>
      </c>
      <c r="FG237" s="41">
        <v>168007.12750151192</v>
      </c>
      <c r="FH237" s="41">
        <v>134658.02437033894</v>
      </c>
      <c r="FI237" s="41">
        <v>140426.44355474488</v>
      </c>
      <c r="FJ237" s="41">
        <v>174871.9856460595</v>
      </c>
      <c r="FK237" s="41">
        <v>186893.94941140892</v>
      </c>
      <c r="FL237" s="41">
        <v>296751.46689220611</v>
      </c>
      <c r="FM237" s="41">
        <v>298394.47140498931</v>
      </c>
      <c r="FN237" s="41">
        <v>275200.19287753734</v>
      </c>
      <c r="FO237" s="41">
        <v>293206.10605609807</v>
      </c>
      <c r="FP237" s="41">
        <v>249097.85022752784</v>
      </c>
      <c r="FQ237" s="41">
        <v>301289.38405626634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4">
        <v>1774503.5699999998</v>
      </c>
      <c r="EU238" s="404">
        <v>1885893.46</v>
      </c>
      <c r="EV238" s="404">
        <v>2001213.06</v>
      </c>
      <c r="EW238" s="404">
        <v>2389766.7799999998</v>
      </c>
      <c r="EX238" s="404">
        <v>1530724.52</v>
      </c>
      <c r="EY238" s="404">
        <v>2860047.35</v>
      </c>
      <c r="EZ238" s="404">
        <v>2768982.89609381</v>
      </c>
      <c r="FA238" s="404">
        <v>1878964.846878767</v>
      </c>
      <c r="FB238" s="404">
        <v>2453431.0919642458</v>
      </c>
      <c r="FC238" s="404">
        <v>3062621.0292725526</v>
      </c>
      <c r="FD238" s="404">
        <v>2157522.0205821833</v>
      </c>
      <c r="FE238" s="404">
        <v>3364455.4723437326</v>
      </c>
      <c r="FF238" s="445">
        <v>1855218.8805594216</v>
      </c>
      <c r="FG238" s="445">
        <v>2208648.6574377147</v>
      </c>
      <c r="FH238" s="445">
        <v>2160316.8249254846</v>
      </c>
      <c r="FI238" s="445">
        <v>2520043.5685495138</v>
      </c>
      <c r="FJ238" s="445">
        <v>1739522.6622359063</v>
      </c>
      <c r="FK238" s="445">
        <v>4191264.8807704193</v>
      </c>
      <c r="FL238" s="445">
        <v>4295313.9043248156</v>
      </c>
      <c r="FM238" s="445">
        <v>3121689.7252436914</v>
      </c>
      <c r="FN238" s="445">
        <v>3261559.5182261439</v>
      </c>
      <c r="FO238" s="445">
        <v>3840986.6541232523</v>
      </c>
      <c r="FP238" s="445">
        <v>3190232.7257357854</v>
      </c>
      <c r="FQ238" s="445">
        <v>4110831.5851102625</v>
      </c>
      <c r="FR238" s="445"/>
    </row>
    <row r="239" spans="1:174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28875.568564930189</v>
      </c>
      <c r="FG239" s="41">
        <v>44875.572696822826</v>
      </c>
      <c r="FH239" s="41">
        <v>17553.264471099159</v>
      </c>
      <c r="FI239" s="41">
        <v>81053.870902369366</v>
      </c>
      <c r="FJ239" s="41">
        <v>64947.159198093825</v>
      </c>
      <c r="FK239" s="41">
        <v>98839.402416096316</v>
      </c>
      <c r="FL239" s="41">
        <v>101176.66848700779</v>
      </c>
      <c r="FM239" s="41">
        <v>114893.6397654982</v>
      </c>
      <c r="FN239" s="41">
        <v>78717.38222930787</v>
      </c>
      <c r="FO239" s="41">
        <v>56221.257030992005</v>
      </c>
      <c r="FP239" s="41">
        <v>88076.620707315349</v>
      </c>
      <c r="FQ239" s="41">
        <v>145484.93510280762</v>
      </c>
    </row>
    <row r="240" spans="1:174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141562.86831417779</v>
      </c>
      <c r="FG240" s="41">
        <v>163021.84650093986</v>
      </c>
      <c r="FH240" s="41">
        <v>570494.251135453</v>
      </c>
      <c r="FI240" s="41">
        <v>100909.0616336293</v>
      </c>
      <c r="FJ240" s="41">
        <v>333184.98740262783</v>
      </c>
      <c r="FK240" s="41">
        <v>308298.55190374801</v>
      </c>
      <c r="FL240" s="41">
        <v>473869.15255000157</v>
      </c>
      <c r="FM240" s="41">
        <v>445093.96938136074</v>
      </c>
      <c r="FN240" s="41">
        <v>312734.66376085335</v>
      </c>
      <c r="FO240" s="41">
        <v>346211.92821365705</v>
      </c>
      <c r="FP240" s="41">
        <v>294247.80162811856</v>
      </c>
      <c r="FQ240" s="41">
        <v>1068366.9857563796</v>
      </c>
    </row>
    <row r="241" spans="1:174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1444.8261844914489</v>
      </c>
      <c r="FG241" s="41">
        <v>1519.5817736727031</v>
      </c>
      <c r="FH241" s="41">
        <v>4455.1879544738404</v>
      </c>
      <c r="FI241" s="41">
        <v>75608.518103656024</v>
      </c>
      <c r="FJ241" s="41">
        <v>29780.383416976449</v>
      </c>
      <c r="FK241" s="41">
        <v>60781.206435506741</v>
      </c>
      <c r="FL241" s="41">
        <v>5890.087894414899</v>
      </c>
      <c r="FM241" s="41">
        <v>1751.9867714281595</v>
      </c>
      <c r="FN241" s="41">
        <v>2446.6672082865839</v>
      </c>
      <c r="FO241" s="41">
        <v>60827.049648499909</v>
      </c>
      <c r="FP241" s="41">
        <v>37636.346993943822</v>
      </c>
      <c r="FQ241" s="41">
        <v>48130.415128832094</v>
      </c>
    </row>
    <row r="242" spans="1:174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600250.00662963022</v>
      </c>
      <c r="FG242" s="41">
        <v>832616.23371640488</v>
      </c>
      <c r="FH242" s="41">
        <v>755512.04622826516</v>
      </c>
      <c r="FI242" s="41">
        <v>673998.93162518588</v>
      </c>
      <c r="FJ242" s="41">
        <v>713434.71592487569</v>
      </c>
      <c r="FK242" s="41">
        <v>2831748.2291769679</v>
      </c>
      <c r="FL242" s="41">
        <v>2100477.483982163</v>
      </c>
      <c r="FM242" s="41">
        <v>1780126.9889793065</v>
      </c>
      <c r="FN242" s="41">
        <v>2000713.7867204268</v>
      </c>
      <c r="FO242" s="41">
        <v>2058645.1301735207</v>
      </c>
      <c r="FP242" s="41">
        <v>1800739.2961051478</v>
      </c>
      <c r="FQ242" s="41">
        <v>1969458.3354100042</v>
      </c>
    </row>
    <row r="243" spans="1:174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218134.94184724664</v>
      </c>
      <c r="FG243" s="41">
        <v>120673.72328841906</v>
      </c>
      <c r="FH243" s="41">
        <v>296069.04584731226</v>
      </c>
      <c r="FI243" s="41">
        <v>249975.22008841077</v>
      </c>
      <c r="FJ243" s="41">
        <v>279059.36230055097</v>
      </c>
      <c r="FK243" s="41">
        <v>442481.80096478161</v>
      </c>
      <c r="FL243" s="41">
        <v>448323.3190950132</v>
      </c>
      <c r="FM243" s="41">
        <v>382678.38448274112</v>
      </c>
      <c r="FN243" s="41">
        <v>274248.93143325421</v>
      </c>
      <c r="FO243" s="41">
        <v>290652.62179249222</v>
      </c>
      <c r="FP243" s="41">
        <v>246218.50367438857</v>
      </c>
      <c r="FQ243" s="41">
        <v>247376.53787151762</v>
      </c>
    </row>
    <row r="244" spans="1:174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864950.66901894531</v>
      </c>
      <c r="FG244" s="41">
        <v>1045941.6994614557</v>
      </c>
      <c r="FH244" s="41">
        <v>516233.02928888117</v>
      </c>
      <c r="FI244" s="41">
        <v>1338497.966196262</v>
      </c>
      <c r="FJ244" s="41">
        <v>319116.05399278156</v>
      </c>
      <c r="FK244" s="41">
        <v>449115.6898733186</v>
      </c>
      <c r="FL244" s="41">
        <v>1165577.192316215</v>
      </c>
      <c r="FM244" s="41">
        <v>397144.75586335664</v>
      </c>
      <c r="FN244" s="41">
        <v>592698.08687401493</v>
      </c>
      <c r="FO244" s="41">
        <v>1028428.6672640902</v>
      </c>
      <c r="FP244" s="41">
        <v>723314.15662687132</v>
      </c>
      <c r="FQ244" s="41">
        <v>632014.37584072165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4">
        <v>2425520.8099999996</v>
      </c>
      <c r="EU245" s="404">
        <v>1609741.96</v>
      </c>
      <c r="EV245" s="404">
        <v>2046839.3099999998</v>
      </c>
      <c r="EW245" s="404">
        <v>5482431.4299999997</v>
      </c>
      <c r="EX245" s="404">
        <v>2151437.83</v>
      </c>
      <c r="EY245" s="404">
        <v>2740294.16</v>
      </c>
      <c r="EZ245" s="404">
        <v>3610099.6149461018</v>
      </c>
      <c r="FA245" s="404">
        <v>2856432.7673175023</v>
      </c>
      <c r="FB245" s="404">
        <v>38693622.019299239</v>
      </c>
      <c r="FC245" s="404">
        <v>3080614.3453884441</v>
      </c>
      <c r="FD245" s="404">
        <v>2054798.3756645597</v>
      </c>
      <c r="FE245" s="404">
        <v>4981072.0471647922</v>
      </c>
      <c r="FF245" s="445">
        <v>2472817.1107659615</v>
      </c>
      <c r="FG245" s="445">
        <v>1708264.0259820949</v>
      </c>
      <c r="FH245" s="445">
        <v>2148919.5517814872</v>
      </c>
      <c r="FI245" s="445">
        <v>5548847.6983012091</v>
      </c>
      <c r="FJ245" s="445">
        <v>2280721.0376326158</v>
      </c>
      <c r="FK245" s="445">
        <v>2912728.6031032563</v>
      </c>
      <c r="FL245" s="445">
        <v>37135630.113963775</v>
      </c>
      <c r="FM245" s="445">
        <v>3640067.9349820986</v>
      </c>
      <c r="FN245" s="445">
        <v>2890126.2156034028</v>
      </c>
      <c r="FO245" s="445">
        <v>2425421.1272468185</v>
      </c>
      <c r="FP245" s="445">
        <v>3602398.7755843252</v>
      </c>
      <c r="FQ245" s="445">
        <v>4081286.7718351102</v>
      </c>
      <c r="FR245" s="445"/>
    </row>
    <row r="246" spans="1:174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720598.1329269805</v>
      </c>
      <c r="FG246" s="41">
        <v>25448.898323478374</v>
      </c>
      <c r="FH246" s="41">
        <v>201299.63791009565</v>
      </c>
      <c r="FI246" s="41">
        <v>1848204.5293393778</v>
      </c>
      <c r="FJ246" s="41">
        <v>57098.791203728157</v>
      </c>
      <c r="FK246" s="41">
        <v>89935.867369765096</v>
      </c>
      <c r="FL246" s="41">
        <v>33069107.908891369</v>
      </c>
      <c r="FM246" s="41">
        <v>21215.989032920785</v>
      </c>
      <c r="FN246" s="41">
        <v>641038.65966066718</v>
      </c>
      <c r="FO246" s="41">
        <v>29471.377122629176</v>
      </c>
      <c r="FP246" s="41">
        <v>82517.189184354618</v>
      </c>
      <c r="FQ246" s="41">
        <v>1044558.195022619</v>
      </c>
    </row>
    <row r="247" spans="1:174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699783.15376893466</v>
      </c>
      <c r="FG247" s="41">
        <v>899426.22924703988</v>
      </c>
      <c r="FH247" s="41">
        <v>916614.47283246869</v>
      </c>
      <c r="FI247" s="41">
        <v>1065842.153062643</v>
      </c>
      <c r="FJ247" s="41">
        <v>932723.45156571385</v>
      </c>
      <c r="FK247" s="41">
        <v>1216404.1463896362</v>
      </c>
      <c r="FL247" s="41">
        <v>1972486.0112601863</v>
      </c>
      <c r="FM247" s="41">
        <v>1825585.356120175</v>
      </c>
      <c r="FN247" s="41">
        <v>1075914.5570111992</v>
      </c>
      <c r="FO247" s="41">
        <v>1128865.58155773</v>
      </c>
      <c r="FP247" s="41">
        <v>911989.10679554439</v>
      </c>
      <c r="FQ247" s="41">
        <v>1137039.8916399325</v>
      </c>
    </row>
    <row r="248" spans="1:174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149699.17025454235</v>
      </c>
      <c r="FG248" s="41">
        <v>213452.14604030436</v>
      </c>
      <c r="FH248" s="41">
        <v>261210.87519159322</v>
      </c>
      <c r="FI248" s="41">
        <v>316492.92586901254</v>
      </c>
      <c r="FJ248" s="41">
        <v>373921.77889513603</v>
      </c>
      <c r="FK248" s="41">
        <v>500253.90842819522</v>
      </c>
      <c r="FL248" s="41">
        <v>532625.20097478468</v>
      </c>
      <c r="FM248" s="41">
        <v>295413.66008686851</v>
      </c>
      <c r="FN248" s="41">
        <v>343529.18271079258</v>
      </c>
      <c r="FO248" s="41">
        <v>366765.22111832118</v>
      </c>
      <c r="FP248" s="41">
        <v>323565.0330284689</v>
      </c>
      <c r="FQ248" s="41">
        <v>343934.32015595073</v>
      </c>
    </row>
    <row r="249" spans="1:174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902736.65381550393</v>
      </c>
      <c r="FG249" s="41">
        <v>569936.75237127219</v>
      </c>
      <c r="FH249" s="41">
        <v>769794.56584732956</v>
      </c>
      <c r="FI249" s="41">
        <v>2318308.0900301752</v>
      </c>
      <c r="FJ249" s="41">
        <v>916977.01596803789</v>
      </c>
      <c r="FK249" s="41">
        <v>1106134.6809156598</v>
      </c>
      <c r="FL249" s="41">
        <v>1561410.9928374363</v>
      </c>
      <c r="FM249" s="41">
        <v>1497852.9297421344</v>
      </c>
      <c r="FN249" s="41">
        <v>829643.81622074381</v>
      </c>
      <c r="FO249" s="41">
        <v>900318.94744813791</v>
      </c>
      <c r="FP249" s="41">
        <v>2284327.4465759574</v>
      </c>
      <c r="FQ249" s="41">
        <v>1555754.3650166083</v>
      </c>
    </row>
    <row r="250" spans="1:174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74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122332.2402857355</v>
      </c>
      <c r="FG253" s="9">
        <v>56015.006608868236</v>
      </c>
      <c r="FH253" s="9">
        <v>139149.43248455049</v>
      </c>
      <c r="FI253" s="9">
        <v>315693.23519635049</v>
      </c>
      <c r="FJ253" s="9">
        <v>775525.38983070524</v>
      </c>
      <c r="FK253" s="9">
        <v>1688457.7339032646</v>
      </c>
      <c r="FL253" s="9">
        <v>126661.80329058008</v>
      </c>
      <c r="FM253" s="9">
        <v>104377.85625098775</v>
      </c>
      <c r="FN253" s="9">
        <v>644991.41029727901</v>
      </c>
      <c r="FO253" s="9">
        <v>373666.68197151314</v>
      </c>
      <c r="FP253" s="9">
        <v>3007848.3296865965</v>
      </c>
      <c r="FQ253" s="9">
        <v>512189.13373121392</v>
      </c>
    </row>
    <row r="254" spans="1:174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122332.2402857355</v>
      </c>
      <c r="FG254" s="41">
        <v>56015.006608868236</v>
      </c>
      <c r="FH254" s="41">
        <v>139149.43248455049</v>
      </c>
      <c r="FI254" s="41">
        <v>315693.23519635049</v>
      </c>
      <c r="FJ254" s="41">
        <v>775525.38983070524</v>
      </c>
      <c r="FK254" s="41">
        <v>1688457.7339032646</v>
      </c>
      <c r="FL254" s="41">
        <v>126661.80329058008</v>
      </c>
      <c r="FM254" s="41">
        <v>104377.85625098775</v>
      </c>
      <c r="FN254" s="41">
        <v>644991.41029727901</v>
      </c>
      <c r="FO254" s="41">
        <v>373666.68197151314</v>
      </c>
      <c r="FP254" s="41">
        <v>3007848.3296865965</v>
      </c>
      <c r="FQ254" s="41">
        <v>512189.13373121392</v>
      </c>
    </row>
    <row r="255" spans="1:174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74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13900267.095136527</v>
      </c>
      <c r="FG256" s="9">
        <v>1483068.7561633477</v>
      </c>
      <c r="FH256" s="9">
        <v>2311164.8648863789</v>
      </c>
      <c r="FI256" s="9">
        <v>3220925.9094750378</v>
      </c>
      <c r="FJ256" s="9">
        <v>3335426.2947824779</v>
      </c>
      <c r="FK256" s="9">
        <v>2930185.4845741447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7504607.1092792293</v>
      </c>
    </row>
    <row r="257" spans="1:174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13900267.095136527</v>
      </c>
      <c r="FG257" s="41">
        <v>1483068.7561633477</v>
      </c>
      <c r="FH257" s="41">
        <v>2311164.8648863789</v>
      </c>
      <c r="FI257" s="41">
        <v>3220925.9094750378</v>
      </c>
      <c r="FJ257" s="41">
        <v>3335426.2947824779</v>
      </c>
      <c r="FK257" s="41">
        <v>2930185.4845741447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7504607.1092792293</v>
      </c>
    </row>
    <row r="258" spans="1:174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74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  <c r="FF260" s="447">
        <v>24022843.850000001</v>
      </c>
      <c r="FG260" s="447">
        <v>0</v>
      </c>
      <c r="FH260" s="447">
        <v>107399337.39</v>
      </c>
      <c r="FI260" s="447">
        <v>15000000</v>
      </c>
      <c r="FJ260" s="447">
        <v>112000000</v>
      </c>
      <c r="FK260" s="447">
        <v>17000000</v>
      </c>
      <c r="FL260" s="447">
        <v>17000000</v>
      </c>
      <c r="FM260" s="447">
        <v>15000000</v>
      </c>
      <c r="FN260" s="447">
        <v>17000000</v>
      </c>
      <c r="FO260" s="447">
        <v>17000000</v>
      </c>
      <c r="FP260" s="447">
        <v>15000000</v>
      </c>
      <c r="FQ260" s="447">
        <v>13577818.76</v>
      </c>
    </row>
    <row r="261" spans="1:174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13577818.76</v>
      </c>
    </row>
    <row r="263" spans="1:174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74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3">
        <v>36581480.009166665</v>
      </c>
      <c r="EU265" s="403">
        <v>36581480.009166665</v>
      </c>
      <c r="EV265" s="403">
        <v>36581480.009166665</v>
      </c>
      <c r="EW265" s="403">
        <v>36581480.009166665</v>
      </c>
      <c r="EX265" s="403">
        <v>36581480.009166665</v>
      </c>
      <c r="EY265" s="403">
        <v>36581480.009166665</v>
      </c>
      <c r="EZ265" s="403">
        <v>36581480.009166665</v>
      </c>
      <c r="FA265" s="403">
        <v>36581480.009166665</v>
      </c>
      <c r="FB265" s="403">
        <v>42330489.099166654</v>
      </c>
      <c r="FC265" s="403">
        <v>42330489.099166654</v>
      </c>
      <c r="FD265" s="403">
        <v>42330489.099166654</v>
      </c>
      <c r="FE265" s="403">
        <v>42330489.099166654</v>
      </c>
      <c r="FF265" s="403">
        <v>39362332.101666681</v>
      </c>
      <c r="FG265" s="403">
        <v>39125646.701666676</v>
      </c>
      <c r="FH265" s="403">
        <v>39113380.221666679</v>
      </c>
      <c r="FI265" s="403">
        <v>39105431.161666669</v>
      </c>
      <c r="FJ265" s="403">
        <v>39107573.981666677</v>
      </c>
      <c r="FK265" s="403">
        <v>41935580.18166668</v>
      </c>
      <c r="FL265" s="403">
        <v>39107470.111666672</v>
      </c>
      <c r="FM265" s="403">
        <v>39093383.891666673</v>
      </c>
      <c r="FN265" s="403">
        <v>39030288.911666676</v>
      </c>
      <c r="FO265" s="403">
        <v>39107584.94166667</v>
      </c>
      <c r="FP265" s="403">
        <v>39107395.941666678</v>
      </c>
      <c r="FQ265" s="403">
        <v>38863330.00166668</v>
      </c>
      <c r="FR265" s="403">
        <v>472059398.15000004</v>
      </c>
    </row>
    <row r="266" spans="1:174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74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74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74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74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3">
        <v>1045765.8483333333</v>
      </c>
      <c r="EU271" s="403">
        <v>1045765.8483333333</v>
      </c>
      <c r="EV271" s="403">
        <v>1045765.8483333333</v>
      </c>
      <c r="EW271" s="403">
        <v>1064654.7372222226</v>
      </c>
      <c r="EX271" s="403">
        <v>1064654.7372222226</v>
      </c>
      <c r="EY271" s="403">
        <v>1064654.7372222226</v>
      </c>
      <c r="EZ271" s="403">
        <v>1064654.7372222226</v>
      </c>
      <c r="FA271" s="403">
        <v>1064654.7372222226</v>
      </c>
      <c r="FB271" s="403">
        <v>1064654.7372222201</v>
      </c>
      <c r="FC271" s="403">
        <v>1064654.7372222201</v>
      </c>
      <c r="FD271" s="403">
        <v>1064654.7372222226</v>
      </c>
      <c r="FE271" s="403">
        <v>1608087.7372222189</v>
      </c>
      <c r="FF271" s="403">
        <v>1281057.9508333332</v>
      </c>
      <c r="FG271" s="403">
        <v>1323983.3608333331</v>
      </c>
      <c r="FH271" s="403">
        <v>1260740.2808333333</v>
      </c>
      <c r="FI271" s="403">
        <v>1247473.6108333331</v>
      </c>
      <c r="FJ271" s="403">
        <v>1248015.2908333333</v>
      </c>
      <c r="FK271" s="403">
        <v>1249948.9408333332</v>
      </c>
      <c r="FL271" s="403">
        <v>1249158.6208333333</v>
      </c>
      <c r="FM271" s="403">
        <v>1249158.6208333333</v>
      </c>
      <c r="FN271" s="403">
        <v>1249658.6108333331</v>
      </c>
      <c r="FO271" s="403">
        <v>1239658.6108333331</v>
      </c>
      <c r="FP271" s="403">
        <v>1238097.2408333332</v>
      </c>
      <c r="FQ271" s="403">
        <v>1235674.3108333333</v>
      </c>
      <c r="FR271" s="403">
        <v>15072625.449999999</v>
      </c>
    </row>
    <row r="272" spans="1:174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74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74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74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74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74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74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3">
        <v>2429373.3213333334</v>
      </c>
      <c r="EU279" s="403">
        <v>2429373.3213333334</v>
      </c>
      <c r="EV279" s="403">
        <v>2429373.3213333334</v>
      </c>
      <c r="EW279" s="403">
        <v>2429373.3213333334</v>
      </c>
      <c r="EX279" s="403">
        <v>2429373.3213333334</v>
      </c>
      <c r="EY279" s="403">
        <v>2429373.3213333334</v>
      </c>
      <c r="EZ279" s="403">
        <v>3644059.9819999994</v>
      </c>
      <c r="FA279" s="403">
        <v>3644059.9819999994</v>
      </c>
      <c r="FB279" s="403">
        <v>4454463.4019999988</v>
      </c>
      <c r="FC279" s="403">
        <v>4454463.4019999988</v>
      </c>
      <c r="FD279" s="403">
        <v>4454463.4019999988</v>
      </c>
      <c r="FE279" s="403">
        <v>4454463.4019999988</v>
      </c>
      <c r="FF279" s="403">
        <v>3067786.435833334</v>
      </c>
      <c r="FG279" s="403">
        <v>3019826.0658333339</v>
      </c>
      <c r="FH279" s="403">
        <v>3058309.8858333337</v>
      </c>
      <c r="FI279" s="403">
        <v>3046755.8058333341</v>
      </c>
      <c r="FJ279" s="403">
        <v>3057105.8058333341</v>
      </c>
      <c r="FK279" s="403">
        <v>3056755.8058333341</v>
      </c>
      <c r="FL279" s="403">
        <v>3059180.8058333341</v>
      </c>
      <c r="FM279" s="403">
        <v>3059180.8058333341</v>
      </c>
      <c r="FN279" s="403">
        <v>3059040.8058333341</v>
      </c>
      <c r="FO279" s="403">
        <v>3063161.8058333341</v>
      </c>
      <c r="FP279" s="403">
        <v>3060771.8058333341</v>
      </c>
      <c r="FQ279" s="403">
        <v>3044951.8258333337</v>
      </c>
      <c r="FR279" s="403">
        <v>36652827.660000004</v>
      </c>
    </row>
    <row r="280" spans="1:174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74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74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74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74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74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3">
        <v>3986420.5893333331</v>
      </c>
      <c r="EU286" s="403">
        <v>3986420.5893333331</v>
      </c>
      <c r="EV286" s="403">
        <v>3986420.5893333331</v>
      </c>
      <c r="EW286" s="403">
        <v>4097531.7004444432</v>
      </c>
      <c r="EX286" s="403">
        <v>4097531.7004444432</v>
      </c>
      <c r="EY286" s="403">
        <v>4097531.7004444432</v>
      </c>
      <c r="EZ286" s="403">
        <v>6090741.9951111097</v>
      </c>
      <c r="FA286" s="403">
        <v>6090741.9951111097</v>
      </c>
      <c r="FB286" s="403">
        <v>5577148.0201111175</v>
      </c>
      <c r="FC286" s="403">
        <v>5577148.0201111175</v>
      </c>
      <c r="FD286" s="403">
        <v>5577148.0201111175</v>
      </c>
      <c r="FE286" s="403">
        <v>5577148.0201111175</v>
      </c>
      <c r="FF286" s="403">
        <v>6120514.5875000004</v>
      </c>
      <c r="FG286" s="403">
        <v>5971668.0075000003</v>
      </c>
      <c r="FH286" s="403">
        <v>5177760.0175000001</v>
      </c>
      <c r="FI286" s="403">
        <v>5087042.1275000004</v>
      </c>
      <c r="FJ286" s="403">
        <v>5141875.5275000008</v>
      </c>
      <c r="FK286" s="403">
        <v>5197534.4975000005</v>
      </c>
      <c r="FL286" s="403">
        <v>5045534.8375000004</v>
      </c>
      <c r="FM286" s="403">
        <v>5057538.8375000004</v>
      </c>
      <c r="FN286" s="403">
        <v>5162334.3375000004</v>
      </c>
      <c r="FO286" s="403">
        <v>5048700.9275000002</v>
      </c>
      <c r="FP286" s="403">
        <v>5048329.2575000003</v>
      </c>
      <c r="FQ286" s="403">
        <v>4986898.6075000009</v>
      </c>
      <c r="FR286" s="403">
        <v>63045731.57</v>
      </c>
    </row>
    <row r="287" spans="1:174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74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74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74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74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74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74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74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74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3">
        <v>1860319.3983333334</v>
      </c>
      <c r="EU296" s="403">
        <v>1860319.3983333334</v>
      </c>
      <c r="EV296" s="403">
        <v>1860319.3983333334</v>
      </c>
      <c r="EW296" s="403">
        <v>1860319.3983333334</v>
      </c>
      <c r="EX296" s="403">
        <v>1860319.3983333334</v>
      </c>
      <c r="EY296" s="403">
        <v>1860319.3983333334</v>
      </c>
      <c r="EZ296" s="403">
        <v>1860319.3983333334</v>
      </c>
      <c r="FA296" s="403">
        <v>1860319.3983333334</v>
      </c>
      <c r="FB296" s="403">
        <v>1850732.9058333328</v>
      </c>
      <c r="FC296" s="403">
        <v>1850732.9058333328</v>
      </c>
      <c r="FD296" s="403">
        <v>1850732.9058333328</v>
      </c>
      <c r="FE296" s="403">
        <v>1850732.9058333328</v>
      </c>
      <c r="FF296" s="403">
        <v>1931829.4616666667</v>
      </c>
      <c r="FG296" s="403">
        <v>1929704.3816666668</v>
      </c>
      <c r="FH296" s="403">
        <v>1921162.7116666667</v>
      </c>
      <c r="FI296" s="403">
        <v>1920662.7116666667</v>
      </c>
      <c r="FJ296" s="403">
        <v>1927678.7016666669</v>
      </c>
      <c r="FK296" s="403">
        <v>1927612.7316666667</v>
      </c>
      <c r="FL296" s="403">
        <v>1934953.7116666667</v>
      </c>
      <c r="FM296" s="403">
        <v>1934887.7116666667</v>
      </c>
      <c r="FN296" s="403">
        <v>1926953.7016666669</v>
      </c>
      <c r="FO296" s="403">
        <v>1926887.7016666669</v>
      </c>
      <c r="FP296" s="403">
        <v>1926953.7016666669</v>
      </c>
      <c r="FQ296" s="403">
        <v>1908616.3716666668</v>
      </c>
      <c r="FR296" s="403">
        <v>23117903.600000001</v>
      </c>
    </row>
    <row r="297" spans="1:174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74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74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3">
        <v>7122725</v>
      </c>
      <c r="EU300" s="403">
        <v>7122725</v>
      </c>
      <c r="EV300" s="403">
        <v>7122725</v>
      </c>
      <c r="EW300" s="403">
        <v>7122725</v>
      </c>
      <c r="EX300" s="403">
        <v>7122725</v>
      </c>
      <c r="EY300" s="403">
        <v>7122725</v>
      </c>
      <c r="EZ300" s="403">
        <v>7122725</v>
      </c>
      <c r="FA300" s="403">
        <v>7122725</v>
      </c>
      <c r="FB300" s="403">
        <v>7615225</v>
      </c>
      <c r="FC300" s="403">
        <v>7615225</v>
      </c>
      <c r="FD300" s="403">
        <v>7615225</v>
      </c>
      <c r="FE300" s="403">
        <v>7615225</v>
      </c>
      <c r="FF300" s="403">
        <v>7980725.0000000009</v>
      </c>
      <c r="FG300" s="403">
        <v>986719.96000000054</v>
      </c>
      <c r="FH300" s="403">
        <v>28101499.100000001</v>
      </c>
      <c r="FI300" s="403">
        <v>18499732.100000001</v>
      </c>
      <c r="FJ300" s="403">
        <v>14045836.270000001</v>
      </c>
      <c r="FK300" s="403">
        <v>1973802.6600000008</v>
      </c>
      <c r="FL300" s="403">
        <v>8764475.7899999991</v>
      </c>
      <c r="FM300" s="403">
        <v>1297206.1400000008</v>
      </c>
      <c r="FN300" s="403">
        <v>3140325.8000000007</v>
      </c>
      <c r="FO300" s="403">
        <v>1321292.0800000008</v>
      </c>
      <c r="FP300" s="403">
        <v>7803737.330000001</v>
      </c>
      <c r="FQ300" s="403">
        <v>1837347.7700000007</v>
      </c>
      <c r="FR300" s="403">
        <v>95752699.999999985</v>
      </c>
    </row>
    <row r="301" spans="1:174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74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3">
        <v>800010.93333333347</v>
      </c>
      <c r="EU303" s="403">
        <v>800010.93333333347</v>
      </c>
      <c r="EV303" s="403">
        <v>800010.93333333347</v>
      </c>
      <c r="EW303" s="403">
        <v>800010.93333333347</v>
      </c>
      <c r="EX303" s="403">
        <v>800010.93333333347</v>
      </c>
      <c r="EY303" s="403">
        <v>800010.93333333347</v>
      </c>
      <c r="EZ303" s="403">
        <v>800010.93333333347</v>
      </c>
      <c r="FA303" s="403">
        <v>800010.93333333347</v>
      </c>
      <c r="FB303" s="403">
        <v>986109.29833333322</v>
      </c>
      <c r="FC303" s="403">
        <v>986109.29833333322</v>
      </c>
      <c r="FD303" s="403">
        <v>986109.29833333322</v>
      </c>
      <c r="FE303" s="403">
        <v>986109.29833333322</v>
      </c>
      <c r="FF303" s="403">
        <v>832820.39</v>
      </c>
      <c r="FG303" s="403">
        <v>780840.39</v>
      </c>
      <c r="FH303" s="403">
        <v>793807.47</v>
      </c>
      <c r="FI303" s="403">
        <v>776070.39</v>
      </c>
      <c r="FJ303" s="403">
        <v>793070.39</v>
      </c>
      <c r="FK303" s="403">
        <v>826070.39</v>
      </c>
      <c r="FL303" s="403">
        <v>846570.39</v>
      </c>
      <c r="FM303" s="403">
        <v>846570.39</v>
      </c>
      <c r="FN303" s="403">
        <v>826570.39</v>
      </c>
      <c r="FO303" s="403">
        <v>826570.39</v>
      </c>
      <c r="FP303" s="403">
        <v>826570.39</v>
      </c>
      <c r="FQ303" s="403">
        <v>845570.39</v>
      </c>
      <c r="FR303" s="403">
        <v>9821101.7599999998</v>
      </c>
    </row>
    <row r="304" spans="1:174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74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74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3">
        <v>2250983.3333333335</v>
      </c>
      <c r="EU307" s="403">
        <v>2250983.3333333335</v>
      </c>
      <c r="EV307" s="403">
        <v>2250983.3333333335</v>
      </c>
      <c r="EW307" s="403">
        <v>2250983.3333333335</v>
      </c>
      <c r="EX307" s="403">
        <v>2250983.3333333335</v>
      </c>
      <c r="EY307" s="403">
        <v>2250983.3333333335</v>
      </c>
      <c r="EZ307" s="403">
        <v>2250983.3333333335</v>
      </c>
      <c r="FA307" s="403">
        <v>2250983.3333333335</v>
      </c>
      <c r="FB307" s="403">
        <v>2180983.3333333344</v>
      </c>
      <c r="FC307" s="403">
        <v>2180983.3333333344</v>
      </c>
      <c r="FD307" s="403">
        <v>2180983.3333333344</v>
      </c>
      <c r="FE307" s="403">
        <v>2180983.3333333344</v>
      </c>
      <c r="FF307" s="403">
        <v>2149037.4966666666</v>
      </c>
      <c r="FG307" s="403">
        <v>2320829.9566666665</v>
      </c>
      <c r="FH307" s="403">
        <v>4834564.4966666671</v>
      </c>
      <c r="FI307" s="403">
        <v>2443787.4966666666</v>
      </c>
      <c r="FJ307" s="403">
        <v>2190037.4966666666</v>
      </c>
      <c r="FK307" s="403">
        <v>1990037.4966666666</v>
      </c>
      <c r="FL307" s="403">
        <v>1956704.1566666667</v>
      </c>
      <c r="FM307" s="403">
        <v>2253357.6966666663</v>
      </c>
      <c r="FN307" s="403">
        <v>4447481.1566666672</v>
      </c>
      <c r="FO307" s="403">
        <v>2156704.1566666663</v>
      </c>
      <c r="FP307" s="403">
        <v>2056704.1966666668</v>
      </c>
      <c r="FQ307" s="403">
        <v>2015354.1966666668</v>
      </c>
      <c r="FR307" s="403">
        <v>30814599.999999993</v>
      </c>
    </row>
    <row r="308" spans="1:174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74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74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3">
        <v>2581823.9339999999</v>
      </c>
      <c r="EU311" s="403">
        <v>2581823.9339999999</v>
      </c>
      <c r="EV311" s="403">
        <v>2581823.9339999999</v>
      </c>
      <c r="EW311" s="403">
        <v>2696268.3784444444</v>
      </c>
      <c r="EX311" s="403">
        <v>2696268.3784444444</v>
      </c>
      <c r="EY311" s="403">
        <v>2696268.3784444444</v>
      </c>
      <c r="EZ311" s="403">
        <v>3987180.345444445</v>
      </c>
      <c r="FA311" s="403">
        <v>3987180.345444445</v>
      </c>
      <c r="FB311" s="403">
        <v>3877323.0754444436</v>
      </c>
      <c r="FC311" s="403">
        <v>3877323.0754444436</v>
      </c>
      <c r="FD311" s="403">
        <v>3877323.0754444436</v>
      </c>
      <c r="FE311" s="403">
        <v>3877323.0754444436</v>
      </c>
      <c r="FF311" s="403">
        <v>3473855.870833334</v>
      </c>
      <c r="FG311" s="403">
        <v>4119817.790833334</v>
      </c>
      <c r="FH311" s="403">
        <v>5047234.1108333347</v>
      </c>
      <c r="FI311" s="403">
        <v>3132271.9408333339</v>
      </c>
      <c r="FJ311" s="403">
        <v>3070265.2508333339</v>
      </c>
      <c r="FK311" s="403">
        <v>3309652.560833334</v>
      </c>
      <c r="FL311" s="403">
        <v>4272049.5508333351</v>
      </c>
      <c r="FM311" s="403">
        <v>3177649.6708333334</v>
      </c>
      <c r="FN311" s="403">
        <v>3136649.6408333336</v>
      </c>
      <c r="FO311" s="403">
        <v>3127759.6208333336</v>
      </c>
      <c r="FP311" s="403">
        <v>3164504.6508333334</v>
      </c>
      <c r="FQ311" s="403">
        <v>3064612.7408333337</v>
      </c>
      <c r="FR311" s="403">
        <v>42096323.400000006</v>
      </c>
    </row>
    <row r="312" spans="1:174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74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74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74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74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74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74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74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74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74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3">
        <v>45950724.162500009</v>
      </c>
      <c r="EU321" s="403">
        <v>45950724.162500009</v>
      </c>
      <c r="EV321" s="403">
        <v>45950724.162500009</v>
      </c>
      <c r="EW321" s="403">
        <v>45950724.162500009</v>
      </c>
      <c r="EX321" s="403">
        <v>45950724.162500009</v>
      </c>
      <c r="EY321" s="403">
        <v>45950724.162500009</v>
      </c>
      <c r="EZ321" s="403">
        <v>45950724.162500009</v>
      </c>
      <c r="FA321" s="403">
        <v>45950724.162500009</v>
      </c>
      <c r="FB321" s="403">
        <v>47831745.139999971</v>
      </c>
      <c r="FC321" s="403">
        <v>47831745.139999971</v>
      </c>
      <c r="FD321" s="403">
        <v>47831745.139999971</v>
      </c>
      <c r="FE321" s="403">
        <v>47831745.139999971</v>
      </c>
      <c r="FF321" s="403">
        <v>46204849.909999982</v>
      </c>
      <c r="FG321" s="403">
        <v>46206149.810000002</v>
      </c>
      <c r="FH321" s="403">
        <v>46206149.810000002</v>
      </c>
      <c r="FI321" s="403">
        <v>46206149.810000002</v>
      </c>
      <c r="FJ321" s="403">
        <v>46206149.810000002</v>
      </c>
      <c r="FK321" s="403">
        <v>46206149.810000002</v>
      </c>
      <c r="FL321" s="403">
        <v>46206149.810000002</v>
      </c>
      <c r="FM321" s="403">
        <v>46206149.810000002</v>
      </c>
      <c r="FN321" s="403">
        <v>46206149.810000002</v>
      </c>
      <c r="FO321" s="403">
        <v>46206149.810000002</v>
      </c>
      <c r="FP321" s="403">
        <v>46206149.810000002</v>
      </c>
      <c r="FQ321" s="403">
        <v>46206149.810000002</v>
      </c>
      <c r="FR321" s="403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3">
        <v>6651000</v>
      </c>
      <c r="EU322" s="403">
        <v>6651000</v>
      </c>
      <c r="EV322" s="403">
        <v>6651000</v>
      </c>
      <c r="EW322" s="403">
        <v>6651000</v>
      </c>
      <c r="EX322" s="403">
        <v>6651000</v>
      </c>
      <c r="EY322" s="403">
        <v>6651000</v>
      </c>
      <c r="EZ322" s="403">
        <v>6651000</v>
      </c>
      <c r="FA322" s="403">
        <v>6651000</v>
      </c>
      <c r="FB322" s="403">
        <v>7394520.9774999991</v>
      </c>
      <c r="FC322" s="403">
        <v>7394520.9774999991</v>
      </c>
      <c r="FD322" s="403">
        <v>7394520.9774999991</v>
      </c>
      <c r="FE322" s="403">
        <v>7394520.9774999991</v>
      </c>
      <c r="FF322" s="403">
        <v>6747975.0000000028</v>
      </c>
      <c r="FG322" s="403">
        <v>6749275.0000000028</v>
      </c>
      <c r="FH322" s="403">
        <v>6749275.0000000028</v>
      </c>
      <c r="FI322" s="403">
        <v>6749275.0000000028</v>
      </c>
      <c r="FJ322" s="403">
        <v>6749275.0000000028</v>
      </c>
      <c r="FK322" s="403">
        <v>6749275.0000000028</v>
      </c>
      <c r="FL322" s="403">
        <v>6749275.0000000028</v>
      </c>
      <c r="FM322" s="403">
        <v>6749275.0000000028</v>
      </c>
      <c r="FN322" s="403">
        <v>6749275.0000000028</v>
      </c>
      <c r="FO322" s="403">
        <v>6749275.0000000028</v>
      </c>
      <c r="FP322" s="403">
        <v>6749275.0000000028</v>
      </c>
      <c r="FQ322" s="403">
        <v>6749275.0000000028</v>
      </c>
      <c r="FR322" s="403">
        <v>80990000.000000015</v>
      </c>
    </row>
    <row r="323" spans="1:174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74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74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74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74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74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74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3">
        <v>1699899.96</v>
      </c>
      <c r="EU330" s="403">
        <v>1699899.96</v>
      </c>
      <c r="EV330" s="403">
        <v>1699899.96</v>
      </c>
      <c r="EW330" s="403">
        <v>1699899.96</v>
      </c>
      <c r="EX330" s="403">
        <v>1699899.96</v>
      </c>
      <c r="EY330" s="403">
        <v>1699899.96</v>
      </c>
      <c r="EZ330" s="403">
        <v>1699899.96</v>
      </c>
      <c r="FA330" s="403">
        <v>1699899.96</v>
      </c>
      <c r="FB330" s="403">
        <v>924899.9599999981</v>
      </c>
      <c r="FC330" s="403">
        <v>924899.9599999981</v>
      </c>
      <c r="FD330" s="403">
        <v>924899.9599999981</v>
      </c>
      <c r="FE330" s="403">
        <v>924899.9599999981</v>
      </c>
      <c r="FF330" s="403">
        <v>1236031.8000000014</v>
      </c>
      <c r="FG330" s="403">
        <v>1236031.8699999999</v>
      </c>
      <c r="FH330" s="403">
        <v>1236031.8699999999</v>
      </c>
      <c r="FI330" s="403">
        <v>1236031.8699999999</v>
      </c>
      <c r="FJ330" s="403">
        <v>1236031.8699999999</v>
      </c>
      <c r="FK330" s="403">
        <v>1236031.8699999999</v>
      </c>
      <c r="FL330" s="403">
        <v>1236031.8699999999</v>
      </c>
      <c r="FM330" s="403">
        <v>1236031.8699999999</v>
      </c>
      <c r="FN330" s="403">
        <v>1236031.8699999999</v>
      </c>
      <c r="FO330" s="403">
        <v>1236031.8699999999</v>
      </c>
      <c r="FP330" s="403">
        <v>1236031.8699999999</v>
      </c>
      <c r="FQ330" s="403">
        <v>1236031.8699999999</v>
      </c>
      <c r="FR330" s="403">
        <v>14832382.369999997</v>
      </c>
    </row>
    <row r="331" spans="1:174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74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74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74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74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3">
        <v>35472732.535833336</v>
      </c>
      <c r="EU336" s="403">
        <v>35472732.535833336</v>
      </c>
      <c r="EV336" s="403">
        <v>35472732.535833336</v>
      </c>
      <c r="EW336" s="403">
        <v>35472732.535833336</v>
      </c>
      <c r="EX336" s="403">
        <v>35472732.535833336</v>
      </c>
      <c r="EY336" s="403">
        <v>35472732.535833336</v>
      </c>
      <c r="EZ336" s="403">
        <v>35472732.535833336</v>
      </c>
      <c r="FA336" s="403">
        <v>35472732.535833336</v>
      </c>
      <c r="FB336" s="403">
        <v>35472732.535833336</v>
      </c>
      <c r="FC336" s="403">
        <v>35472732.535833336</v>
      </c>
      <c r="FD336" s="403">
        <v>35472732.535833336</v>
      </c>
      <c r="FE336" s="403">
        <v>35472732.535833336</v>
      </c>
      <c r="FF336" s="403">
        <v>35752084.619999975</v>
      </c>
      <c r="FG336" s="403">
        <v>35752084.530000001</v>
      </c>
      <c r="FH336" s="403">
        <v>35752084.530000001</v>
      </c>
      <c r="FI336" s="403">
        <v>35752084.530000001</v>
      </c>
      <c r="FJ336" s="403">
        <v>35752084.530000001</v>
      </c>
      <c r="FK336" s="403">
        <v>35752084.530000001</v>
      </c>
      <c r="FL336" s="403">
        <v>35752084.530000001</v>
      </c>
      <c r="FM336" s="403">
        <v>35752084.530000001</v>
      </c>
      <c r="FN336" s="403">
        <v>35752084.530000001</v>
      </c>
      <c r="FO336" s="403">
        <v>35752084.530000001</v>
      </c>
      <c r="FP336" s="403">
        <v>35752084.530000001</v>
      </c>
      <c r="FQ336" s="403">
        <v>35752084.530000001</v>
      </c>
      <c r="FR336" s="403">
        <v>429025014.44999993</v>
      </c>
    </row>
    <row r="337" spans="1:174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74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74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74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74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74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74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3">
        <v>1375008.3333333333</v>
      </c>
      <c r="EU344" s="403">
        <v>1375008.3333333333</v>
      </c>
      <c r="EV344" s="403">
        <v>1375008.3333333333</v>
      </c>
      <c r="EW344" s="403">
        <v>1375008.3333333333</v>
      </c>
      <c r="EX344" s="403">
        <v>1375008.3333333333</v>
      </c>
      <c r="EY344" s="403">
        <v>1375008.3333333333</v>
      </c>
      <c r="EZ344" s="403">
        <v>1375008.3333333333</v>
      </c>
      <c r="FA344" s="403">
        <v>1375008.3333333333</v>
      </c>
      <c r="FB344" s="403">
        <v>2000008.3333333328</v>
      </c>
      <c r="FC344" s="403">
        <v>2000008.3333333328</v>
      </c>
      <c r="FD344" s="403">
        <v>2000008.3333333328</v>
      </c>
      <c r="FE344" s="403">
        <v>2000008.3333333328</v>
      </c>
      <c r="FF344" s="403">
        <v>1583341.7399999984</v>
      </c>
      <c r="FG344" s="403">
        <v>1583341.6600000001</v>
      </c>
      <c r="FH344" s="403">
        <v>1583341.6600000001</v>
      </c>
      <c r="FI344" s="403">
        <v>1583341.6600000001</v>
      </c>
      <c r="FJ344" s="403">
        <v>1583341.6600000001</v>
      </c>
      <c r="FK344" s="403">
        <v>1583341.6600000001</v>
      </c>
      <c r="FL344" s="403">
        <v>1583341.6600000001</v>
      </c>
      <c r="FM344" s="403">
        <v>1583341.6600000001</v>
      </c>
      <c r="FN344" s="403">
        <v>1583341.6600000001</v>
      </c>
      <c r="FO344" s="403">
        <v>1583341.6600000001</v>
      </c>
      <c r="FP344" s="403">
        <v>1583341.6600000001</v>
      </c>
      <c r="FQ344" s="403">
        <v>1583341.6600000001</v>
      </c>
      <c r="FR344" s="403">
        <v>19000100</v>
      </c>
    </row>
    <row r="345" spans="1:174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3">
        <v>752083.33333333337</v>
      </c>
      <c r="EU346" s="403">
        <v>752083.33333333337</v>
      </c>
      <c r="EV346" s="403">
        <v>752083.33333333337</v>
      </c>
      <c r="EW346" s="403">
        <v>752083.33333333337</v>
      </c>
      <c r="EX346" s="403">
        <v>752083.33333333337</v>
      </c>
      <c r="EY346" s="403">
        <v>752083.33333333337</v>
      </c>
      <c r="EZ346" s="403">
        <v>752083.33333333337</v>
      </c>
      <c r="FA346" s="403">
        <v>752083.33333333337</v>
      </c>
      <c r="FB346" s="403">
        <v>2039583.333333334</v>
      </c>
      <c r="FC346" s="403">
        <v>2039583.333333334</v>
      </c>
      <c r="FD346" s="403">
        <v>2039583.333333334</v>
      </c>
      <c r="FE346" s="403">
        <v>2039583.333333334</v>
      </c>
      <c r="FF346" s="403">
        <v>885416.75</v>
      </c>
      <c r="FG346" s="403">
        <v>885416.75</v>
      </c>
      <c r="FH346" s="403">
        <v>885416.75</v>
      </c>
      <c r="FI346" s="403">
        <v>885416.75</v>
      </c>
      <c r="FJ346" s="403">
        <v>885416.75</v>
      </c>
      <c r="FK346" s="403">
        <v>885416.75</v>
      </c>
      <c r="FL346" s="403">
        <v>885416.75</v>
      </c>
      <c r="FM346" s="403">
        <v>885416.75</v>
      </c>
      <c r="FN346" s="403">
        <v>885416.75</v>
      </c>
      <c r="FO346" s="403">
        <v>885416.75</v>
      </c>
      <c r="FP346" s="403">
        <v>885416.75</v>
      </c>
      <c r="FQ346" s="403">
        <v>885416.75</v>
      </c>
      <c r="FR346" s="403">
        <v>10625001</v>
      </c>
    </row>
    <row r="347" spans="1:174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74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74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74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03">
        <v>15295211.558333334</v>
      </c>
      <c r="EU350" s="403">
        <v>15295211.558333334</v>
      </c>
      <c r="EV350" s="403">
        <v>15295211.558333334</v>
      </c>
      <c r="EW350" s="403">
        <v>18161878.224999998</v>
      </c>
      <c r="EX350" s="403">
        <v>18161878.224999998</v>
      </c>
      <c r="EY350" s="403">
        <v>18161878.224999998</v>
      </c>
      <c r="EZ350" s="403">
        <v>15295211.558333334</v>
      </c>
      <c r="FA350" s="403">
        <v>15295211.558333334</v>
      </c>
      <c r="FB350" s="403">
        <v>18930636.555833336</v>
      </c>
      <c r="FC350" s="403">
        <v>18930636.555833336</v>
      </c>
      <c r="FD350" s="403">
        <v>18930636.555833336</v>
      </c>
      <c r="FE350" s="403">
        <v>18930636.555833336</v>
      </c>
      <c r="FF350" s="403">
        <v>20338750.958333332</v>
      </c>
      <c r="FG350" s="403">
        <v>22018439.158333331</v>
      </c>
      <c r="FH350" s="403">
        <v>17975691.918333333</v>
      </c>
      <c r="FI350" s="403">
        <v>15972358.598333333</v>
      </c>
      <c r="FJ350" s="403">
        <v>15993608.598333333</v>
      </c>
      <c r="FK350" s="403">
        <v>16020602.668333333</v>
      </c>
      <c r="FL350" s="403">
        <v>20840700.928333335</v>
      </c>
      <c r="FM350" s="403">
        <v>15963999.858333332</v>
      </c>
      <c r="FN350" s="403">
        <v>15983999.858333332</v>
      </c>
      <c r="FO350" s="403">
        <v>15915666.518333333</v>
      </c>
      <c r="FP350" s="403">
        <v>15858166.538333332</v>
      </c>
      <c r="FQ350" s="403">
        <v>16016549.358333332</v>
      </c>
      <c r="FR350" s="403">
        <v>208898534.95999995</v>
      </c>
    </row>
    <row r="351" spans="1:174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3">
        <v>14810545.166666666</v>
      </c>
      <c r="EU351" s="403">
        <v>14810545.166666666</v>
      </c>
      <c r="EV351" s="403">
        <v>14810545.166666666</v>
      </c>
      <c r="EW351" s="403">
        <v>17677211.833333332</v>
      </c>
      <c r="EX351" s="403">
        <v>17677211.833333332</v>
      </c>
      <c r="EY351" s="403">
        <v>17677211.833333332</v>
      </c>
      <c r="EZ351" s="403">
        <v>14810545.166666666</v>
      </c>
      <c r="FA351" s="403">
        <v>14810545.166666666</v>
      </c>
      <c r="FB351" s="403">
        <v>18469212.55916667</v>
      </c>
      <c r="FC351" s="403">
        <v>18469212.55916667</v>
      </c>
      <c r="FD351" s="403">
        <v>18469212.55916667</v>
      </c>
      <c r="FE351" s="403">
        <v>18469212.55916667</v>
      </c>
      <c r="FF351" s="403">
        <v>18445155.148333333</v>
      </c>
      <c r="FG351" s="403">
        <v>20224843.348333333</v>
      </c>
      <c r="FH351" s="403">
        <v>16273762.778333332</v>
      </c>
      <c r="FI351" s="403">
        <v>14270429.458333332</v>
      </c>
      <c r="FJ351" s="403">
        <v>14291679.458333332</v>
      </c>
      <c r="FK351" s="403">
        <v>14318673.528333332</v>
      </c>
      <c r="FL351" s="403">
        <v>19138771.788333334</v>
      </c>
      <c r="FM351" s="403">
        <v>14278737.378333332</v>
      </c>
      <c r="FN351" s="403">
        <v>14298737.378333332</v>
      </c>
      <c r="FO351" s="403">
        <v>14278737.378333332</v>
      </c>
      <c r="FP351" s="403">
        <v>14298737.388333332</v>
      </c>
      <c r="FQ351" s="403">
        <v>14457120.208333332</v>
      </c>
      <c r="FR351" s="403">
        <v>188575385.23999998</v>
      </c>
    </row>
    <row r="352" spans="1:174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74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74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74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74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74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74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74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74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74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3">
        <v>484666.39166666666</v>
      </c>
      <c r="EU361" s="403">
        <v>484666.39166666666</v>
      </c>
      <c r="EV361" s="403">
        <v>484666.39166666666</v>
      </c>
      <c r="EW361" s="403">
        <v>484666.39166666666</v>
      </c>
      <c r="EX361" s="403">
        <v>484666.39166666666</v>
      </c>
      <c r="EY361" s="403">
        <v>484666.39166666666</v>
      </c>
      <c r="EZ361" s="403">
        <v>484666.39166666666</v>
      </c>
      <c r="FA361" s="403">
        <v>484666.39166666666</v>
      </c>
      <c r="FB361" s="403">
        <v>461423.99666666664</v>
      </c>
      <c r="FC361" s="403">
        <v>461423.99666666664</v>
      </c>
      <c r="FD361" s="403">
        <v>461423.99666666664</v>
      </c>
      <c r="FE361" s="403">
        <v>461423.99666666664</v>
      </c>
      <c r="FF361" s="403">
        <v>1893595.81</v>
      </c>
      <c r="FG361" s="403">
        <v>1793595.81</v>
      </c>
      <c r="FH361" s="403">
        <v>1701929.1400000001</v>
      </c>
      <c r="FI361" s="403">
        <v>1701929.1400000001</v>
      </c>
      <c r="FJ361" s="403">
        <v>1701929.1400000001</v>
      </c>
      <c r="FK361" s="403">
        <v>1701929.1400000001</v>
      </c>
      <c r="FL361" s="403">
        <v>1701929.1400000001</v>
      </c>
      <c r="FM361" s="403">
        <v>1685262.48</v>
      </c>
      <c r="FN361" s="403">
        <v>1685262.48</v>
      </c>
      <c r="FO361" s="403">
        <v>1636929.14</v>
      </c>
      <c r="FP361" s="403">
        <v>1559429.15</v>
      </c>
      <c r="FQ361" s="403">
        <v>1559429.15</v>
      </c>
      <c r="FR361" s="403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74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74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74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74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74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551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3">
        <v>21472083.333333332</v>
      </c>
      <c r="EU368" s="403">
        <v>21472083.333333332</v>
      </c>
      <c r="EV368" s="403">
        <v>21472083.333333332</v>
      </c>
      <c r="EW368" s="403">
        <v>21472083.333333332</v>
      </c>
      <c r="EX368" s="403">
        <v>21472083.333333332</v>
      </c>
      <c r="EY368" s="403">
        <v>21472083.333333332</v>
      </c>
      <c r="EZ368" s="403">
        <v>26990416.666666664</v>
      </c>
      <c r="FA368" s="403">
        <v>26990416.666666664</v>
      </c>
      <c r="FB368" s="403">
        <v>26315416.666666701</v>
      </c>
      <c r="FC368" s="403">
        <v>26315416.666666701</v>
      </c>
      <c r="FD368" s="403">
        <v>26815416.670000002</v>
      </c>
      <c r="FE368" s="403">
        <v>26815416.66</v>
      </c>
      <c r="FF368" s="403">
        <v>26743749.989999995</v>
      </c>
      <c r="FG368" s="403">
        <v>26743749.989999995</v>
      </c>
      <c r="FH368" s="403">
        <v>26743749.989999995</v>
      </c>
      <c r="FI368" s="403">
        <v>26743749.989999995</v>
      </c>
      <c r="FJ368" s="403">
        <v>26743749.989999995</v>
      </c>
      <c r="FK368" s="403">
        <v>26743749.989999995</v>
      </c>
      <c r="FL368" s="403">
        <v>26743749.989999995</v>
      </c>
      <c r="FM368" s="403">
        <v>26743749.989999995</v>
      </c>
      <c r="FN368" s="403">
        <v>26743749.989999995</v>
      </c>
      <c r="FO368" s="403">
        <v>26743749.989999995</v>
      </c>
      <c r="FP368" s="403">
        <v>26743749.989999995</v>
      </c>
      <c r="FQ368" s="403">
        <v>26743750.109999999</v>
      </c>
      <c r="FR368" s="403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422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3">
        <v>3322124.294666667</v>
      </c>
      <c r="EU369" s="403">
        <v>3322124.294666667</v>
      </c>
      <c r="EV369" s="403">
        <v>3322124.294666667</v>
      </c>
      <c r="EW369" s="403">
        <v>3322124.294666667</v>
      </c>
      <c r="EX369" s="403">
        <v>3522124.2900000066</v>
      </c>
      <c r="EY369" s="403">
        <v>3322124.294666667</v>
      </c>
      <c r="EZ369" s="403">
        <v>4983186.4420000007</v>
      </c>
      <c r="FA369" s="403">
        <v>4983186.4420000007</v>
      </c>
      <c r="FB369" s="403">
        <v>5687111.6931666648</v>
      </c>
      <c r="FC369" s="403">
        <v>5687111.6931666648</v>
      </c>
      <c r="FD369" s="403">
        <v>5687111.6931666601</v>
      </c>
      <c r="FE369" s="403">
        <v>5687111.6931666601</v>
      </c>
      <c r="FF369" s="403">
        <v>4812459.1475000009</v>
      </c>
      <c r="FG369" s="403">
        <v>5271044.0675000008</v>
      </c>
      <c r="FH369" s="403">
        <v>5043677.4375000009</v>
      </c>
      <c r="FI369" s="403">
        <v>5031733.3975000009</v>
      </c>
      <c r="FJ369" s="403">
        <v>4720622.4975000015</v>
      </c>
      <c r="FK369" s="403">
        <v>4690580.477500001</v>
      </c>
      <c r="FL369" s="403">
        <v>4614205.3275000015</v>
      </c>
      <c r="FM369" s="403">
        <v>4567667.1475000018</v>
      </c>
      <c r="FN369" s="403">
        <v>4572709.1475000018</v>
      </c>
      <c r="FO369" s="403">
        <v>4547709.1475000018</v>
      </c>
      <c r="FP369" s="403">
        <v>4386209.1475000018</v>
      </c>
      <c r="FQ369" s="403">
        <v>4398442.6775000012</v>
      </c>
      <c r="FR369" s="403">
        <v>56657059.620000012</v>
      </c>
    </row>
    <row r="370" spans="1:174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74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74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74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74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74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74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74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3">
        <v>70000000</v>
      </c>
      <c r="FF377" s="446">
        <v>26666.67</v>
      </c>
      <c r="FG377" s="446">
        <v>26666.67</v>
      </c>
      <c r="FH377" s="446">
        <v>26666.67</v>
      </c>
      <c r="FI377" s="446">
        <v>39926666.670000002</v>
      </c>
      <c r="FJ377" s="446">
        <v>26666.67</v>
      </c>
      <c r="FK377" s="446">
        <v>26666.67</v>
      </c>
      <c r="FL377" s="446">
        <v>26666.67</v>
      </c>
      <c r="FM377" s="446">
        <v>26666.67</v>
      </c>
      <c r="FN377" s="446">
        <v>26666.67</v>
      </c>
      <c r="FO377" s="446">
        <v>26666.67</v>
      </c>
      <c r="FP377" s="446">
        <v>26666.67</v>
      </c>
      <c r="FQ377" s="446">
        <v>26666.63</v>
      </c>
      <c r="FR377" s="446">
        <v>40220000.000000015</v>
      </c>
    </row>
    <row r="378" spans="1:174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74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3">
        <v>239583.41666666666</v>
      </c>
      <c r="EU379" s="403">
        <v>239583.41666666666</v>
      </c>
      <c r="EV379" s="403">
        <v>239583.41666666666</v>
      </c>
      <c r="EW379" s="403">
        <v>239583.41666666666</v>
      </c>
      <c r="EX379" s="403">
        <v>239583.41666666666</v>
      </c>
      <c r="EY379" s="403">
        <v>239583.41666666666</v>
      </c>
      <c r="EZ379" s="403">
        <v>239583.41666666666</v>
      </c>
      <c r="FA379" s="403">
        <v>239583.41666666666</v>
      </c>
      <c r="FB379" s="403">
        <v>239583.41666666666</v>
      </c>
      <c r="FC379" s="403">
        <v>239583.41666666666</v>
      </c>
      <c r="FD379" s="403">
        <v>239583.41666666666</v>
      </c>
      <c r="FE379" s="403">
        <v>239583.41666666666</v>
      </c>
      <c r="FF379" s="403">
        <v>190000.08333333334</v>
      </c>
      <c r="FG379" s="403">
        <v>190000.08333333334</v>
      </c>
      <c r="FH379" s="403">
        <v>190000.08333333334</v>
      </c>
      <c r="FI379" s="403">
        <v>190000.08333333334</v>
      </c>
      <c r="FJ379" s="403">
        <v>190000.08333333334</v>
      </c>
      <c r="FK379" s="403">
        <v>190000.08333333334</v>
      </c>
      <c r="FL379" s="403">
        <v>190000.08333333334</v>
      </c>
      <c r="FM379" s="403">
        <v>190000.08333333334</v>
      </c>
      <c r="FN379" s="403">
        <v>190000.08333333334</v>
      </c>
      <c r="FO379" s="403">
        <v>190000.08333333334</v>
      </c>
      <c r="FP379" s="403">
        <v>190000.08333333334</v>
      </c>
      <c r="FQ379" s="403">
        <v>190000.08333333334</v>
      </c>
      <c r="FR379" s="403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74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74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74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74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74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74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2">
        <f>DV387+DV390+DV393</f>
        <v>32768615.2925</v>
      </c>
      <c r="DW386" s="392">
        <f t="shared" ref="DW386:ES386" si="106">DW387+DW390+DW393</f>
        <v>32768615.2925</v>
      </c>
      <c r="DX386" s="392">
        <f t="shared" si="106"/>
        <v>32768615.2925</v>
      </c>
      <c r="DY386" s="392">
        <f t="shared" si="106"/>
        <v>32768615.2925</v>
      </c>
      <c r="DZ386" s="392">
        <f t="shared" si="106"/>
        <v>32768615.2925</v>
      </c>
      <c r="EA386" s="392">
        <f t="shared" si="106"/>
        <v>32768615.2925</v>
      </c>
      <c r="EB386" s="392">
        <f t="shared" si="106"/>
        <v>32768615.2925</v>
      </c>
      <c r="EC386" s="392">
        <f t="shared" si="106"/>
        <v>32768615.2925</v>
      </c>
      <c r="ED386" s="392">
        <f t="shared" si="106"/>
        <v>32768615.2925</v>
      </c>
      <c r="EE386" s="392">
        <f t="shared" si="106"/>
        <v>32768615.2925</v>
      </c>
      <c r="EF386" s="392">
        <f t="shared" si="106"/>
        <v>32768615.2925</v>
      </c>
      <c r="EG386" s="392">
        <f t="shared" si="106"/>
        <v>32768615.2925</v>
      </c>
      <c r="EH386" s="392">
        <f t="shared" si="106"/>
        <v>4617467.5633333325</v>
      </c>
      <c r="EI386" s="392">
        <f t="shared" si="106"/>
        <v>5248180.4533333331</v>
      </c>
      <c r="EJ386" s="392">
        <f t="shared" si="106"/>
        <v>18465645.143333334</v>
      </c>
      <c r="EK386" s="392">
        <f t="shared" si="106"/>
        <v>67460865.603333324</v>
      </c>
      <c r="EL386" s="392">
        <f t="shared" si="106"/>
        <v>10247541.783333333</v>
      </c>
      <c r="EM386" s="392">
        <f t="shared" si="106"/>
        <v>16046343.563333331</v>
      </c>
      <c r="EN386" s="392">
        <f t="shared" si="106"/>
        <v>23103608.363333337</v>
      </c>
      <c r="EO386" s="392">
        <f t="shared" si="106"/>
        <v>16877006.883333333</v>
      </c>
      <c r="EP386" s="392">
        <f t="shared" si="106"/>
        <v>17318908.093333334</v>
      </c>
      <c r="EQ386" s="392">
        <f t="shared" si="106"/>
        <v>9686739.4033333324</v>
      </c>
      <c r="ER386" s="392">
        <f t="shared" si="106"/>
        <v>11714826.133333333</v>
      </c>
      <c r="ES386" s="392">
        <f t="shared" si="106"/>
        <v>19628370.163333334</v>
      </c>
      <c r="FF386" s="403">
        <v>1718363.6600000001</v>
      </c>
      <c r="FG386" s="403">
        <v>3362692.9499999997</v>
      </c>
      <c r="FH386" s="403">
        <v>17620925.690000001</v>
      </c>
      <c r="FI386" s="403">
        <v>21217195.289999999</v>
      </c>
      <c r="FJ386" s="403">
        <v>181489557.88</v>
      </c>
      <c r="FK386" s="403">
        <v>16844785.800000001</v>
      </c>
      <c r="FL386" s="403">
        <v>61721044.270000003</v>
      </c>
      <c r="FM386" s="403">
        <v>13754741.09</v>
      </c>
      <c r="FN386" s="403">
        <v>17831317.309999999</v>
      </c>
      <c r="FO386" s="403">
        <v>6151156.2299999995</v>
      </c>
      <c r="FP386" s="403">
        <v>10176505.869999999</v>
      </c>
      <c r="FQ386" s="403">
        <v>21711713.960000001</v>
      </c>
      <c r="FR386" s="403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3">
        <v>1718363.6600000001</v>
      </c>
      <c r="FG387" s="403">
        <v>3362692.9499999997</v>
      </c>
      <c r="FH387" s="403">
        <v>17620925.690000001</v>
      </c>
      <c r="FI387" s="403">
        <v>21217195.289999999</v>
      </c>
      <c r="FJ387" s="403">
        <v>181489557.88</v>
      </c>
      <c r="FK387" s="403">
        <v>16844785.800000001</v>
      </c>
      <c r="FL387" s="403">
        <v>61721044.270000003</v>
      </c>
      <c r="FM387" s="403">
        <v>13754741.09</v>
      </c>
      <c r="FN387" s="403">
        <v>17831317.309999999</v>
      </c>
      <c r="FO387" s="403">
        <v>6151156.2299999995</v>
      </c>
      <c r="FP387" s="403">
        <v>10176505.869999999</v>
      </c>
      <c r="FQ387" s="403">
        <v>21711713.960000001</v>
      </c>
      <c r="FR387" s="403">
        <v>373600000</v>
      </c>
    </row>
    <row r="388" spans="1:174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6">
        <v>1983333.3333333333</v>
      </c>
      <c r="CS388" s="406">
        <v>1983333.3333333333</v>
      </c>
      <c r="CT388" s="406">
        <v>1983333.3333333333</v>
      </c>
      <c r="CU388" s="406">
        <v>1983333.3333333333</v>
      </c>
      <c r="CV388" s="406">
        <v>1983333.3333333333</v>
      </c>
      <c r="CW388" s="407">
        <v>1983333.3333333333</v>
      </c>
      <c r="CX388" s="408">
        <v>2500695.4391666665</v>
      </c>
      <c r="CY388" s="409">
        <v>2500695.4391666665</v>
      </c>
      <c r="CZ388" s="409">
        <v>2500695.4391666665</v>
      </c>
      <c r="DA388" s="409">
        <v>2500695.4391666665</v>
      </c>
      <c r="DB388" s="409">
        <v>2500695.4391666665</v>
      </c>
      <c r="DC388" s="409">
        <v>2500695.4391666665</v>
      </c>
      <c r="DD388" s="409">
        <v>2500695.4391666665</v>
      </c>
      <c r="DE388" s="409">
        <v>2500695.4391666665</v>
      </c>
      <c r="DF388" s="409">
        <v>2500695.4391666665</v>
      </c>
      <c r="DG388" s="409">
        <v>2500695.4391666665</v>
      </c>
      <c r="DH388" s="409">
        <v>2500695.4391666665</v>
      </c>
      <c r="DI388" s="410">
        <v>2500695.4391666665</v>
      </c>
      <c r="DJ388" s="411">
        <v>3892510.16</v>
      </c>
      <c r="DK388" s="406">
        <v>3892510.16</v>
      </c>
      <c r="DL388" s="406">
        <v>3892510.16</v>
      </c>
      <c r="DM388" s="406">
        <v>3892510.16</v>
      </c>
      <c r="DN388" s="406">
        <v>3892510.16</v>
      </c>
      <c r="DO388" s="406">
        <v>3892510.16</v>
      </c>
      <c r="DP388" s="406">
        <v>3892510.16</v>
      </c>
      <c r="DQ388" s="406">
        <v>3892510.16</v>
      </c>
      <c r="DR388" s="406">
        <v>3892510.16</v>
      </c>
      <c r="DS388" s="406">
        <v>3892510.16</v>
      </c>
      <c r="DT388" s="406">
        <v>3892510.16</v>
      </c>
      <c r="DU388" s="407">
        <v>3892510.16</v>
      </c>
      <c r="DV388" s="412">
        <v>3722931.8866666667</v>
      </c>
      <c r="DW388" s="412">
        <v>3722931.8866666667</v>
      </c>
      <c r="DX388" s="412">
        <v>3722931.8866666667</v>
      </c>
      <c r="DY388" s="412">
        <v>3722931.8866666667</v>
      </c>
      <c r="DZ388" s="412">
        <v>3722931.8866666667</v>
      </c>
      <c r="EA388" s="412">
        <v>3722931.8866666667</v>
      </c>
      <c r="EB388" s="412">
        <v>3722931.8866666667</v>
      </c>
      <c r="EC388" s="412">
        <v>3722931.8866666667</v>
      </c>
      <c r="ED388" s="412">
        <v>3722931.8866666667</v>
      </c>
      <c r="EE388" s="412">
        <v>3722931.8866666667</v>
      </c>
      <c r="EF388" s="412">
        <v>3722931.8866666667</v>
      </c>
      <c r="EG388" s="412">
        <v>3722931.8866666667</v>
      </c>
      <c r="EH388" s="412">
        <v>174340.51</v>
      </c>
      <c r="EI388" s="412">
        <v>177326.85</v>
      </c>
      <c r="EJ388" s="412">
        <v>7687779.1100000003</v>
      </c>
      <c r="EK388" s="412">
        <v>191127.48</v>
      </c>
      <c r="EL388" s="412">
        <v>949797.77</v>
      </c>
      <c r="EM388" s="412">
        <v>2019268.13</v>
      </c>
      <c r="EN388" s="412">
        <v>10660481.32</v>
      </c>
      <c r="EO388" s="412">
        <v>11526152.189999999</v>
      </c>
      <c r="EP388" s="412">
        <v>10016017.119999999</v>
      </c>
      <c r="EQ388" s="412">
        <v>1834828.67</v>
      </c>
      <c r="ER388" s="412">
        <v>2345417.37</v>
      </c>
      <c r="ES388" s="412">
        <v>4329305.63</v>
      </c>
      <c r="ET388" s="439">
        <v>116701.86</v>
      </c>
      <c r="EU388" s="440">
        <v>867332.36</v>
      </c>
      <c r="EV388" s="440">
        <v>7801367.0199999996</v>
      </c>
      <c r="EW388" s="440">
        <v>4481623.79</v>
      </c>
      <c r="EX388" s="440">
        <v>2831467.37</v>
      </c>
      <c r="EY388" s="440">
        <v>7170000.0800000001</v>
      </c>
      <c r="EZ388" s="440">
        <v>82322.3</v>
      </c>
      <c r="FA388" s="440">
        <v>10832753.109999999</v>
      </c>
      <c r="FB388" s="440">
        <v>1958366.01</v>
      </c>
      <c r="FC388" s="440">
        <v>1510132.11</v>
      </c>
      <c r="FD388" s="440">
        <v>834059.15</v>
      </c>
      <c r="FE388" s="440">
        <v>12202154.65</v>
      </c>
      <c r="FF388" s="446">
        <v>84944.84</v>
      </c>
      <c r="FG388" s="446">
        <v>835385.84</v>
      </c>
      <c r="FH388" s="446">
        <v>1812259.88</v>
      </c>
      <c r="FI388" s="446">
        <v>4541832.53</v>
      </c>
      <c r="FJ388" s="446">
        <v>2836722.65</v>
      </c>
      <c r="FK388" s="446">
        <v>7054086.1200000001</v>
      </c>
      <c r="FL388" s="446">
        <v>87625.45</v>
      </c>
      <c r="FM388" s="446">
        <v>10838080.380000001</v>
      </c>
      <c r="FN388" s="446">
        <v>1831359.63</v>
      </c>
      <c r="FO388" s="446">
        <v>1571862.21</v>
      </c>
      <c r="FP388" s="446">
        <v>839459.36</v>
      </c>
      <c r="FQ388" s="446">
        <v>11766381.15</v>
      </c>
      <c r="FR388" s="446">
        <v>44100000.039999999</v>
      </c>
    </row>
    <row r="389" spans="1:174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9">
        <v>2071825.5645770216</v>
      </c>
      <c r="EU389" s="440">
        <v>2862393.2253735214</v>
      </c>
      <c r="EV389" s="440">
        <v>12467636.918240691</v>
      </c>
      <c r="EW389" s="440">
        <v>17326274.372907523</v>
      </c>
      <c r="EX389" s="440">
        <v>15150457.606090657</v>
      </c>
      <c r="EY389" s="440">
        <v>8947929.7645770218</v>
      </c>
      <c r="EZ389" s="440">
        <v>2071825.5545770216</v>
      </c>
      <c r="FA389" s="440">
        <v>2989936.9753735219</v>
      </c>
      <c r="FB389" s="440">
        <v>16625761.232895471</v>
      </c>
      <c r="FC389" s="440">
        <v>4165314.0029075216</v>
      </c>
      <c r="FD389" s="440">
        <v>6972714.957903021</v>
      </c>
      <c r="FE389" s="440">
        <v>369847929.82457697</v>
      </c>
      <c r="FF389" s="446">
        <v>1633418.82</v>
      </c>
      <c r="FG389" s="446">
        <v>2527307.11</v>
      </c>
      <c r="FH389" s="446">
        <v>15808665.810000001</v>
      </c>
      <c r="FI389" s="446">
        <v>16675362.76</v>
      </c>
      <c r="FJ389" s="446">
        <v>178652835.22999999</v>
      </c>
      <c r="FK389" s="446">
        <v>9790699.6799999997</v>
      </c>
      <c r="FL389" s="446">
        <v>61633418.82</v>
      </c>
      <c r="FM389" s="446">
        <v>2916660.71</v>
      </c>
      <c r="FN389" s="446">
        <v>15999957.68</v>
      </c>
      <c r="FO389" s="446">
        <v>4579294.0199999996</v>
      </c>
      <c r="FP389" s="446">
        <v>9337046.5099999998</v>
      </c>
      <c r="FQ389" s="446">
        <v>9945332.8100000005</v>
      </c>
      <c r="FR389" s="446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  <c r="FF390" s="9">
        <v>0</v>
      </c>
      <c r="FG390" s="9">
        <v>0</v>
      </c>
      <c r="FH390" s="9">
        <v>0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74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3">
        <v>2681427.6666666665</v>
      </c>
      <c r="CS393" s="403">
        <v>2681427.6666666665</v>
      </c>
      <c r="CT393" s="403">
        <v>2681427.6666666665</v>
      </c>
      <c r="CU393" s="403">
        <v>2681427.6666666665</v>
      </c>
      <c r="CV393" s="403">
        <v>2681427.6666666665</v>
      </c>
      <c r="CW393" s="403">
        <v>2681427.6666666665</v>
      </c>
      <c r="CX393" s="403">
        <v>2778179.9974999996</v>
      </c>
      <c r="CY393" s="403">
        <v>2778179.9974999996</v>
      </c>
      <c r="CZ393" s="403">
        <v>2778179.9974999996</v>
      </c>
      <c r="DA393" s="403">
        <v>2778179.9974999996</v>
      </c>
      <c r="DB393" s="403">
        <v>2778179.9974999996</v>
      </c>
      <c r="DC393" s="403">
        <v>2778179.9974999996</v>
      </c>
      <c r="DD393" s="403">
        <v>2778179.9974999996</v>
      </c>
      <c r="DE393" s="403">
        <v>2778179.9974999996</v>
      </c>
      <c r="DF393" s="403">
        <v>2778179.9974999996</v>
      </c>
      <c r="DG393" s="403">
        <v>2778179.9974999996</v>
      </c>
      <c r="DH393" s="403">
        <v>2778179.9974999996</v>
      </c>
      <c r="DI393" s="403">
        <v>2778179.9974999996</v>
      </c>
      <c r="DJ393" s="403">
        <v>2817590</v>
      </c>
      <c r="DK393" s="403">
        <v>2817590</v>
      </c>
      <c r="DL393" s="403">
        <v>2817590</v>
      </c>
      <c r="DM393" s="403">
        <v>2817590</v>
      </c>
      <c r="DN393" s="403">
        <v>2817590</v>
      </c>
      <c r="DO393" s="403">
        <v>2817590</v>
      </c>
      <c r="DP393" s="403">
        <v>2817590</v>
      </c>
      <c r="DQ393" s="403">
        <v>2817590</v>
      </c>
      <c r="DR393" s="403">
        <v>2817590</v>
      </c>
      <c r="DS393" s="403">
        <v>2817590</v>
      </c>
      <c r="DT393" s="403">
        <v>2817590</v>
      </c>
      <c r="DU393" s="403">
        <v>2817590</v>
      </c>
      <c r="DV393" s="403">
        <v>3281229.6141666663</v>
      </c>
      <c r="DW393" s="403">
        <v>3281229.6141666663</v>
      </c>
      <c r="DX393" s="403">
        <v>3281229.6141666663</v>
      </c>
      <c r="DY393" s="403">
        <v>3281229.6141666663</v>
      </c>
      <c r="DZ393" s="403">
        <v>3281229.6141666663</v>
      </c>
      <c r="EA393" s="403">
        <v>3281229.6141666663</v>
      </c>
      <c r="EB393" s="403">
        <v>3281229.6141666663</v>
      </c>
      <c r="EC393" s="403">
        <v>3281229.6141666663</v>
      </c>
      <c r="ED393" s="403">
        <v>3281229.6141666663</v>
      </c>
      <c r="EE393" s="403">
        <v>3281229.6141666663</v>
      </c>
      <c r="EF393" s="403">
        <v>3281229.6141666663</v>
      </c>
      <c r="EG393" s="403">
        <v>3281229.6141666663</v>
      </c>
      <c r="EH393" s="403">
        <v>2809708.2333333329</v>
      </c>
      <c r="EI393" s="403">
        <v>2809708.2333333329</v>
      </c>
      <c r="EJ393" s="403">
        <v>2809708.2333333329</v>
      </c>
      <c r="EK393" s="403">
        <v>2809708.2333333329</v>
      </c>
      <c r="EL393" s="403">
        <v>2809708.2333333329</v>
      </c>
      <c r="EM393" s="403">
        <v>2809708.2333333329</v>
      </c>
      <c r="EN393" s="403">
        <v>2809708.2333333329</v>
      </c>
      <c r="EO393" s="403">
        <v>2809708.2333333329</v>
      </c>
      <c r="EP393" s="403">
        <v>2809708.2333333329</v>
      </c>
      <c r="EQ393" s="403">
        <v>2809708.2333333329</v>
      </c>
      <c r="ER393" s="403">
        <v>2809708.2333333329</v>
      </c>
      <c r="ES393" s="403">
        <v>2809708.2333333329</v>
      </c>
      <c r="ET393" s="403">
        <v>1807457.9166666667</v>
      </c>
      <c r="EU393" s="403">
        <v>1882457.9166666667</v>
      </c>
      <c r="EV393" s="403">
        <v>1937457.9166666667</v>
      </c>
      <c r="EW393" s="403">
        <v>1912457.9166666667</v>
      </c>
      <c r="EX393" s="403">
        <v>1967457.9166666667</v>
      </c>
      <c r="EY393" s="403">
        <v>1907457.9166666667</v>
      </c>
      <c r="EZ393" s="403">
        <v>3852457.9166666665</v>
      </c>
      <c r="FA393" s="403">
        <v>3337457.9166666665</v>
      </c>
      <c r="FB393" s="403">
        <v>2702457.9166666698</v>
      </c>
      <c r="FC393" s="403">
        <v>2797457.9166666698</v>
      </c>
      <c r="FD393" s="403">
        <v>2792457.9166666698</v>
      </c>
      <c r="FE393" s="403">
        <v>3347457.9166666698</v>
      </c>
      <c r="FF393" s="403">
        <v>1281814.4500000002</v>
      </c>
      <c r="FG393" s="403">
        <v>1266814.4500000002</v>
      </c>
      <c r="FH393" s="403">
        <v>1451704.4</v>
      </c>
      <c r="FI393" s="403">
        <v>1544149.3599999999</v>
      </c>
      <c r="FJ393" s="403">
        <v>1677270.12</v>
      </c>
      <c r="FK393" s="403">
        <v>1669874.52</v>
      </c>
      <c r="FL393" s="403">
        <v>1839973.2600000002</v>
      </c>
      <c r="FM393" s="403">
        <v>1832577.67</v>
      </c>
      <c r="FN393" s="403">
        <v>1610709.73</v>
      </c>
      <c r="FO393" s="403">
        <v>1374050.6099999999</v>
      </c>
      <c r="FP393" s="403">
        <v>1448006.5899999999</v>
      </c>
      <c r="FQ393" s="403">
        <v>1533055.8399999999</v>
      </c>
      <c r="FR393" s="403">
        <v>18530001</v>
      </c>
    </row>
    <row r="394" spans="1:174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3">
        <v>830846.24800000002</v>
      </c>
      <c r="EU394" s="403">
        <v>830846.24800000002</v>
      </c>
      <c r="EV394" s="403">
        <v>830846.24800000002</v>
      </c>
      <c r="EW394" s="403">
        <v>949846.13199999998</v>
      </c>
      <c r="EX394" s="403">
        <v>1306845.784</v>
      </c>
      <c r="EY394" s="403">
        <v>830846.24800000002</v>
      </c>
      <c r="EZ394" s="403">
        <v>1246269.3720000002</v>
      </c>
      <c r="FA394" s="403">
        <v>1246269.3720000002</v>
      </c>
      <c r="FB394" s="403">
        <v>5393218.1470000008</v>
      </c>
      <c r="FC394" s="403">
        <v>5393218.1470000008</v>
      </c>
      <c r="FD394" s="403">
        <v>5393218.1470000008</v>
      </c>
      <c r="FE394" s="403">
        <v>5393218.1470000008</v>
      </c>
      <c r="FF394" s="403">
        <v>1650583.3333333333</v>
      </c>
      <c r="FG394" s="403">
        <v>1843583.3333333333</v>
      </c>
      <c r="FH394" s="403">
        <v>1650583.3333333333</v>
      </c>
      <c r="FI394" s="403">
        <v>1650583.3333333333</v>
      </c>
      <c r="FJ394" s="403">
        <v>1650583.3333333333</v>
      </c>
      <c r="FK394" s="403">
        <v>1650583.3333333333</v>
      </c>
      <c r="FL394" s="403">
        <v>1650583.3333333333</v>
      </c>
      <c r="FM394" s="403">
        <v>1650583.3333333333</v>
      </c>
      <c r="FN394" s="403">
        <v>1650583.3333333333</v>
      </c>
      <c r="FO394" s="403">
        <v>1650583.3333333333</v>
      </c>
      <c r="FP394" s="403">
        <v>1650583.3333333333</v>
      </c>
      <c r="FQ394" s="403">
        <v>1650583.3333333333</v>
      </c>
      <c r="FR394" s="403">
        <v>20000000</v>
      </c>
    </row>
    <row r="395" spans="1:174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3">
        <v>830846.24800000002</v>
      </c>
      <c r="EU395" s="403">
        <v>830846.24800000002</v>
      </c>
      <c r="EV395" s="403">
        <v>830846.24800000002</v>
      </c>
      <c r="EW395" s="403">
        <v>830846.24800000002</v>
      </c>
      <c r="EX395" s="403">
        <v>830846.24800000002</v>
      </c>
      <c r="EY395" s="403">
        <v>830846.24800000002</v>
      </c>
      <c r="EZ395" s="403">
        <v>1246269.3720000002</v>
      </c>
      <c r="FA395" s="403">
        <v>1246269.3720000002</v>
      </c>
      <c r="FB395" s="403">
        <v>2223304.53675</v>
      </c>
      <c r="FC395" s="403">
        <v>3116522.6837499999</v>
      </c>
      <c r="FD395" s="403">
        <v>8116522.6837499999</v>
      </c>
      <c r="FE395" s="403">
        <v>8116522.6837499999</v>
      </c>
      <c r="FF395" s="446">
        <v>1650583.3333333333</v>
      </c>
      <c r="FG395" s="446">
        <v>1843583.3333333333</v>
      </c>
      <c r="FH395" s="446">
        <v>1650583.3333333333</v>
      </c>
      <c r="FI395" s="446">
        <v>1650583.3333333333</v>
      </c>
      <c r="FJ395" s="446">
        <v>1650583.3333333333</v>
      </c>
      <c r="FK395" s="446">
        <v>1650583.3333333333</v>
      </c>
      <c r="FL395" s="446">
        <v>1650583.3333333333</v>
      </c>
      <c r="FM395" s="446">
        <v>1650583.3333333333</v>
      </c>
      <c r="FN395" s="446">
        <v>1650583.3333333333</v>
      </c>
      <c r="FO395" s="446">
        <v>1650583.3333333333</v>
      </c>
      <c r="FP395" s="446">
        <v>1650583.3333333333</v>
      </c>
      <c r="FQ395" s="446">
        <v>1650583.3333333333</v>
      </c>
      <c r="FR395" s="446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3">
        <v>0</v>
      </c>
      <c r="EU396" s="403">
        <v>0</v>
      </c>
      <c r="EV396" s="403">
        <v>0</v>
      </c>
      <c r="EW396" s="403">
        <v>118999.88400000001</v>
      </c>
      <c r="EX396" s="403">
        <v>475999.53600000002</v>
      </c>
      <c r="EY396" s="403">
        <v>0</v>
      </c>
      <c r="EZ396" s="403">
        <v>0</v>
      </c>
      <c r="FA396" s="403">
        <v>0</v>
      </c>
      <c r="FB396" s="403">
        <v>0</v>
      </c>
      <c r="FC396" s="403">
        <v>0</v>
      </c>
      <c r="FD396" s="403">
        <v>0</v>
      </c>
      <c r="FE396" s="403">
        <v>0</v>
      </c>
      <c r="FF396" s="446"/>
    </row>
    <row r="397" spans="1:174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74">
      <c r="D398" s="74">
        <v>1005</v>
      </c>
      <c r="E398" s="78" t="s">
        <v>696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74">
      <c r="FF400" s="405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G24" sqref="G2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2019</v>
      </c>
      <c r="C4" s="56" t="s">
        <v>691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779</v>
      </c>
      <c r="F11" s="12" t="s">
        <v>780</v>
      </c>
      <c r="G11" s="52" t="str">
        <f t="shared" si="0"/>
        <v>Mjesečni podaci 2019</v>
      </c>
    </row>
    <row r="12" spans="2:7">
      <c r="D12" s="41"/>
      <c r="E12" s="11" t="s">
        <v>777</v>
      </c>
      <c r="F12" s="12" t="s">
        <v>778</v>
      </c>
      <c r="G12" s="52" t="str">
        <f t="shared" si="0"/>
        <v>Mjesečni podaci 2018</v>
      </c>
    </row>
    <row r="13" spans="2:7">
      <c r="D13" s="41"/>
      <c r="E13" s="11" t="s">
        <v>751</v>
      </c>
      <c r="F13" s="12" t="s">
        <v>752</v>
      </c>
      <c r="G13" s="52" t="str">
        <f t="shared" si="0"/>
        <v>Mjesečni podaci 2017</v>
      </c>
    </row>
    <row r="14" spans="2:7">
      <c r="D14" s="41"/>
      <c r="E14" s="11" t="s">
        <v>729</v>
      </c>
      <c r="F14" s="12" t="s">
        <v>730</v>
      </c>
      <c r="G14" s="52" t="str">
        <f t="shared" si="0"/>
        <v>Mjesečni podaci 2016</v>
      </c>
    </row>
    <row r="15" spans="2:7">
      <c r="E15" s="11" t="s">
        <v>700</v>
      </c>
      <c r="F15" s="12" t="s">
        <v>701</v>
      </c>
      <c r="G15" s="52" t="str">
        <f t="shared" si="0"/>
        <v>Mjesečni podaci 2015</v>
      </c>
    </row>
    <row r="16" spans="2:7">
      <c r="E16" s="11" t="s">
        <v>14</v>
      </c>
      <c r="F16" s="12" t="s">
        <v>15</v>
      </c>
      <c r="G16" s="52" t="str">
        <f t="shared" si="0"/>
        <v>Mjesečni podaci 2014</v>
      </c>
    </row>
    <row r="17" spans="2:7">
      <c r="E17" s="11" t="s">
        <v>16</v>
      </c>
      <c r="F17" s="12" t="s">
        <v>17</v>
      </c>
      <c r="G17" s="52" t="str">
        <f t="shared" si="0"/>
        <v>Mjesečni podaci 2013</v>
      </c>
    </row>
    <row r="18" spans="2:7">
      <c r="E18" s="11" t="s">
        <v>753</v>
      </c>
      <c r="F18" s="12" t="s">
        <v>754</v>
      </c>
      <c r="G18" s="52" t="str">
        <f t="shared" si="0"/>
        <v>Mjesečni podaci 2012</v>
      </c>
    </row>
    <row r="19" spans="2:7">
      <c r="E19" s="11" t="s">
        <v>755</v>
      </c>
      <c r="F19" s="12" t="s">
        <v>756</v>
      </c>
      <c r="G19" s="52" t="str">
        <f t="shared" si="0"/>
        <v>Mjesečni podaci 2011</v>
      </c>
    </row>
    <row r="20" spans="2:7">
      <c r="E20" s="11" t="s">
        <v>18</v>
      </c>
      <c r="F20" s="12" t="s">
        <v>408</v>
      </c>
      <c r="G20" s="52" t="str">
        <f t="shared" si="0"/>
        <v>Istorijski podaci, od 2006</v>
      </c>
    </row>
    <row r="21" spans="2:7">
      <c r="E21" s="11" t="s">
        <v>19</v>
      </c>
      <c r="F21" s="12" t="s">
        <v>20</v>
      </c>
      <c r="G21" s="52" t="str">
        <f t="shared" si="0"/>
        <v>Javni dug</v>
      </c>
    </row>
    <row r="22" spans="2:7">
      <c r="E22" s="11" t="s">
        <v>415</v>
      </c>
      <c r="F22" s="12" t="s">
        <v>415</v>
      </c>
      <c r="G22" s="52" t="str">
        <f t="shared" si="0"/>
        <v>Plan</v>
      </c>
    </row>
    <row r="23" spans="2:7">
      <c r="E23" s="11" t="s">
        <v>416</v>
      </c>
      <c r="F23" s="12" t="s">
        <v>417</v>
      </c>
      <c r="G23" s="52" t="str">
        <f t="shared" si="0"/>
        <v>Ostvarenje</v>
      </c>
    </row>
    <row r="24" spans="2:7">
      <c r="D24" s="43"/>
      <c r="E24" s="33" t="s">
        <v>418</v>
      </c>
      <c r="F24" s="34" t="s">
        <v>419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692</v>
      </c>
      <c r="F27" s="16" t="s">
        <v>22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23</v>
      </c>
      <c r="F28" s="16" t="s">
        <v>24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25</v>
      </c>
      <c r="F29" s="19" t="s">
        <v>26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27</v>
      </c>
      <c r="F30" s="22" t="s">
        <v>28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29</v>
      </c>
      <c r="F31" s="22" t="s">
        <v>30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31</v>
      </c>
      <c r="F32" s="22" t="s">
        <v>32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33</v>
      </c>
      <c r="F33" s="22" t="s">
        <v>34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35</v>
      </c>
      <c r="F34" s="22" t="s">
        <v>36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37</v>
      </c>
      <c r="F35" s="22" t="s">
        <v>38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735</v>
      </c>
      <c r="F37" s="22" t="s">
        <v>40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41</v>
      </c>
      <c r="F38" s="19" t="s">
        <v>42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43</v>
      </c>
      <c r="F39" s="22" t="s">
        <v>44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45</v>
      </c>
      <c r="F40" s="22" t="s">
        <v>46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47</v>
      </c>
      <c r="F41" s="22" t="s">
        <v>48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49</v>
      </c>
      <c r="F42" s="22" t="s">
        <v>50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51</v>
      </c>
      <c r="F43" s="19" t="s">
        <v>52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53</v>
      </c>
      <c r="F44" s="22" t="s">
        <v>54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55</v>
      </c>
      <c r="F45" s="22" t="s">
        <v>56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57</v>
      </c>
      <c r="F46" s="22" t="s">
        <v>58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59</v>
      </c>
      <c r="F47" s="22" t="s">
        <v>60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61</v>
      </c>
      <c r="F48" s="22" t="s">
        <v>62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63</v>
      </c>
      <c r="F49" s="22" t="s">
        <v>64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65</v>
      </c>
      <c r="F50" s="19" t="s">
        <v>66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67</v>
      </c>
      <c r="F51" s="22" t="s">
        <v>68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69</v>
      </c>
      <c r="F52" s="22" t="s">
        <v>70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71</v>
      </c>
      <c r="F53" s="22" t="s">
        <v>72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73</v>
      </c>
      <c r="F54" s="22" t="s">
        <v>74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75</v>
      </c>
      <c r="F55" s="22" t="s">
        <v>76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77</v>
      </c>
      <c r="F56" s="22" t="s">
        <v>78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79</v>
      </c>
      <c r="F57" s="22" t="s">
        <v>80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81</v>
      </c>
      <c r="F58" s="22" t="s">
        <v>82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83</v>
      </c>
      <c r="F59" s="22" t="s">
        <v>84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85</v>
      </c>
      <c r="F60" s="19" t="s">
        <v>86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87</v>
      </c>
      <c r="F61" s="22" t="s">
        <v>88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89</v>
      </c>
      <c r="F62" s="22" t="s">
        <v>90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91</v>
      </c>
      <c r="F63" s="22" t="s">
        <v>92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93</v>
      </c>
      <c r="F64" s="22" t="s">
        <v>94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85</v>
      </c>
      <c r="F65" s="22" t="s">
        <v>95</v>
      </c>
      <c r="G65" s="52" t="str">
        <f t="shared" si="0"/>
        <v>Ostali prihodi</v>
      </c>
    </row>
    <row r="66" spans="2:7">
      <c r="B66" s="20"/>
      <c r="C66" s="45" t="s">
        <v>96</v>
      </c>
      <c r="D66" s="45">
        <v>72</v>
      </c>
      <c r="E66" s="23" t="s">
        <v>97</v>
      </c>
      <c r="F66" s="16" t="s">
        <v>98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99</v>
      </c>
      <c r="F67" s="22" t="s">
        <v>100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101</v>
      </c>
      <c r="F68" s="22" t="s">
        <v>102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103</v>
      </c>
      <c r="F69" s="16" t="s">
        <v>104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105</v>
      </c>
      <c r="F70" s="22" t="s">
        <v>106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107</v>
      </c>
      <c r="F71" s="22" t="s">
        <v>108</v>
      </c>
      <c r="G71" s="52" t="str">
        <f t="shared" si="0"/>
        <v>Sredstva prenesena iz prethodne godine</v>
      </c>
    </row>
    <row r="72" spans="2:7">
      <c r="B72" s="20"/>
      <c r="C72" s="45" t="s">
        <v>96</v>
      </c>
      <c r="D72" s="45">
        <v>74</v>
      </c>
      <c r="E72" s="23" t="s">
        <v>109</v>
      </c>
      <c r="F72" s="16" t="s">
        <v>110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111</v>
      </c>
      <c r="F73" s="22" t="s">
        <v>112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113</v>
      </c>
      <c r="F74" s="22" t="s">
        <v>114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115</v>
      </c>
      <c r="F75" s="16" t="s">
        <v>116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117</v>
      </c>
      <c r="F76" s="19" t="s">
        <v>116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118</v>
      </c>
      <c r="F77" s="22" t="s">
        <v>119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120</v>
      </c>
      <c r="F78" s="62" t="s">
        <v>121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773</v>
      </c>
      <c r="F79" s="16" t="s">
        <v>123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420</v>
      </c>
      <c r="F80" s="16" t="s">
        <v>421</v>
      </c>
      <c r="G80" s="52" t="str">
        <f t="shared" si="1"/>
        <v>Tekući budžetski izdaci</v>
      </c>
    </row>
    <row r="81" spans="2:7">
      <c r="B81" s="13"/>
      <c r="C81" s="44"/>
      <c r="D81" s="44">
        <v>41</v>
      </c>
      <c r="E81" s="15" t="s">
        <v>124</v>
      </c>
      <c r="F81" s="16" t="s">
        <v>125</v>
      </c>
      <c r="G81" s="52" t="str">
        <f t="shared" si="1"/>
        <v>Tekući izdaci</v>
      </c>
    </row>
    <row r="82" spans="2:7">
      <c r="B82" s="14" t="s">
        <v>96</v>
      </c>
      <c r="C82" s="46"/>
      <c r="D82" s="44">
        <v>411</v>
      </c>
      <c r="E82" s="18" t="s">
        <v>126</v>
      </c>
      <c r="F82" s="19" t="s">
        <v>127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128</v>
      </c>
      <c r="F83" s="22" t="s">
        <v>129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130</v>
      </c>
      <c r="F84" s="22" t="s">
        <v>28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131</v>
      </c>
      <c r="F85" s="22" t="s">
        <v>132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133</v>
      </c>
      <c r="F86" s="22" t="s">
        <v>134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135</v>
      </c>
      <c r="F87" s="22" t="s">
        <v>136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137</v>
      </c>
      <c r="F88" s="19" t="s">
        <v>138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139</v>
      </c>
      <c r="F89" s="22" t="s">
        <v>140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141</v>
      </c>
      <c r="F90" s="22" t="s">
        <v>142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143</v>
      </c>
      <c r="F91" s="22" t="s">
        <v>144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145</v>
      </c>
      <c r="F92" s="22" t="s">
        <v>146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147</v>
      </c>
      <c r="F93" s="22" t="s">
        <v>148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149</v>
      </c>
      <c r="F94" s="22" t="s">
        <v>150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83</v>
      </c>
      <c r="F95" s="22" t="s">
        <v>151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732</v>
      </c>
      <c r="F96" s="22" t="s">
        <v>734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152</v>
      </c>
      <c r="F97" s="19" t="s">
        <v>153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154</v>
      </c>
      <c r="F98" s="22" t="s">
        <v>155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156</v>
      </c>
      <c r="F99" s="22" t="s">
        <v>157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158</v>
      </c>
      <c r="F100" s="22" t="s">
        <v>159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160</v>
      </c>
      <c r="F101" s="22" t="s">
        <v>161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162</v>
      </c>
      <c r="F102" s="22" t="s">
        <v>163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164</v>
      </c>
      <c r="F103" s="22" t="s">
        <v>165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166</v>
      </c>
      <c r="F104" s="19" t="s">
        <v>167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168</v>
      </c>
      <c r="F105" s="22" t="s">
        <v>169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170</v>
      </c>
      <c r="F106" s="22" t="s">
        <v>171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172</v>
      </c>
      <c r="F107" s="22" t="s">
        <v>173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174</v>
      </c>
      <c r="F108" s="22" t="s">
        <v>175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176</v>
      </c>
      <c r="F109" s="22" t="s">
        <v>177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178</v>
      </c>
      <c r="F110" s="22" t="s">
        <v>179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180</v>
      </c>
      <c r="F111" s="22" t="s">
        <v>181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182</v>
      </c>
      <c r="F112" s="22" t="s">
        <v>183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184</v>
      </c>
      <c r="F113" s="22" t="s">
        <v>185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186</v>
      </c>
      <c r="F114" s="19" t="s">
        <v>187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188</v>
      </c>
      <c r="F115" s="22" t="s">
        <v>189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190</v>
      </c>
      <c r="F116" s="22" t="s">
        <v>191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192</v>
      </c>
      <c r="F117" s="22" t="s">
        <v>193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194</v>
      </c>
      <c r="F118" s="19" t="s">
        <v>195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196</v>
      </c>
      <c r="F119" s="22" t="s">
        <v>197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198</v>
      </c>
      <c r="F120" s="22" t="s">
        <v>199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200</v>
      </c>
      <c r="F121" s="19" t="s">
        <v>201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202</v>
      </c>
      <c r="F122" s="22" t="s">
        <v>203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204</v>
      </c>
      <c r="F123" s="22" t="s">
        <v>205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206</v>
      </c>
      <c r="F124" s="22" t="s">
        <v>207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208</v>
      </c>
      <c r="F125" s="19" t="s">
        <v>209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210</v>
      </c>
      <c r="F126" s="22" t="s">
        <v>211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212</v>
      </c>
      <c r="F127" s="22" t="s">
        <v>213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214</v>
      </c>
      <c r="F128" s="22" t="s">
        <v>215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216</v>
      </c>
      <c r="F129" s="19" t="s">
        <v>217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218</v>
      </c>
      <c r="F130" s="22" t="s">
        <v>219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220</v>
      </c>
      <c r="F131" s="22" t="s">
        <v>221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222</v>
      </c>
      <c r="F132" s="22" t="s">
        <v>223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224</v>
      </c>
      <c r="F133" s="22" t="s">
        <v>225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226</v>
      </c>
      <c r="F134" s="22" t="s">
        <v>227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228</v>
      </c>
      <c r="F135" s="22" t="s">
        <v>229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230</v>
      </c>
      <c r="F136" s="22" t="s">
        <v>231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51</v>
      </c>
      <c r="F137" s="22" t="s">
        <v>66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232</v>
      </c>
      <c r="F138" s="22" t="s">
        <v>233</v>
      </c>
      <c r="G138" s="52" t="str">
        <f t="shared" si="1"/>
        <v>Ostalo</v>
      </c>
    </row>
    <row r="139" spans="2:7">
      <c r="B139" s="25"/>
      <c r="C139" s="44" t="s">
        <v>96</v>
      </c>
      <c r="D139" s="44">
        <v>42</v>
      </c>
      <c r="E139" s="15" t="s">
        <v>234</v>
      </c>
      <c r="F139" s="16" t="s">
        <v>235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236</v>
      </c>
      <c r="F140" s="19" t="s">
        <v>237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96</v>
      </c>
      <c r="D141" s="49">
        <v>4211</v>
      </c>
      <c r="E141" s="21" t="s">
        <v>238</v>
      </c>
      <c r="F141" s="22" t="s">
        <v>239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240</v>
      </c>
      <c r="F142" s="22" t="s">
        <v>241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242</v>
      </c>
      <c r="F143" s="22" t="s">
        <v>243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244</v>
      </c>
      <c r="F144" s="22" t="s">
        <v>245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246</v>
      </c>
      <c r="F145" s="22" t="s">
        <v>247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248</v>
      </c>
      <c r="F146" s="22" t="s">
        <v>249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250</v>
      </c>
      <c r="F147" s="22" t="s">
        <v>251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732</v>
      </c>
      <c r="F148" s="22" t="s">
        <v>733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252</v>
      </c>
      <c r="F149" s="19" t="s">
        <v>253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254</v>
      </c>
      <c r="F150" s="22" t="s">
        <v>255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256</v>
      </c>
      <c r="F151" s="22" t="s">
        <v>257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258</v>
      </c>
      <c r="F152" s="22" t="s">
        <v>259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260</v>
      </c>
      <c r="F153" s="22" t="s">
        <v>261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232</v>
      </c>
      <c r="F154" s="22" t="s">
        <v>262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263</v>
      </c>
      <c r="F155" s="19" t="s">
        <v>264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265</v>
      </c>
      <c r="F156" s="22" t="s">
        <v>266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267</v>
      </c>
      <c r="F157" s="22" t="s">
        <v>268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269</v>
      </c>
      <c r="F158" s="22" t="s">
        <v>270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65</v>
      </c>
      <c r="F159" s="22" t="s">
        <v>271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272</v>
      </c>
      <c r="F160" s="22" t="s">
        <v>273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274</v>
      </c>
      <c r="F161" s="22" t="s">
        <v>275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276</v>
      </c>
      <c r="F162" s="22" t="s">
        <v>277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278</v>
      </c>
      <c r="F163" s="19" t="s">
        <v>279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280</v>
      </c>
      <c r="F164" s="22" t="s">
        <v>281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282</v>
      </c>
      <c r="F165" s="19" t="s">
        <v>283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284</v>
      </c>
      <c r="F166" s="22" t="s">
        <v>285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286</v>
      </c>
      <c r="F167" s="22" t="s">
        <v>287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288</v>
      </c>
      <c r="F168" s="22" t="s">
        <v>289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290</v>
      </c>
      <c r="F169" s="16" t="s">
        <v>291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96</v>
      </c>
      <c r="C170" s="46"/>
      <c r="D170" s="44">
        <v>431</v>
      </c>
      <c r="E170" s="18" t="s">
        <v>290</v>
      </c>
      <c r="F170" s="19" t="s">
        <v>291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96</v>
      </c>
      <c r="C171" s="49"/>
      <c r="D171" s="49">
        <v>4311</v>
      </c>
      <c r="E171" s="21" t="s">
        <v>292</v>
      </c>
      <c r="F171" s="22" t="s">
        <v>293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294</v>
      </c>
      <c r="F172" s="22" t="s">
        <v>295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296</v>
      </c>
      <c r="F173" s="22" t="s">
        <v>297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298</v>
      </c>
      <c r="F174" s="22" t="s">
        <v>299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300</v>
      </c>
      <c r="F175" s="22" t="s">
        <v>301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302</v>
      </c>
      <c r="F176" s="22" t="s">
        <v>303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304</v>
      </c>
      <c r="F177" s="22" t="s">
        <v>305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306</v>
      </c>
      <c r="F178" s="22" t="s">
        <v>307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308</v>
      </c>
      <c r="F179" s="22" t="s">
        <v>309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310</v>
      </c>
      <c r="F180" s="19" t="s">
        <v>311</v>
      </c>
      <c r="G180" s="52" t="str">
        <f t="shared" si="2"/>
        <v xml:space="preserve">Ostali transferi </v>
      </c>
    </row>
    <row r="181" spans="2:7" ht="23.25">
      <c r="B181" s="14" t="s">
        <v>96</v>
      </c>
      <c r="C181" s="49"/>
      <c r="D181" s="49">
        <v>4321</v>
      </c>
      <c r="E181" s="21" t="s">
        <v>312</v>
      </c>
      <c r="F181" s="22" t="s">
        <v>313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314</v>
      </c>
      <c r="F182" s="22" t="s">
        <v>315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316</v>
      </c>
      <c r="F183" s="22" t="s">
        <v>317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318</v>
      </c>
      <c r="F184" s="22" t="s">
        <v>319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320</v>
      </c>
      <c r="F185" s="22" t="s">
        <v>321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322</v>
      </c>
      <c r="F186" s="22" t="s">
        <v>323</v>
      </c>
      <c r="G186" s="52" t="str">
        <f t="shared" si="2"/>
        <v>Transferi javnim preduzećima</v>
      </c>
    </row>
    <row r="187" spans="2:7">
      <c r="B187" s="25"/>
      <c r="C187" s="44" t="s">
        <v>96</v>
      </c>
      <c r="D187" s="44">
        <v>44</v>
      </c>
      <c r="E187" s="15" t="s">
        <v>551</v>
      </c>
      <c r="F187" s="16" t="s">
        <v>325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422</v>
      </c>
      <c r="F188" s="16" t="s">
        <v>423</v>
      </c>
      <c r="G188" s="52" t="str">
        <f t="shared" si="2"/>
        <v>Kapitalni izdaci u tekućem budžetu</v>
      </c>
    </row>
    <row r="189" spans="2:7">
      <c r="B189" s="14" t="s">
        <v>96</v>
      </c>
      <c r="C189" s="46"/>
      <c r="D189" s="44">
        <v>441</v>
      </c>
      <c r="E189" s="18" t="s">
        <v>324</v>
      </c>
      <c r="F189" s="19" t="s">
        <v>325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326</v>
      </c>
      <c r="F190" s="22" t="s">
        <v>327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328</v>
      </c>
      <c r="F191" s="22" t="s">
        <v>329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330</v>
      </c>
      <c r="F192" s="22" t="s">
        <v>331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332</v>
      </c>
      <c r="F193" s="22" t="s">
        <v>333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334</v>
      </c>
      <c r="F194" s="22" t="s">
        <v>335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336</v>
      </c>
      <c r="F195" s="22" t="s">
        <v>337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338</v>
      </c>
      <c r="F196" s="22" t="s">
        <v>339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340</v>
      </c>
      <c r="F197" s="22" t="s">
        <v>341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342</v>
      </c>
      <c r="F198" s="22" t="s">
        <v>343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344</v>
      </c>
      <c r="F199" s="16" t="s">
        <v>345</v>
      </c>
      <c r="G199" s="52" t="str">
        <f t="shared" si="2"/>
        <v>Krediti i pozajmice</v>
      </c>
    </row>
    <row r="200" spans="2:7">
      <c r="B200" s="14" t="s">
        <v>96</v>
      </c>
      <c r="C200" s="46"/>
      <c r="D200" s="44">
        <v>451</v>
      </c>
      <c r="E200" s="18" t="s">
        <v>117</v>
      </c>
      <c r="F200" s="19" t="s">
        <v>345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346</v>
      </c>
      <c r="F201" s="22" t="s">
        <v>347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348</v>
      </c>
      <c r="F202" s="22" t="s">
        <v>349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350</v>
      </c>
      <c r="F203" s="22" t="s">
        <v>351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352</v>
      </c>
      <c r="F204" s="22" t="s">
        <v>353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354</v>
      </c>
      <c r="F205" s="22" t="s">
        <v>355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356</v>
      </c>
      <c r="F206" s="16" t="s">
        <v>357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96</v>
      </c>
      <c r="C207" s="46"/>
      <c r="D207" s="44">
        <v>461</v>
      </c>
      <c r="E207" s="18" t="s">
        <v>358</v>
      </c>
      <c r="F207" s="19" t="s">
        <v>357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359</v>
      </c>
      <c r="F208" s="22" t="s">
        <v>360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361</v>
      </c>
      <c r="F209" s="22" t="s">
        <v>362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363</v>
      </c>
      <c r="F210" s="19" t="s">
        <v>364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365</v>
      </c>
      <c r="F211" s="22" t="s">
        <v>366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367</v>
      </c>
      <c r="F212" s="22" t="s">
        <v>368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369</v>
      </c>
      <c r="F213" s="19" t="s">
        <v>370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371</v>
      </c>
      <c r="F214" s="29" t="s">
        <v>372</v>
      </c>
      <c r="G214" s="52" t="str">
        <f t="shared" si="3"/>
        <v>Rezerve</v>
      </c>
    </row>
    <row r="215" spans="2:7">
      <c r="B215" s="14" t="s">
        <v>96</v>
      </c>
      <c r="C215" s="49">
        <v>471</v>
      </c>
      <c r="D215" s="49">
        <v>4710</v>
      </c>
      <c r="E215" s="30" t="s">
        <v>373</v>
      </c>
      <c r="F215" s="31" t="s">
        <v>374</v>
      </c>
      <c r="G215" s="52" t="str">
        <f t="shared" si="3"/>
        <v>Tekuća budžetska rezerva</v>
      </c>
    </row>
    <row r="216" spans="2:7">
      <c r="B216" s="25" t="s">
        <v>96</v>
      </c>
      <c r="C216" s="49">
        <v>472</v>
      </c>
      <c r="D216" s="49">
        <v>4720</v>
      </c>
      <c r="E216" s="30" t="s">
        <v>375</v>
      </c>
      <c r="F216" s="31" t="s">
        <v>376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377</v>
      </c>
      <c r="F217" s="36" t="s">
        <v>378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554</v>
      </c>
      <c r="F219" s="96" t="s">
        <v>555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556</v>
      </c>
      <c r="F220" s="96" t="s">
        <v>557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96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552</v>
      </c>
      <c r="F222" s="96" t="s">
        <v>558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553</v>
      </c>
      <c r="F223" s="96" t="s">
        <v>559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560</v>
      </c>
      <c r="F225" s="96" t="s">
        <v>561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696</v>
      </c>
      <c r="F227" s="96" t="s">
        <v>697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424</v>
      </c>
      <c r="D231" s="49">
        <v>1</v>
      </c>
      <c r="E231" s="9" t="s">
        <v>379</v>
      </c>
      <c r="F231" s="10" t="s">
        <v>380</v>
      </c>
      <c r="G231" s="52" t="str">
        <f t="shared" si="3"/>
        <v>Januar</v>
      </c>
    </row>
    <row r="232" spans="2:7">
      <c r="C232" s="41" t="s">
        <v>429</v>
      </c>
      <c r="D232" s="49">
        <v>2</v>
      </c>
      <c r="E232" s="9" t="s">
        <v>381</v>
      </c>
      <c r="F232" s="10" t="s">
        <v>382</v>
      </c>
      <c r="G232" s="52" t="str">
        <f t="shared" si="3"/>
        <v>Februar</v>
      </c>
    </row>
    <row r="233" spans="2:7">
      <c r="C233" s="41" t="s">
        <v>430</v>
      </c>
      <c r="D233" s="49">
        <v>3</v>
      </c>
      <c r="E233" s="9" t="s">
        <v>383</v>
      </c>
      <c r="F233" s="10" t="s">
        <v>384</v>
      </c>
      <c r="G233" s="52" t="str">
        <f t="shared" si="3"/>
        <v>Mart</v>
      </c>
    </row>
    <row r="234" spans="2:7">
      <c r="D234" s="49">
        <v>4</v>
      </c>
      <c r="E234" s="9" t="s">
        <v>385</v>
      </c>
      <c r="F234" s="10" t="s">
        <v>385</v>
      </c>
      <c r="G234" s="52" t="str">
        <f t="shared" si="3"/>
        <v>April</v>
      </c>
    </row>
    <row r="235" spans="2:7">
      <c r="D235" s="49">
        <v>5</v>
      </c>
      <c r="E235" s="9" t="s">
        <v>386</v>
      </c>
      <c r="F235" s="10" t="s">
        <v>387</v>
      </c>
      <c r="G235" s="52" t="str">
        <f t="shared" si="3"/>
        <v>Maj</v>
      </c>
    </row>
    <row r="236" spans="2:7">
      <c r="D236" s="49">
        <v>6</v>
      </c>
      <c r="E236" s="9" t="s">
        <v>388</v>
      </c>
      <c r="F236" s="10" t="s">
        <v>389</v>
      </c>
      <c r="G236" s="52" t="str">
        <f t="shared" si="3"/>
        <v>Jun</v>
      </c>
    </row>
    <row r="237" spans="2:7">
      <c r="D237" s="49">
        <v>7</v>
      </c>
      <c r="E237" s="9" t="s">
        <v>390</v>
      </c>
      <c r="F237" s="10" t="s">
        <v>391</v>
      </c>
      <c r="G237" s="52" t="str">
        <f t="shared" si="3"/>
        <v>Jul</v>
      </c>
    </row>
    <row r="238" spans="2:7">
      <c r="D238" s="49">
        <v>8</v>
      </c>
      <c r="E238" s="9" t="s">
        <v>392</v>
      </c>
      <c r="F238" s="10" t="s">
        <v>393</v>
      </c>
      <c r="G238" s="52" t="str">
        <f t="shared" si="3"/>
        <v>Avgust</v>
      </c>
    </row>
    <row r="239" spans="2:7">
      <c r="D239" s="49">
        <v>9</v>
      </c>
      <c r="E239" s="9" t="s">
        <v>394</v>
      </c>
      <c r="F239" s="10" t="s">
        <v>395</v>
      </c>
      <c r="G239" s="52" t="str">
        <f t="shared" si="3"/>
        <v>Septembar</v>
      </c>
    </row>
    <row r="240" spans="2:7">
      <c r="D240" s="49">
        <v>10</v>
      </c>
      <c r="E240" s="9" t="s">
        <v>396</v>
      </c>
      <c r="F240" s="10" t="s">
        <v>397</v>
      </c>
      <c r="G240" s="52" t="str">
        <f t="shared" si="3"/>
        <v>Oktobar</v>
      </c>
    </row>
    <row r="241" spans="4:7">
      <c r="D241" s="49">
        <v>11</v>
      </c>
      <c r="E241" s="9" t="s">
        <v>398</v>
      </c>
      <c r="F241" s="10" t="s">
        <v>399</v>
      </c>
      <c r="G241" s="52" t="str">
        <f t="shared" si="3"/>
        <v>Novembar</v>
      </c>
    </row>
    <row r="242" spans="4:7">
      <c r="D242" s="49">
        <v>12</v>
      </c>
      <c r="E242" s="9" t="s">
        <v>400</v>
      </c>
      <c r="F242" s="10" t="s">
        <v>401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Februar</v>
      </c>
    </row>
    <row r="245" spans="4:7">
      <c r="D245" s="49"/>
      <c r="E245" s="9"/>
      <c r="F245" s="10"/>
      <c r="G245" s="52" t="str">
        <f>+CONCATENATE("Jan - ",LEFT(G244,3))</f>
        <v>Jan - Feb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427</v>
      </c>
      <c r="F248" s="10" t="s">
        <v>428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565</v>
      </c>
      <c r="F251" s="10" t="s">
        <v>562</v>
      </c>
      <c r="G251" s="52" t="str">
        <f t="shared" si="3"/>
        <v>Ostvarenje budžeta</v>
      </c>
    </row>
    <row r="252" spans="4:7">
      <c r="D252" s="46"/>
      <c r="E252" s="9" t="s">
        <v>563</v>
      </c>
      <c r="F252" s="10" t="s">
        <v>564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Februar</v>
      </c>
      <c r="F253" s="10" t="str">
        <f>+CONCATENATE("Analytics for period ",G244)</f>
        <v>Analytics for period Februar</v>
      </c>
      <c r="G253" s="52" t="str">
        <f>+IF(ISBLANK(IF($B$2=1,E253,F253)),"",IF($B$2=1,E253,F253))</f>
        <v>Analitika za period Februar</v>
      </c>
    </row>
    <row r="254" spans="4:7">
      <c r="D254" s="46"/>
      <c r="E254" s="9" t="str">
        <f>+CONCATENATE("Analitika za period ",G245)</f>
        <v>Analitika za period Jan - Feb</v>
      </c>
      <c r="F254" s="10" t="str">
        <f>+CONCATENATE("Analytics for period ",G245)</f>
        <v>Analytics for period Jan - Feb</v>
      </c>
      <c r="G254" s="52" t="str">
        <f>+IF(ISBLANK(IF($B$2=1,E254,F254)),"",IF($B$2=1,E254,F254))</f>
        <v>Analitika za period Jan - Feb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415</v>
      </c>
      <c r="F257" s="10" t="s">
        <v>415</v>
      </c>
      <c r="G257" s="52" t="str">
        <f t="shared" si="3"/>
        <v>Plan</v>
      </c>
    </row>
    <row r="258" spans="4:7">
      <c r="D258" s="46"/>
      <c r="E258" s="9" t="s">
        <v>416</v>
      </c>
      <c r="F258" s="10" t="s">
        <v>417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688</v>
      </c>
      <c r="F260" s="10" t="s">
        <v>689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693</v>
      </c>
      <c r="F262" s="10" t="s">
        <v>694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426</v>
      </c>
      <c r="E269" s="9" t="s">
        <v>402</v>
      </c>
      <c r="F269" s="10" t="s">
        <v>403</v>
      </c>
      <c r="G269" s="52" t="str">
        <f>+CONCATENATE(IF(ISBLANK(IF($B$2=1,E269,F269)),"",IF($B$2=1,E269,F269))," ",$G$244)</f>
        <v>Prihodi za mjesec Februar</v>
      </c>
    </row>
    <row r="270" spans="4:7">
      <c r="E270" s="9" t="s">
        <v>404</v>
      </c>
      <c r="F270" s="10" t="s">
        <v>405</v>
      </c>
      <c r="G270" s="52" t="str">
        <f>+CONCATENATE(IF(ISBLANK(IF($B$2=1,E270,F270)),"",IF($B$2=1,E270,F270))," ",$G$244)</f>
        <v>Rashodi za mjesec Februar</v>
      </c>
    </row>
    <row r="271" spans="4:7">
      <c r="E271" s="9" t="s">
        <v>738</v>
      </c>
      <c r="F271" s="10" t="s">
        <v>795</v>
      </c>
      <c r="G271" s="52" t="str">
        <f>+CONCATENATE(IF(ISBLANK(IF($B$2=1,E271,F271)),"",IF($B$2=1,E271,F271))," ",$G$244)</f>
        <v>Suficit/Deficit za mjesec Februar</v>
      </c>
    </row>
    <row r="273" spans="5:7">
      <c r="E273" s="9" t="s">
        <v>406</v>
      </c>
      <c r="F273" s="10" t="s">
        <v>409</v>
      </c>
      <c r="G273" s="52" t="str">
        <f>+CONCATENATE(IF(ISBLANK(IF($B$2=1,E273,F273)),"",IF($B$2=1,E273,F273))," ",$G$244)</f>
        <v>Prihodi za period Januar - Februar</v>
      </c>
    </row>
    <row r="274" spans="5:7">
      <c r="E274" s="9" t="s">
        <v>407</v>
      </c>
      <c r="F274" s="10" t="s">
        <v>410</v>
      </c>
      <c r="G274" s="52" t="str">
        <f>+CONCATENATE(IF(ISBLANK(IF($B$2=1,E274,F274)),"",IF($B$2=1,E274,F274))," ",$G$244)</f>
        <v>Rashodi za period Januar - Februar</v>
      </c>
    </row>
    <row r="275" spans="5:7">
      <c r="E275" s="9" t="s">
        <v>793</v>
      </c>
      <c r="F275" s="10" t="s">
        <v>794</v>
      </c>
      <c r="G275" s="52" t="str">
        <f>+CONCATENATE(IF(ISBLANK(IF($B$2=1,E275,F275)),"",IF($B$2=1,E275,F275))," ",$G$244)</f>
        <v>Suficit/Deficit za period Januar - Februar</v>
      </c>
    </row>
    <row r="277" spans="5:7">
      <c r="E277" s="9" t="s">
        <v>413</v>
      </c>
      <c r="F277" s="10" t="s">
        <v>414</v>
      </c>
      <c r="G277" s="52" t="str">
        <f t="shared" si="3"/>
        <v>Stanje javnog duga (% BDP)</v>
      </c>
    </row>
    <row r="279" spans="5:7">
      <c r="E279" s="9" t="s">
        <v>411</v>
      </c>
      <c r="F279" s="10" t="s">
        <v>412</v>
      </c>
      <c r="G279" s="52" t="str">
        <f t="shared" si="3"/>
        <v>Pregled</v>
      </c>
    </row>
    <row r="281" spans="5:7" ht="60">
      <c r="E281" s="301" t="s">
        <v>698</v>
      </c>
      <c r="F281" s="60" t="s">
        <v>699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G34" sqref="G34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ekonomsku politiku i razvoj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Februar</v>
      </c>
      <c r="E11" s="157"/>
      <c r="F11" s="157"/>
      <c r="G11" s="157"/>
      <c r="H11" s="318" t="str">
        <f>+Master!G273</f>
        <v>Prihodi za period Januar - Februar</v>
      </c>
      <c r="I11" s="319"/>
      <c r="J11" s="307"/>
      <c r="K11" s="158"/>
    </row>
    <row r="12" spans="3:11">
      <c r="C12" s="156"/>
      <c r="D12" s="160">
        <f>+'Analitika - 2019'!N10</f>
        <v>116405215.94999999</v>
      </c>
      <c r="E12" s="161">
        <f>+D12/'2019'!T7</f>
        <v>2.430882010399699E-2</v>
      </c>
      <c r="F12" s="157"/>
      <c r="G12" s="157"/>
      <c r="H12" s="320">
        <f>+'Analitika - 2019'!G10</f>
        <v>223553828.16</v>
      </c>
      <c r="I12" s="321">
        <f>+H12/'2019'!T7</f>
        <v>4.6684590101491043E-2</v>
      </c>
      <c r="J12" s="307"/>
      <c r="K12" s="158"/>
    </row>
    <row r="13" spans="3:11">
      <c r="C13" s="156"/>
      <c r="D13" s="162" t="s">
        <v>425</v>
      </c>
      <c r="E13" s="162" t="str">
        <f>+Master!G249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+Master!G270</f>
        <v>Rashodi za mjesec Februar</v>
      </c>
      <c r="E15" s="157"/>
      <c r="F15" s="157"/>
      <c r="G15" s="157"/>
      <c r="H15" s="318" t="str">
        <f>+Master!G274</f>
        <v>Rashodi za period Januar - Februar</v>
      </c>
      <c r="I15" s="319"/>
      <c r="J15" s="307"/>
      <c r="K15" s="158"/>
    </row>
    <row r="16" spans="3:11">
      <c r="C16" s="156"/>
      <c r="D16" s="160">
        <f>+'Analitika - 2019'!N29</f>
        <v>127591222.05000001</v>
      </c>
      <c r="E16" s="161">
        <f>+D16/'2019'!T7</f>
        <v>2.6644785960405967E-2</v>
      </c>
      <c r="F16" s="157"/>
      <c r="G16" s="157"/>
      <c r="H16" s="320">
        <f>+'Analitika - 2019'!G29</f>
        <v>267159673.48000005</v>
      </c>
      <c r="I16" s="321">
        <f>+H16/'2019'!T7</f>
        <v>5.5790768383243546E-2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+Master!G271</f>
        <v>Suficit/Deficit za mjesec Februar</v>
      </c>
      <c r="E19" s="157"/>
      <c r="F19" s="157"/>
      <c r="G19" s="157"/>
      <c r="H19" s="318" t="str">
        <f>+Master!G275</f>
        <v>Suficit/Deficit za period Januar - Februar</v>
      </c>
      <c r="I19" s="319"/>
      <c r="J19" s="307"/>
      <c r="K19" s="158"/>
    </row>
    <row r="20" spans="3:11">
      <c r="C20" s="156"/>
      <c r="D20" s="160">
        <f>+'Analitika - 2019'!N55</f>
        <v>-11186006.100000024</v>
      </c>
      <c r="E20" s="161">
        <f>+D20/'2019'!T7</f>
        <v>-2.3359658564089765E-3</v>
      </c>
      <c r="F20" s="157"/>
      <c r="G20" s="157"/>
      <c r="H20" s="320">
        <f>+'Analitika - 2019'!G55</f>
        <v>-43605845.320000052</v>
      </c>
      <c r="I20" s="321">
        <f>+H20/'2019'!T7</f>
        <v>-9.1061782817525062E-3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498"/>
      <c r="E22" s="499"/>
      <c r="F22" s="499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1"/>
  <sheetViews>
    <sheetView tabSelected="1" zoomScaleNormal="100" workbookViewId="0">
      <pane ySplit="5" topLeftCell="A6" activePane="bottomLeft" state="frozen"/>
      <selection activeCell="DK219" sqref="DK219"/>
      <selection pane="bottomLeft" activeCell="A60" sqref="A60:XFD6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8"/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2019-02</v>
      </c>
      <c r="O6" s="168" t="str">
        <f>+CONCATENATE(N6,"p")</f>
        <v>2019-02p</v>
      </c>
      <c r="P6" s="152"/>
      <c r="Q6" s="152"/>
      <c r="R6" s="168" t="str">
        <f>+IF(Master!B3-10&gt;=0,CONCATENATE(Master!B4-1,"-",Master!B3),CONCATENATE(Master!B4-1,"-0",Master!B3))</f>
        <v>2018-02</v>
      </c>
      <c r="S6" s="152"/>
      <c r="T6" s="152"/>
    </row>
    <row r="7" spans="1:20">
      <c r="A7" s="169"/>
      <c r="B7" s="452" t="str">
        <f>+Master!G253</f>
        <v>Analitika za period Februar</v>
      </c>
      <c r="C7" s="453"/>
      <c r="D7" s="453"/>
      <c r="E7" s="453"/>
      <c r="F7" s="453"/>
      <c r="G7" s="461" t="str">
        <f>+Master!G245</f>
        <v>Jan - Feb</v>
      </c>
      <c r="H7" s="462"/>
      <c r="I7" s="462"/>
      <c r="J7" s="462"/>
      <c r="K7" s="462"/>
      <c r="L7" s="462"/>
      <c r="M7" s="463"/>
      <c r="N7" s="464" t="str">
        <f>+Master!G244</f>
        <v>Februar</v>
      </c>
      <c r="O7" s="462"/>
      <c r="P7" s="462"/>
      <c r="Q7" s="462"/>
      <c r="R7" s="462"/>
      <c r="S7" s="462"/>
      <c r="T7" s="465"/>
    </row>
    <row r="8" spans="1:20">
      <c r="A8" s="169"/>
      <c r="B8" s="454"/>
      <c r="C8" s="455"/>
      <c r="D8" s="455"/>
      <c r="E8" s="455"/>
      <c r="F8" s="456"/>
      <c r="G8" s="170" t="str">
        <f>+Master!G23</f>
        <v>Ostvarenje</v>
      </c>
      <c r="H8" s="170" t="str">
        <f>+Master!G22</f>
        <v>Plan</v>
      </c>
      <c r="I8" s="448" t="str">
        <f>+Master!G260</f>
        <v>Odstupanje</v>
      </c>
      <c r="J8" s="448"/>
      <c r="K8" s="170" t="str">
        <f>+CONCATENATE(Master!G245," ",Master!B4-1)</f>
        <v>Jan - Feb 2018</v>
      </c>
      <c r="L8" s="448" t="str">
        <f>+I8</f>
        <v>Odstupanje</v>
      </c>
      <c r="M8" s="460"/>
      <c r="N8" s="171" t="str">
        <f>+G8</f>
        <v>Ostvarenje</v>
      </c>
      <c r="O8" s="170" t="str">
        <f>+H8</f>
        <v>Plan</v>
      </c>
      <c r="P8" s="448" t="str">
        <f>+I8</f>
        <v>Odstupanje</v>
      </c>
      <c r="Q8" s="448"/>
      <c r="R8" s="170" t="str">
        <f>+CONCATENATE(Master!G244," ",Master!B4-1)</f>
        <v>Februar 2018</v>
      </c>
      <c r="S8" s="448" t="str">
        <f>+P8</f>
        <v>Odstupanje</v>
      </c>
      <c r="T8" s="449"/>
    </row>
    <row r="9" spans="1:20" ht="15.75" thickBot="1">
      <c r="A9" s="169"/>
      <c r="B9" s="457"/>
      <c r="C9" s="458"/>
      <c r="D9" s="458"/>
      <c r="E9" s="458"/>
      <c r="F9" s="459"/>
      <c r="G9" s="162" t="s">
        <v>425</v>
      </c>
      <c r="H9" s="162" t="s">
        <v>425</v>
      </c>
      <c r="I9" s="162" t="s">
        <v>425</v>
      </c>
      <c r="J9" s="162" t="s">
        <v>690</v>
      </c>
      <c r="K9" s="162" t="s">
        <v>425</v>
      </c>
      <c r="L9" s="162" t="s">
        <v>425</v>
      </c>
      <c r="M9" s="172" t="s">
        <v>690</v>
      </c>
      <c r="N9" s="173" t="s">
        <v>425</v>
      </c>
      <c r="O9" s="162" t="s">
        <v>425</v>
      </c>
      <c r="P9" s="162" t="s">
        <v>425</v>
      </c>
      <c r="Q9" s="162" t="s">
        <v>690</v>
      </c>
      <c r="R9" s="162" t="s">
        <v>425</v>
      </c>
      <c r="S9" s="162" t="s">
        <v>425</v>
      </c>
      <c r="T9" s="174" t="s">
        <v>690</v>
      </c>
    </row>
    <row r="10" spans="1:20" ht="15.7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>+SUMPRODUCT(('2019'!$G10:$R10)*('2019'!$G$5:$R$5&lt;=Master!$B$3)*($A10='2019'!$A$10:$A$66))</f>
        <v>223553828.16</v>
      </c>
      <c r="H10" s="176">
        <f>+SUMPRODUCT(('2019'!$G105:$R105)*('2019'!$G$5:$R$5&lt;=Master!$B$3))</f>
        <v>210346723.64782408</v>
      </c>
      <c r="I10" s="177">
        <f>+G10-H10</f>
        <v>13207104.512175918</v>
      </c>
      <c r="J10" s="178">
        <f>+IF(ISNUMBER(G10/H10-1),G10/H10-1,"…")</f>
        <v>6.2787307941568393E-2</v>
      </c>
      <c r="K10" s="176">
        <f>+SUMPRODUCT(('2018'!$G10:$R10)*('2018'!$G$5:$R$5&lt;=Master!$B$3))</f>
        <v>188623841.91000003</v>
      </c>
      <c r="L10" s="177">
        <f>+G10-K10</f>
        <v>34929986.24999997</v>
      </c>
      <c r="M10" s="179">
        <f>+IF(ISNUMBER(G10/K10-1),G10/K10-1,"…")</f>
        <v>0.18518330395722971</v>
      </c>
      <c r="N10" s="176">
        <f>+INDEX('2019'!$1:$1048576,MATCH('Analitika - 2019'!$A10,'2019'!$A:$A,0),MATCH('Analitika - 2019'!$N$6,'2019'!$6:$6,0))</f>
        <v>116405215.94999999</v>
      </c>
      <c r="O10" s="176">
        <f>+INDEX('2019'!$1:$1048576,MATCH(CONCATENATE('Analitika - 2019'!$A10,"p"),'2019'!$A:$A,0),MATCH('Analitika - 2019'!$O$6,'2019'!$101:$101,0))</f>
        <v>110204101.45187533</v>
      </c>
      <c r="P10" s="177">
        <f>+N10-O10</f>
        <v>6201114.4981246591</v>
      </c>
      <c r="Q10" s="178">
        <f>+IF(ISNUMBER(N10/O10-1),N10/O10-1,"…")</f>
        <v>5.6269362178254401E-2</v>
      </c>
      <c r="R10" s="176">
        <f>+INDEX('2018'!$1:$1048576,MATCH('Analitika - 2019'!$A10,'2018'!$A:$A,0),MATCH('Analitika - 2019'!$R$6,'2018'!$6:$6,0))</f>
        <v>107080108.15000001</v>
      </c>
      <c r="S10" s="177">
        <f>+N10-R10</f>
        <v>9325107.7999999821</v>
      </c>
      <c r="T10" s="179">
        <f>+IF(ISNUMBER(N10/R10-1),N10/R10-1,"…")</f>
        <v>8.7085341629812074E-2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341">
        <f>+SUMPRODUCT(('2019'!$G11:$R11)*('2019'!$G$5:$R$5&lt;=Master!$B$3)*($A11='2019'!$A$10:$A$66))</f>
        <v>140900638.86000001</v>
      </c>
      <c r="H11" s="341">
        <f>+SUMPRODUCT(('2019'!$G106:$R106)*('2019'!$G$5:$R$5&lt;=Master!$B$3))</f>
        <v>132823934.13068688</v>
      </c>
      <c r="I11" s="183">
        <f t="shared" ref="I11:I59" si="0">+G11-H11</f>
        <v>8076704.7293131351</v>
      </c>
      <c r="J11" s="184">
        <f t="shared" ref="J11:J59" si="1">+IF(ISNUMBER(G11/H11-1),G11/H11-1,"…")</f>
        <v>6.0807600544088514E-2</v>
      </c>
      <c r="K11" s="341">
        <f>+SUMPRODUCT(('2018'!$G11:$R11)*('2018'!$G$5:$R$5&lt;=Master!$B$3))</f>
        <v>125093448.84</v>
      </c>
      <c r="L11" s="183">
        <f>+G11-K11</f>
        <v>15807190.020000011</v>
      </c>
      <c r="M11" s="185">
        <f t="shared" ref="M11:M59" si="2">+IF(ISNUMBER(G11/K11-1),G11/K11-1,"…")</f>
        <v>0.12636305231473877</v>
      </c>
      <c r="N11" s="341">
        <f>+INDEX('2019'!$1:$1048576,MATCH('Analitika - 2019'!$A11,'2019'!$A:$A,0),MATCH('Analitika - 2019'!$N$6,'2019'!$6:$6,0))</f>
        <v>68470908.439999998</v>
      </c>
      <c r="O11" s="341">
        <f>+INDEX('2019'!$1:$1048576,MATCH(CONCATENATE('Analitika - 2019'!$A11,"p"),'2019'!$A:$A,0),MATCH('Analitika - 2019'!$O$6,'2019'!$101:$101,0))</f>
        <v>66472981.942397669</v>
      </c>
      <c r="P11" s="183">
        <f t="shared" ref="P11:P59" si="3">+N11-O11</f>
        <v>1997926.4976023287</v>
      </c>
      <c r="Q11" s="184">
        <f t="shared" ref="Q11:Q59" si="4">+IF(ISNUMBER(N11/O11-1),N11/O11-1,"…")</f>
        <v>3.0056218921149513E-2</v>
      </c>
      <c r="R11" s="341">
        <f>+INDEX('2018'!$1:$1048576,MATCH('Analitika - 2019'!$A11,'2018'!$A:$A,0),MATCH('Analitika - 2019'!$R$6,'2018'!$6:$6,0))</f>
        <v>64797597.330000006</v>
      </c>
      <c r="S11" s="183">
        <f t="shared" ref="S11:S59" si="5">+N11-R11</f>
        <v>3673311.109999992</v>
      </c>
      <c r="T11" s="185">
        <f t="shared" ref="T11:T59" si="6">+IF(ISNUMBER(N11/R11-1),N11/R11-1,"…")</f>
        <v>5.668900177413394E-2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f>+SUMPRODUCT(('2019'!$G12:$R12)*('2019'!$G$5:$R$5&lt;=Master!$B$3)*($A12='2019'!$A$10:$A$66))</f>
        <v>13602574.960000001</v>
      </c>
      <c r="H12" s="188">
        <f>+SUMPRODUCT(('2019'!$G107:$R107)*('2019'!$G$5:$R$5&lt;=Master!$B$3))</f>
        <v>11675658.708740236</v>
      </c>
      <c r="I12" s="189">
        <f t="shared" si="0"/>
        <v>1926916.2512597647</v>
      </c>
      <c r="J12" s="190">
        <f t="shared" si="1"/>
        <v>0.16503704838659772</v>
      </c>
      <c r="K12" s="188">
        <f>+SUMPRODUCT(('2018'!$G12:$R12)*('2018'!$G$5:$R$5&lt;=Master!$B$3))</f>
        <v>12394015.779999999</v>
      </c>
      <c r="L12" s="189">
        <f>+G12-K12</f>
        <v>1208559.1800000016</v>
      </c>
      <c r="M12" s="191">
        <f t="shared" si="2"/>
        <v>9.7511508896917176E-2</v>
      </c>
      <c r="N12" s="188">
        <f>+INDEX('2019'!$1:$1048576,MATCH('Analitika - 2019'!$A12,'2019'!$A:$A,0),MATCH('Analitika - 2019'!$N$6,'2019'!$6:$6,0))</f>
        <v>9361661.1500000004</v>
      </c>
      <c r="O12" s="188">
        <f>+INDEX('2019'!$1:$1048576,MATCH(CONCATENATE('Analitika - 2019'!$A12,"p"),'2019'!$A:$A,0),MATCH('Analitika - 2019'!$O$6,'2019'!$101:$101,0))</f>
        <v>8022759.2428831048</v>
      </c>
      <c r="P12" s="189">
        <f t="shared" si="3"/>
        <v>1338901.9071168955</v>
      </c>
      <c r="Q12" s="190">
        <f t="shared" si="4"/>
        <v>0.16688795794347433</v>
      </c>
      <c r="R12" s="188">
        <f>+INDEX('2018'!$1:$1048576,MATCH('Analitika - 2019'!$A12,'2018'!$A:$A,0),MATCH('Analitika - 2019'!$R$6,'2018'!$6:$6,0))</f>
        <v>8897390.9499999993</v>
      </c>
      <c r="S12" s="189">
        <f t="shared" si="5"/>
        <v>464270.20000000112</v>
      </c>
      <c r="T12" s="191">
        <f t="shared" si="6"/>
        <v>5.2180487809182052E-2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f>+SUMPRODUCT(('2019'!$G13:$R13)*('2019'!$G$5:$R$5&lt;=Master!$B$3)*($A13='2019'!$A$10:$A$66))</f>
        <v>2899393.45</v>
      </c>
      <c r="H13" s="188">
        <f>+SUMPRODUCT(('2019'!$G108:$R108)*('2019'!$G$5:$R$5&lt;=Master!$B$3))</f>
        <v>2229823.6189130517</v>
      </c>
      <c r="I13" s="189">
        <f t="shared" si="0"/>
        <v>669569.83108694851</v>
      </c>
      <c r="J13" s="190">
        <f t="shared" si="1"/>
        <v>0.30027928012231597</v>
      </c>
      <c r="K13" s="188">
        <f>+SUMPRODUCT(('2018'!$G13:$R13)*('2018'!$G$5:$R$5&lt;=Master!$B$3))</f>
        <v>2117173.42</v>
      </c>
      <c r="L13" s="189">
        <f t="shared" ref="L13:L59" si="7">+G13-K13</f>
        <v>782220.03000000026</v>
      </c>
      <c r="M13" s="191">
        <f t="shared" si="2"/>
        <v>0.36946431624859533</v>
      </c>
      <c r="N13" s="188">
        <f>+INDEX('2019'!$1:$1048576,MATCH('Analitika - 2019'!$A13,'2019'!$A:$A,0),MATCH('Analitika - 2019'!$N$6,'2019'!$6:$6,0))</f>
        <v>1962550.32</v>
      </c>
      <c r="O13" s="188">
        <f>+INDEX('2019'!$1:$1048576,MATCH(CONCATENATE('Analitika - 2019'!$A13,"p"),'2019'!$A:$A,0),MATCH('Analitika - 2019'!$O$6,'2019'!$101:$101,0))</f>
        <v>1728915.0269937462</v>
      </c>
      <c r="P13" s="189">
        <f t="shared" si="3"/>
        <v>233635.29300625389</v>
      </c>
      <c r="Q13" s="190">
        <f t="shared" si="4"/>
        <v>0.13513405191029038</v>
      </c>
      <c r="R13" s="188">
        <f>+INDEX('2018'!$1:$1048576,MATCH('Analitika - 2019'!$A13,'2018'!$A:$A,0),MATCH('Analitika - 2019'!$R$6,'2018'!$6:$6,0))</f>
        <v>1641570.62</v>
      </c>
      <c r="S13" s="189">
        <f t="shared" si="5"/>
        <v>320979.69999999995</v>
      </c>
      <c r="T13" s="191">
        <f t="shared" si="6"/>
        <v>0.19553206915947352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f>+SUMPRODUCT(('2019'!$G14:$R14)*('2019'!$G$5:$R$5&lt;=Master!$B$3)*($A14='2019'!$A$10:$A$66))</f>
        <v>287811.61</v>
      </c>
      <c r="H14" s="188">
        <f>+SUMPRODUCT(('2019'!$G109:$R109)*('2019'!$G$5:$R$5&lt;=Master!$B$3))</f>
        <v>216395.27585412105</v>
      </c>
      <c r="I14" s="189">
        <f t="shared" si="0"/>
        <v>71416.334145878936</v>
      </c>
      <c r="J14" s="190">
        <f t="shared" si="1"/>
        <v>0.33002723309922422</v>
      </c>
      <c r="K14" s="188">
        <f>+SUMPRODUCT(('2018'!$G14:$R14)*('2018'!$G$5:$R$5&lt;=Master!$B$3))</f>
        <v>209946.02000000002</v>
      </c>
      <c r="L14" s="189">
        <f t="shared" si="7"/>
        <v>77865.589999999967</v>
      </c>
      <c r="M14" s="191">
        <f t="shared" si="2"/>
        <v>0.37088385862232576</v>
      </c>
      <c r="N14" s="188">
        <f>+INDEX('2019'!$1:$1048576,MATCH('Analitika - 2019'!$A14,'2019'!$A:$A,0),MATCH('Analitika - 2019'!$N$6,'2019'!$6:$6,0))</f>
        <v>169568.16</v>
      </c>
      <c r="O14" s="188">
        <f>+INDEX('2019'!$1:$1048576,MATCH(CONCATENATE('Analitika - 2019'!$A14,"p"),'2019'!$A:$A,0),MATCH('Analitika - 2019'!$O$6,'2019'!$101:$101,0))</f>
        <v>120146.26435610364</v>
      </c>
      <c r="P14" s="189">
        <f t="shared" si="3"/>
        <v>49421.895643896365</v>
      </c>
      <c r="Q14" s="190">
        <f t="shared" si="4"/>
        <v>0.41134775108291288</v>
      </c>
      <c r="R14" s="188">
        <f>+INDEX('2018'!$1:$1048576,MATCH('Analitika - 2019'!$A14,'2018'!$A:$A,0),MATCH('Analitika - 2019'!$R$6,'2018'!$6:$6,0))</f>
        <v>116565.53</v>
      </c>
      <c r="S14" s="189">
        <f t="shared" si="5"/>
        <v>53002.630000000005</v>
      </c>
      <c r="T14" s="191">
        <f t="shared" si="6"/>
        <v>0.45470243218556972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f>+SUMPRODUCT(('2019'!$G15:$R15)*('2019'!$G$5:$R$5&lt;=Master!$B$3)*($A15='2019'!$A$10:$A$66))</f>
        <v>88805588.579999998</v>
      </c>
      <c r="H15" s="188">
        <f>+SUMPRODUCT(('2019'!$G110:$R110)*('2019'!$G$5:$R$5&lt;=Master!$B$3))</f>
        <v>85811653.269848138</v>
      </c>
      <c r="I15" s="189">
        <f t="shared" si="0"/>
        <v>2993935.3101518601</v>
      </c>
      <c r="J15" s="190">
        <f t="shared" si="1"/>
        <v>3.4889612262066105E-2</v>
      </c>
      <c r="K15" s="188">
        <f>+SUMPRODUCT(('2018'!$G15:$R15)*('2018'!$G$5:$R$5&lt;=Master!$B$3))</f>
        <v>79196990.99000001</v>
      </c>
      <c r="L15" s="189">
        <f t="shared" si="7"/>
        <v>9608597.5899999887</v>
      </c>
      <c r="M15" s="191">
        <f t="shared" si="2"/>
        <v>0.12132528609847371</v>
      </c>
      <c r="N15" s="188">
        <f>+INDEX('2019'!$1:$1048576,MATCH('Analitika - 2019'!$A15,'2019'!$A:$A,0),MATCH('Analitika - 2019'!$N$6,'2019'!$6:$6,0))</f>
        <v>38958365.399999999</v>
      </c>
      <c r="O15" s="188">
        <f>+INDEX('2019'!$1:$1048576,MATCH(CONCATENATE('Analitika - 2019'!$A15,"p"),'2019'!$A:$A,0),MATCH('Analitika - 2019'!$O$6,'2019'!$101:$101,0))</f>
        <v>40500051.462180994</v>
      </c>
      <c r="P15" s="189">
        <f t="shared" si="3"/>
        <v>-1541686.0621809959</v>
      </c>
      <c r="Q15" s="190">
        <f t="shared" si="4"/>
        <v>-3.8066274153271795E-2</v>
      </c>
      <c r="R15" s="188">
        <f>+INDEX('2018'!$1:$1048576,MATCH('Analitika - 2019'!$A15,'2018'!$A:$A,0),MATCH('Analitika - 2019'!$R$6,'2018'!$6:$6,0))</f>
        <v>38270122.18</v>
      </c>
      <c r="S15" s="189">
        <f t="shared" si="5"/>
        <v>688243.21999999881</v>
      </c>
      <c r="T15" s="191">
        <f t="shared" si="6"/>
        <v>1.7983826044842832E-2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f>+SUMPRODUCT(('2019'!$G16:$R16)*('2019'!$G$5:$R$5&lt;=Master!$B$3)*($A16='2019'!$A$10:$A$66))</f>
        <v>28327343.440000001</v>
      </c>
      <c r="H16" s="188">
        <f>+SUMPRODUCT(('2019'!$G111:$R111)*('2019'!$G$5:$R$5&lt;=Master!$B$3))</f>
        <v>28554529.811479546</v>
      </c>
      <c r="I16" s="189">
        <f t="shared" si="0"/>
        <v>-227186.37147954479</v>
      </c>
      <c r="J16" s="190">
        <f t="shared" si="1"/>
        <v>-7.956228765784501E-3</v>
      </c>
      <c r="K16" s="188">
        <f>+SUMPRODUCT(('2018'!$G16:$R16)*('2018'!$G$5:$R$5&lt;=Master!$B$3))</f>
        <v>26955736.149999999</v>
      </c>
      <c r="L16" s="189">
        <f t="shared" si="7"/>
        <v>1371607.2900000028</v>
      </c>
      <c r="M16" s="191">
        <f t="shared" si="2"/>
        <v>5.0883688813670336E-2</v>
      </c>
      <c r="N16" s="188">
        <f>+INDEX('2019'!$1:$1048576,MATCH('Analitika - 2019'!$A16,'2019'!$A:$A,0),MATCH('Analitika - 2019'!$N$6,'2019'!$6:$6,0))</f>
        <v>13186126.23</v>
      </c>
      <c r="O16" s="188">
        <f>+INDEX('2019'!$1:$1048576,MATCH(CONCATENATE('Analitika - 2019'!$A16,"p"),'2019'!$A:$A,0),MATCH('Analitika - 2019'!$O$6,'2019'!$101:$101,0))</f>
        <v>13752359.500128729</v>
      </c>
      <c r="P16" s="189">
        <f t="shared" si="3"/>
        <v>-566233.27012872882</v>
      </c>
      <c r="Q16" s="190">
        <f t="shared" si="4"/>
        <v>-4.1173536084729956E-2</v>
      </c>
      <c r="R16" s="188">
        <f>+INDEX('2018'!$1:$1048576,MATCH('Analitika - 2019'!$A16,'2018'!$A:$A,0),MATCH('Analitika - 2019'!$R$6,'2018'!$6:$6,0))</f>
        <v>13585674.48</v>
      </c>
      <c r="S16" s="189">
        <f t="shared" si="5"/>
        <v>-399548.25</v>
      </c>
      <c r="T16" s="191">
        <f t="shared" si="6"/>
        <v>-2.94095262320756E-2</v>
      </c>
    </row>
    <row r="17" spans="1:20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f>+SUMPRODUCT(('2019'!$G17:$R17)*('2019'!$G$5:$R$5&lt;=Master!$B$3)*($A17='2019'!$A$10:$A$66))</f>
        <v>3158757.01</v>
      </c>
      <c r="H17" s="188">
        <f>+SUMPRODUCT(('2019'!$G112:$R112)*('2019'!$G$5:$R$5&lt;=Master!$B$3))</f>
        <v>2972707.5927500948</v>
      </c>
      <c r="I17" s="189">
        <f t="shared" si="0"/>
        <v>186049.41724990495</v>
      </c>
      <c r="J17" s="190">
        <f t="shared" si="1"/>
        <v>6.2585845208471325E-2</v>
      </c>
      <c r="K17" s="188">
        <f>+SUMPRODUCT(('2018'!$G17:$R17)*('2018'!$G$5:$R$5&lt;=Master!$B$3))</f>
        <v>2897296.71</v>
      </c>
      <c r="L17" s="189">
        <f t="shared" si="7"/>
        <v>261460.29999999981</v>
      </c>
      <c r="M17" s="191">
        <f t="shared" si="2"/>
        <v>9.0242845718069287E-2</v>
      </c>
      <c r="N17" s="188">
        <f>+INDEX('2019'!$1:$1048576,MATCH('Analitika - 2019'!$A17,'2019'!$A:$A,0),MATCH('Analitika - 2019'!$N$6,'2019'!$6:$6,0))</f>
        <v>1733788.33</v>
      </c>
      <c r="O17" s="188">
        <f>+INDEX('2019'!$1:$1048576,MATCH(CONCATENATE('Analitika - 2019'!$A17,"p"),'2019'!$A:$A,0),MATCH('Analitika - 2019'!$O$6,'2019'!$101:$101,0))</f>
        <v>1722044.3795582296</v>
      </c>
      <c r="P17" s="189">
        <f t="shared" si="3"/>
        <v>11743.950441770488</v>
      </c>
      <c r="Q17" s="190">
        <f t="shared" si="4"/>
        <v>6.8197722318765752E-3</v>
      </c>
      <c r="R17" s="188">
        <f>+INDEX('2018'!$1:$1048576,MATCH('Analitika - 2019'!$A17,'2018'!$A:$A,0),MATCH('Analitika - 2019'!$R$6,'2018'!$6:$6,0))</f>
        <v>1678360</v>
      </c>
      <c r="S17" s="189">
        <f t="shared" si="5"/>
        <v>55428.330000000075</v>
      </c>
      <c r="T17" s="191">
        <f t="shared" si="6"/>
        <v>3.3025292547486984E-2</v>
      </c>
    </row>
    <row r="18" spans="1:20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f>+SUMPRODUCT(('2019'!$G18:$R18)*('2019'!$G$5:$R$5&lt;=Master!$B$3)*($A18='2019'!$A$10:$A$66))</f>
        <v>3819169.81</v>
      </c>
      <c r="H18" s="188">
        <f>+SUMPRODUCT(('2019'!$G113:$R113)*('2019'!$G$5:$R$5&lt;=Master!$B$3))</f>
        <v>1363165.8531016982</v>
      </c>
      <c r="I18" s="189">
        <f t="shared" si="0"/>
        <v>2456003.9568983018</v>
      </c>
      <c r="J18" s="190">
        <f t="shared" si="1"/>
        <v>1.8016912258402007</v>
      </c>
      <c r="K18" s="188">
        <f>+SUMPRODUCT(('2018'!$G18:$R18)*('2018'!$G$5:$R$5&lt;=Master!$B$3))</f>
        <v>1322289.77</v>
      </c>
      <c r="L18" s="189">
        <f t="shared" si="7"/>
        <v>2496880.04</v>
      </c>
      <c r="M18" s="191">
        <f t="shared" si="2"/>
        <v>1.888300202156143</v>
      </c>
      <c r="N18" s="188">
        <f>+INDEX('2019'!$1:$1048576,MATCH('Analitika - 2019'!$A18,'2019'!$A:$A,0),MATCH('Analitika - 2019'!$N$6,'2019'!$6:$6,0))</f>
        <v>3098848.85</v>
      </c>
      <c r="O18" s="188">
        <f>+INDEX('2019'!$1:$1048576,MATCH(CONCATENATE('Analitika - 2019'!$A18,"p"),'2019'!$A:$A,0),MATCH('Analitika - 2019'!$O$6,'2019'!$101:$101,0))</f>
        <v>626706.06629676104</v>
      </c>
      <c r="P18" s="189">
        <f t="shared" si="3"/>
        <v>2472142.7837032392</v>
      </c>
      <c r="Q18" s="190">
        <f t="shared" si="4"/>
        <v>3.9446606896774759</v>
      </c>
      <c r="R18" s="188">
        <f>+INDEX('2018'!$1:$1048576,MATCH('Analitika - 2019'!$A18,'2018'!$A:$A,0),MATCH('Analitika - 2019'!$R$6,'2018'!$6:$6,0))</f>
        <v>607913.56999999995</v>
      </c>
      <c r="S18" s="189">
        <f t="shared" si="5"/>
        <v>2490935.2800000003</v>
      </c>
      <c r="T18" s="191">
        <f t="shared" si="6"/>
        <v>4.0975155070152498</v>
      </c>
    </row>
    <row r="19" spans="1:20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+SUMPRODUCT(('2019'!$G19:$R19)*('2019'!$G$5:$R$5&lt;=Master!$B$3)*($A19='2019'!$A$10:$A$66))</f>
        <v>58411150.859999999</v>
      </c>
      <c r="H19" s="194">
        <f>+SUMPRODUCT(('2019'!$G114:$R114)*('2019'!$G$5:$R$5&lt;=Master!$B$3))</f>
        <v>52159346.798475064</v>
      </c>
      <c r="I19" s="195">
        <f t="shared" si="0"/>
        <v>6251804.0615249351</v>
      </c>
      <c r="J19" s="196">
        <f t="shared" si="1"/>
        <v>0.11985970770837406</v>
      </c>
      <c r="K19" s="194">
        <f>+SUMPRODUCT(('2018'!$G19:$R19)*('2018'!$G$5:$R$5&lt;=Master!$B$3))</f>
        <v>51510795.060000002</v>
      </c>
      <c r="L19" s="195">
        <f t="shared" si="7"/>
        <v>6900355.799999997</v>
      </c>
      <c r="M19" s="197">
        <f t="shared" si="2"/>
        <v>0.1339594116526921</v>
      </c>
      <c r="N19" s="194">
        <f>+INDEX('2019'!$1:$1048576,MATCH('Analitika - 2019'!$A19,'2019'!$A:$A,0),MATCH('Analitika - 2019'!$N$6,'2019'!$6:$6,0))</f>
        <v>41912269.380000003</v>
      </c>
      <c r="O19" s="194">
        <f>+INDEX('2019'!$1:$1048576,MATCH(CONCATENATE('Analitika - 2019'!$A19,"p"),'2019'!$A:$A,0),MATCH('Analitika - 2019'!$O$6,'2019'!$101:$101,0))</f>
        <v>37403451.017929606</v>
      </c>
      <c r="P19" s="195">
        <f t="shared" si="3"/>
        <v>4508818.3620703965</v>
      </c>
      <c r="Q19" s="196">
        <f t="shared" si="4"/>
        <v>0.12054551757561249</v>
      </c>
      <c r="R19" s="194">
        <f>+INDEX('2018'!$1:$1048576,MATCH('Analitika - 2019'!$A19,'2018'!$A:$A,0),MATCH('Analitika - 2019'!$R$6,'2018'!$6:$6,0))</f>
        <v>36938118.07</v>
      </c>
      <c r="S19" s="195">
        <f t="shared" si="5"/>
        <v>4974151.3100000024</v>
      </c>
      <c r="T19" s="197">
        <f t="shared" si="6"/>
        <v>0.13466174158016608</v>
      </c>
    </row>
    <row r="20" spans="1:20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f>+SUMPRODUCT(('2019'!$G20:$R20)*('2019'!$G$5:$R$5&lt;=Master!$B$3)*($A20='2019'!$A$10:$A$66))</f>
        <v>34289555.840000004</v>
      </c>
      <c r="H20" s="188">
        <f>+SUMPRODUCT(('2019'!$G115:$R115)*('2019'!$G$5:$R$5&lt;=Master!$B$3))</f>
        <v>31884498.671989929</v>
      </c>
      <c r="I20" s="189">
        <f t="shared" si="0"/>
        <v>2405057.1680100746</v>
      </c>
      <c r="J20" s="190">
        <f t="shared" si="1"/>
        <v>7.5430295854796769E-2</v>
      </c>
      <c r="K20" s="188">
        <f>+SUMPRODUCT(('2018'!$G20:$R20)*('2018'!$G$5:$R$5&lt;=Master!$B$3))</f>
        <v>31418895.270000003</v>
      </c>
      <c r="L20" s="189">
        <f t="shared" si="7"/>
        <v>2870660.5700000003</v>
      </c>
      <c r="M20" s="191">
        <f t="shared" si="2"/>
        <v>9.1367329924582741E-2</v>
      </c>
      <c r="N20" s="188">
        <f>+INDEX('2019'!$1:$1048576,MATCH('Analitika - 2019'!$A20,'2019'!$A:$A,0),MATCH('Analitika - 2019'!$N$6,'2019'!$6:$6,0))</f>
        <v>24593790.260000002</v>
      </c>
      <c r="O20" s="188">
        <f>+INDEX('2019'!$1:$1048576,MATCH(CONCATENATE('Analitika - 2019'!$A20,"p"),'2019'!$A:$A,0),MATCH('Analitika - 2019'!$O$6,'2019'!$101:$101,0))</f>
        <v>22757066.487967167</v>
      </c>
      <c r="P20" s="189">
        <f t="shared" si="3"/>
        <v>1836723.7720328346</v>
      </c>
      <c r="Q20" s="190">
        <f t="shared" si="4"/>
        <v>8.0710041120809928E-2</v>
      </c>
      <c r="R20" s="188">
        <f>+INDEX('2018'!$1:$1048576,MATCH('Analitika - 2019'!$A20,'2018'!$A:$A,0),MATCH('Analitika - 2019'!$R$6,'2018'!$6:$6,0))</f>
        <v>22424749.280000001</v>
      </c>
      <c r="S20" s="189">
        <f t="shared" si="5"/>
        <v>2169040.9800000004</v>
      </c>
      <c r="T20" s="191">
        <f t="shared" si="6"/>
        <v>9.6725316877210643E-2</v>
      </c>
    </row>
    <row r="21" spans="1:20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f>+SUMPRODUCT(('2019'!$G21:$R21)*('2019'!$G$5:$R$5&lt;=Master!$B$3)*($A21='2019'!$A$10:$A$66))</f>
        <v>21085526.09</v>
      </c>
      <c r="H21" s="188">
        <f>+SUMPRODUCT(('2019'!$G116:$R116)*('2019'!$G$5:$R$5&lt;=Master!$B$3))</f>
        <v>17761465.535643153</v>
      </c>
      <c r="I21" s="189">
        <f t="shared" si="0"/>
        <v>3324060.554356847</v>
      </c>
      <c r="J21" s="190">
        <f t="shared" si="1"/>
        <v>0.18715012833182176</v>
      </c>
      <c r="K21" s="188">
        <f>+SUMPRODUCT(('2018'!$G21:$R21)*('2018'!$G$5:$R$5&lt;=Master!$B$3))</f>
        <v>17609267.530000001</v>
      </c>
      <c r="L21" s="189">
        <f t="shared" si="7"/>
        <v>3476258.5599999987</v>
      </c>
      <c r="M21" s="191">
        <f t="shared" si="2"/>
        <v>0.19741074147903515</v>
      </c>
      <c r="N21" s="188">
        <f>+INDEX('2019'!$1:$1048576,MATCH('Analitika - 2019'!$A21,'2019'!$A:$A,0),MATCH('Analitika - 2019'!$N$6,'2019'!$6:$6,0))</f>
        <v>15122476.890000001</v>
      </c>
      <c r="O21" s="188">
        <f>+INDEX('2019'!$1:$1048576,MATCH(CONCATENATE('Analitika - 2019'!$A21,"p"),'2019'!$A:$A,0),MATCH('Analitika - 2019'!$O$6,'2019'!$101:$101,0))</f>
        <v>12811801.099004392</v>
      </c>
      <c r="P21" s="189">
        <f t="shared" si="3"/>
        <v>2310675.790995609</v>
      </c>
      <c r="Q21" s="190">
        <f t="shared" si="4"/>
        <v>0.18035526567573479</v>
      </c>
      <c r="R21" s="188">
        <f>+INDEX('2018'!$1:$1048576,MATCH('Analitika - 2019'!$A21,'2018'!$A:$A,0),MATCH('Analitika - 2019'!$R$6,'2018'!$6:$6,0))</f>
        <v>12702016.77</v>
      </c>
      <c r="S21" s="189">
        <f t="shared" si="5"/>
        <v>2420460.120000001</v>
      </c>
      <c r="T21" s="191">
        <f t="shared" si="6"/>
        <v>0.19055715039809384</v>
      </c>
    </row>
    <row r="22" spans="1:20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f>+SUMPRODUCT(('2019'!$G22:$R22)*('2019'!$G$5:$R$5&lt;=Master!$B$3)*($A22='2019'!$A$10:$A$66))</f>
        <v>1620197.27</v>
      </c>
      <c r="H22" s="188">
        <f>+SUMPRODUCT(('2019'!$G117:$R117)*('2019'!$G$5:$R$5&lt;=Master!$B$3))</f>
        <v>1275429.2142741978</v>
      </c>
      <c r="I22" s="189">
        <f t="shared" si="0"/>
        <v>344768.0557258022</v>
      </c>
      <c r="J22" s="190">
        <f t="shared" si="1"/>
        <v>0.27031531963300504</v>
      </c>
      <c r="K22" s="188">
        <f>+SUMPRODUCT(('2018'!$G22:$R22)*('2018'!$G$5:$R$5&lt;=Master!$B$3))</f>
        <v>1326551.71</v>
      </c>
      <c r="L22" s="189">
        <f t="shared" si="7"/>
        <v>293645.56000000006</v>
      </c>
      <c r="M22" s="191">
        <f t="shared" si="2"/>
        <v>0.22136005538751302</v>
      </c>
      <c r="N22" s="188">
        <f>+INDEX('2019'!$1:$1048576,MATCH('Analitika - 2019'!$A22,'2019'!$A:$A,0),MATCH('Analitika - 2019'!$N$6,'2019'!$6:$6,0))</f>
        <v>1160315.8500000001</v>
      </c>
      <c r="O22" s="188">
        <f>+INDEX('2019'!$1:$1048576,MATCH(CONCATENATE('Analitika - 2019'!$A22,"p"),'2019'!$A:$A,0),MATCH('Analitika - 2019'!$O$6,'2019'!$101:$101,0))</f>
        <v>923569.68270678399</v>
      </c>
      <c r="P22" s="189">
        <f t="shared" si="3"/>
        <v>236746.1672932161</v>
      </c>
      <c r="Q22" s="190">
        <f t="shared" si="4"/>
        <v>0.25633817537120107</v>
      </c>
      <c r="R22" s="188">
        <f>+INDEX('2018'!$1:$1048576,MATCH('Analitika - 2019'!$A22,'2018'!$A:$A,0),MATCH('Analitika - 2019'!$R$6,'2018'!$6:$6,0))</f>
        <v>960588.74</v>
      </c>
      <c r="S22" s="189">
        <f t="shared" si="5"/>
        <v>199727.1100000001</v>
      </c>
      <c r="T22" s="191">
        <f t="shared" si="6"/>
        <v>0.20792156068787571</v>
      </c>
    </row>
    <row r="23" spans="1:20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f>+SUMPRODUCT(('2019'!$G23:$R23)*('2019'!$G$5:$R$5&lt;=Master!$B$3)*($A23='2019'!$A$10:$A$66))</f>
        <v>1415871.6600000001</v>
      </c>
      <c r="H23" s="188">
        <f>+SUMPRODUCT(('2019'!$G118:$R118)*('2019'!$G$5:$R$5&lt;=Master!$B$3))</f>
        <v>1237953.3765677905</v>
      </c>
      <c r="I23" s="189">
        <f t="shared" si="0"/>
        <v>177918.28343220963</v>
      </c>
      <c r="J23" s="190">
        <f t="shared" si="1"/>
        <v>0.14371969639558291</v>
      </c>
      <c r="K23" s="188">
        <f>+SUMPRODUCT(('2018'!$G23:$R23)*('2018'!$G$5:$R$5&lt;=Master!$B$3))</f>
        <v>1156080.55</v>
      </c>
      <c r="L23" s="189">
        <f t="shared" si="7"/>
        <v>259791.1100000001</v>
      </c>
      <c r="M23" s="191">
        <f t="shared" si="2"/>
        <v>0.22471713584317299</v>
      </c>
      <c r="N23" s="188">
        <f>+INDEX('2019'!$1:$1048576,MATCH('Analitika - 2019'!$A23,'2019'!$A:$A,0),MATCH('Analitika - 2019'!$N$6,'2019'!$6:$6,0))</f>
        <v>1035686.38</v>
      </c>
      <c r="O23" s="188">
        <f>+INDEX('2019'!$1:$1048576,MATCH(CONCATENATE('Analitika - 2019'!$A23,"p"),'2019'!$A:$A,0),MATCH('Analitika - 2019'!$O$6,'2019'!$101:$101,0))</f>
        <v>911013.74825126899</v>
      </c>
      <c r="P23" s="189">
        <f t="shared" si="3"/>
        <v>124672.63174873102</v>
      </c>
      <c r="Q23" s="190">
        <f t="shared" si="4"/>
        <v>0.13685043940121178</v>
      </c>
      <c r="R23" s="188">
        <f>+INDEX('2018'!$1:$1048576,MATCH('Analitika - 2019'!$A23,'2018'!$A:$A,0),MATCH('Analitika - 2019'!$R$6,'2018'!$6:$6,0))</f>
        <v>850763.28</v>
      </c>
      <c r="S23" s="189">
        <f t="shared" si="5"/>
        <v>184923.09999999998</v>
      </c>
      <c r="T23" s="191">
        <f t="shared" si="6"/>
        <v>0.21736140280995664</v>
      </c>
    </row>
    <row r="24" spans="1:20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f>+SUMPRODUCT(('2019'!$G24:$R24)*('2019'!$G$5:$R$5&lt;=Master!$B$3)*($A24='2019'!$A$10:$A$66))</f>
        <v>1770999.45</v>
      </c>
      <c r="H24" s="200">
        <f>+SUMPRODUCT(('2019'!$G119:$R119)*('2019'!$G$5:$R$5&lt;=Master!$B$3))</f>
        <v>1556810.9457224682</v>
      </c>
      <c r="I24" s="201">
        <f t="shared" si="0"/>
        <v>214188.50427753176</v>
      </c>
      <c r="J24" s="202">
        <f t="shared" si="1"/>
        <v>0.13758157653377334</v>
      </c>
      <c r="K24" s="200">
        <f>+SUMPRODUCT(('2018'!$G24:$R24)*('2018'!$G$5:$R$5&lt;=Master!$B$3))</f>
        <v>1779051.18</v>
      </c>
      <c r="L24" s="201">
        <f t="shared" si="7"/>
        <v>-8051.7299999999814</v>
      </c>
      <c r="M24" s="203">
        <f t="shared" si="2"/>
        <v>-4.52585630504454E-3</v>
      </c>
      <c r="N24" s="200">
        <f>+INDEX('2019'!$1:$1048576,MATCH('Analitika - 2019'!$A24,'2019'!$A:$A,0),MATCH('Analitika - 2019'!$N$6,'2019'!$6:$6,0))</f>
        <v>967294.73</v>
      </c>
      <c r="O24" s="200">
        <f>+INDEX('2019'!$1:$1048576,MATCH(CONCATENATE('Analitika - 2019'!$A24,"p"),'2019'!$A:$A,0),MATCH('Analitika - 2019'!$O$6,'2019'!$101:$101,0))</f>
        <v>871672.04535604198</v>
      </c>
      <c r="P24" s="201">
        <f t="shared" si="3"/>
        <v>95622.684643957997</v>
      </c>
      <c r="Q24" s="202">
        <f t="shared" si="4"/>
        <v>0.10970029973245277</v>
      </c>
      <c r="R24" s="200">
        <f>+INDEX('2018'!$1:$1048576,MATCH('Analitika - 2019'!$A24,'2018'!$A:$A,0),MATCH('Analitika - 2019'!$R$6,'2018'!$6:$6,0))</f>
        <v>993423.94</v>
      </c>
      <c r="S24" s="201">
        <f t="shared" si="5"/>
        <v>-26129.209999999963</v>
      </c>
      <c r="T24" s="203">
        <f t="shared" si="6"/>
        <v>-2.6302174678818346E-2</v>
      </c>
    </row>
    <row r="25" spans="1:20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f>+SUMPRODUCT(('2019'!$G25:$R25)*('2019'!$G$5:$R$5&lt;=Master!$B$3)*($A25='2019'!$A$10:$A$66))</f>
        <v>3856401.1100000003</v>
      </c>
      <c r="H25" s="200">
        <f>+SUMPRODUCT(('2019'!$G120:$R120)*('2019'!$G$5:$R$5&lt;=Master!$B$3))</f>
        <v>4063867.5379971364</v>
      </c>
      <c r="I25" s="201">
        <f t="shared" si="0"/>
        <v>-207466.42799713602</v>
      </c>
      <c r="J25" s="202">
        <f t="shared" si="1"/>
        <v>-5.1051474010244235E-2</v>
      </c>
      <c r="K25" s="200">
        <f>+SUMPRODUCT(('2018'!$G25:$R25)*('2018'!$G$5:$R$5&lt;=Master!$B$3))</f>
        <v>3660397.0300000003</v>
      </c>
      <c r="L25" s="201">
        <f t="shared" si="7"/>
        <v>196004.08000000007</v>
      </c>
      <c r="M25" s="203">
        <f t="shared" si="2"/>
        <v>5.3547218619615089E-2</v>
      </c>
      <c r="N25" s="200">
        <f>+INDEX('2019'!$1:$1048576,MATCH('Analitika - 2019'!$A25,'2019'!$A:$A,0),MATCH('Analitika - 2019'!$N$6,'2019'!$6:$6,0))</f>
        <v>1541397.86</v>
      </c>
      <c r="O25" s="200">
        <f>+INDEX('2019'!$1:$1048576,MATCH(CONCATENATE('Analitika - 2019'!$A25,"p"),'2019'!$A:$A,0),MATCH('Analitika - 2019'!$O$6,'2019'!$101:$101,0))</f>
        <v>2208648.6574377147</v>
      </c>
      <c r="P25" s="201">
        <f t="shared" si="3"/>
        <v>-667250.79743771465</v>
      </c>
      <c r="Q25" s="202">
        <f t="shared" si="4"/>
        <v>-0.30210816699646648</v>
      </c>
      <c r="R25" s="200">
        <f>+INDEX('2018'!$1:$1048576,MATCH('Analitika - 2019'!$A25,'2018'!$A:$A,0),MATCH('Analitika - 2019'!$R$6,'2018'!$6:$6,0))</f>
        <v>1885893.46</v>
      </c>
      <c r="S25" s="201">
        <f t="shared" si="5"/>
        <v>-344495.59999999986</v>
      </c>
      <c r="T25" s="203">
        <f t="shared" si="6"/>
        <v>-0.18266970393969117</v>
      </c>
    </row>
    <row r="26" spans="1:20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f>+SUMPRODUCT(('2019'!$G26:$R26)*('2019'!$G$5:$R$5&lt;=Master!$B$3)*($A26='2019'!$A$10:$A$66))</f>
        <v>3653040.7300000004</v>
      </c>
      <c r="H26" s="200">
        <f>+SUMPRODUCT(('2019'!$G121:$R121)*('2019'!$G$5:$R$5&lt;=Master!$B$3))</f>
        <v>4181081.1367480564</v>
      </c>
      <c r="I26" s="201">
        <f t="shared" si="0"/>
        <v>-528040.40674805595</v>
      </c>
      <c r="J26" s="202">
        <f t="shared" si="1"/>
        <v>-0.12629279114127712</v>
      </c>
      <c r="K26" s="200">
        <f>+SUMPRODUCT(('2018'!$G26:$R26)*('2018'!$G$5:$R$5&lt;=Master!$B$3))</f>
        <v>4035262.77</v>
      </c>
      <c r="L26" s="201">
        <f t="shared" si="7"/>
        <v>-382222.03999999957</v>
      </c>
      <c r="M26" s="203">
        <f t="shared" si="2"/>
        <v>-9.4720483345375639E-2</v>
      </c>
      <c r="N26" s="200">
        <f>+INDEX('2019'!$1:$1048576,MATCH('Analitika - 2019'!$A26,'2019'!$A:$A,0),MATCH('Analitika - 2019'!$N$6,'2019'!$6:$6,0))</f>
        <v>2139132.87</v>
      </c>
      <c r="O26" s="200">
        <f>+INDEX('2019'!$1:$1048576,MATCH(CONCATENATE('Analitika - 2019'!$A26,"p"),'2019'!$A:$A,0),MATCH('Analitika - 2019'!$O$6,'2019'!$101:$101,0))</f>
        <v>1708264.0259820949</v>
      </c>
      <c r="P26" s="201">
        <f t="shared" si="3"/>
        <v>430868.84401790518</v>
      </c>
      <c r="Q26" s="202">
        <f t="shared" si="4"/>
        <v>0.25222614154752532</v>
      </c>
      <c r="R26" s="200">
        <f>+INDEX('2018'!$1:$1048576,MATCH('Analitika - 2019'!$A26,'2018'!$A:$A,0),MATCH('Analitika - 2019'!$R$6,'2018'!$6:$6,0))</f>
        <v>1609741.96</v>
      </c>
      <c r="S26" s="201">
        <f t="shared" si="5"/>
        <v>529390.91000000015</v>
      </c>
      <c r="T26" s="203" t="s">
        <v>776</v>
      </c>
    </row>
    <row r="27" spans="1:20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f>+SUMPRODUCT(('2019'!$G27:$R27)*('2019'!$G$5:$R$5&lt;=Master!$B$3)*($A27='2019'!$A$10:$A$66))</f>
        <v>444768.6</v>
      </c>
      <c r="H27" s="200">
        <f>+SUMPRODUCT(('2019'!$G122:$R122)*('2019'!$G$5:$R$5&lt;=Master!$B$3))</f>
        <v>178347.24689460374</v>
      </c>
      <c r="I27" s="201">
        <f t="shared" si="0"/>
        <v>266421.35310539627</v>
      </c>
      <c r="J27" s="202">
        <f t="shared" si="1"/>
        <v>1.4938349637818678</v>
      </c>
      <c r="K27" s="200">
        <f>+SUMPRODUCT(('2018'!$G27:$R27)*('2018'!$G$5:$R$5&lt;=Master!$B$3))</f>
        <v>250820.26</v>
      </c>
      <c r="L27" s="201">
        <f t="shared" si="7"/>
        <v>193948.33999999997</v>
      </c>
      <c r="M27" s="203">
        <f t="shared" si="2"/>
        <v>0.77325627523071683</v>
      </c>
      <c r="N27" s="200">
        <f>+INDEX('2019'!$1:$1048576,MATCH('Analitika - 2019'!$A27,'2019'!$A:$A,0),MATCH('Analitika - 2019'!$N$6,'2019'!$6:$6,0))</f>
        <v>375609.72</v>
      </c>
      <c r="O27" s="200">
        <f>+INDEX('2019'!$1:$1048576,MATCH(CONCATENATE('Analitika - 2019'!$A27,"p"),'2019'!$A:$A,0),MATCH('Analitika - 2019'!$O$6,'2019'!$101:$101,0))</f>
        <v>56015.006608868236</v>
      </c>
      <c r="P27" s="201">
        <f t="shared" si="3"/>
        <v>319594.71339113172</v>
      </c>
      <c r="Q27" s="202">
        <f t="shared" si="4"/>
        <v>5.7055195159172554</v>
      </c>
      <c r="R27" s="200">
        <f>+INDEX('2018'!$1:$1048576,MATCH('Analitika - 2019'!$A27,'2018'!$A:$A,0),MATCH('Analitika - 2019'!$R$6,'2018'!$6:$6,0))</f>
        <v>78777.210000000006</v>
      </c>
      <c r="S27" s="201">
        <f t="shared" si="5"/>
        <v>296832.50999999995</v>
      </c>
      <c r="T27" s="203" t="s">
        <v>776</v>
      </c>
    </row>
    <row r="28" spans="1:20" ht="15.7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f>+SUMPRODUCT(('2019'!$G28:$R28)*('2019'!$G$5:$R$5&lt;=Master!$B$3)*($A28='2019'!$A$10:$A$66))</f>
        <v>14516828.549999999</v>
      </c>
      <c r="H28" s="200">
        <f>+SUMPRODUCT(('2019'!$G123:$R123)*('2019'!$G$5:$R$5&lt;=Master!$B$3))</f>
        <v>15383335.851299874</v>
      </c>
      <c r="I28" s="201">
        <f t="shared" si="0"/>
        <v>-866507.3012998756</v>
      </c>
      <c r="J28" s="202">
        <f t="shared" si="1"/>
        <v>-5.632765933707784E-2</v>
      </c>
      <c r="K28" s="200">
        <f>+SUMPRODUCT(('2018'!$G28:$R28)*('2018'!$G$5:$R$5&lt;=Master!$B$3))</f>
        <v>2294066.77</v>
      </c>
      <c r="L28" s="201">
        <f t="shared" si="7"/>
        <v>12222761.779999999</v>
      </c>
      <c r="M28" s="203">
        <f t="shared" si="2"/>
        <v>5.3279886792484241</v>
      </c>
      <c r="N28" s="200">
        <f>+INDEX('2019'!$1:$1048576,MATCH('Analitika - 2019'!$A28,'2019'!$A:$A,0),MATCH('Analitika - 2019'!$N$6,'2019'!$6:$6,0))</f>
        <v>998602.95</v>
      </c>
      <c r="O28" s="200">
        <f>+INDEX('2019'!$1:$1048576,MATCH(CONCATENATE('Analitika - 2019'!$A28,"p"),'2019'!$A:$A,0),MATCH('Analitika - 2019'!$O$6,'2019'!$101:$101,0))</f>
        <v>1483068.7561633477</v>
      </c>
      <c r="P28" s="201">
        <f t="shared" si="3"/>
        <v>-484465.80616334779</v>
      </c>
      <c r="Q28" s="202">
        <f t="shared" si="4"/>
        <v>-0.32666442749198332</v>
      </c>
      <c r="R28" s="200">
        <f>+INDEX('2018'!$1:$1048576,MATCH('Analitika - 2019'!$A28,'2018'!$A:$A,0),MATCH('Analitika - 2019'!$R$6,'2018'!$6:$6,0))</f>
        <v>776556.18</v>
      </c>
      <c r="S28" s="201">
        <f t="shared" si="5"/>
        <v>222046.7699999999</v>
      </c>
      <c r="T28" s="203">
        <f t="shared" si="6"/>
        <v>0.28593780555580661</v>
      </c>
    </row>
    <row r="29" spans="1:20" ht="15.7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>+SUMPRODUCT(('2019'!$G29:$R29)*('2019'!$G$5:$R$5&lt;=Master!$B$3)*($A29='2019'!$A$10:$A$66))</f>
        <v>267159673.48000005</v>
      </c>
      <c r="H29" s="176">
        <f>+SUMPRODUCT(('2019'!$G124:$R124)*('2019'!$G$5:$R$5&lt;=Master!$B$3))</f>
        <v>330540984.67499995</v>
      </c>
      <c r="I29" s="177">
        <f t="shared" si="0"/>
        <v>-63381311.194999903</v>
      </c>
      <c r="J29" s="178">
        <f t="shared" si="1"/>
        <v>-0.19175023411187186</v>
      </c>
      <c r="K29" s="176">
        <f>+SUMPRODUCT(('2018'!$G29:$R29)*('2018'!$G$5:$R$5&lt;=Master!$B$3))</f>
        <v>225135001.03999999</v>
      </c>
      <c r="L29" s="177">
        <f t="shared" si="7"/>
        <v>42024672.440000057</v>
      </c>
      <c r="M29" s="179">
        <f t="shared" si="2"/>
        <v>0.18666432249925236</v>
      </c>
      <c r="N29" s="176">
        <f>+INDEX('2019'!$1:$1048576,MATCH('Analitika - 2019'!$A29,'2019'!$A:$A,0),MATCH('Analitika - 2019'!$N$6,'2019'!$6:$6,0))</f>
        <v>127591222.05000001</v>
      </c>
      <c r="O29" s="176">
        <f>+INDEX('2019'!$1:$1048576,MATCH(CONCATENATE('Analitika - 2019'!$A29,"p"),'2019'!$A:$A,0),MATCH('Analitika - 2019'!$O$6,'2019'!$101:$101,0))</f>
        <v>163118817.50749999</v>
      </c>
      <c r="P29" s="177">
        <f t="shared" si="3"/>
        <v>-35527595.457499981</v>
      </c>
      <c r="Q29" s="178">
        <f t="shared" si="4"/>
        <v>-0.21780194339544223</v>
      </c>
      <c r="R29" s="176">
        <f>+INDEX('2018'!$1:$1048576,MATCH('Analitika - 2019'!$A29,'2018'!$A:$A,0),MATCH('Analitika - 2019'!$R$6,'2018'!$6:$6,0))</f>
        <v>119008839.22</v>
      </c>
      <c r="S29" s="177">
        <f t="shared" si="5"/>
        <v>8582382.8300000131</v>
      </c>
      <c r="T29" s="179">
        <f t="shared" si="6"/>
        <v>7.211550743835593E-2</v>
      </c>
    </row>
    <row r="30" spans="1:20" ht="15.7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342">
        <f>+SUMPRODUCT(('2019'!$G30:$R30)*('2019'!$G$5:$R$5&lt;=Master!$B$3)*($A30='2019'!$A$10:$A$66))</f>
        <v>235741941.05000004</v>
      </c>
      <c r="H30" s="342">
        <f>+SUMPRODUCT(('2019'!$G125:$R125)*('2019'!$G$5:$R$5&lt;=Master!$B$3))</f>
        <v>277053484.69499999</v>
      </c>
      <c r="I30" s="207">
        <f t="shared" si="0"/>
        <v>-41311543.644999951</v>
      </c>
      <c r="J30" s="208">
        <f t="shared" si="1"/>
        <v>-0.14911035567907982</v>
      </c>
      <c r="K30" s="342">
        <f>+SUMPRODUCT(('2018'!$G30:$R30)*('2018'!$G$5:$R$5&lt;=Master!$B$3))</f>
        <v>219634570.56999999</v>
      </c>
      <c r="L30" s="207">
        <f t="shared" si="7"/>
        <v>16107370.480000049</v>
      </c>
      <c r="M30" s="209">
        <f t="shared" si="2"/>
        <v>7.3337136490844168E-2</v>
      </c>
      <c r="N30" s="342">
        <f>+INDEX('2019'!$1:$1048576,MATCH('Analitika - 2019'!$A30,'2019'!$A:$A,0),MATCH('Analitika - 2019'!$N$6,'2019'!$6:$6,0))</f>
        <v>123001844.57000001</v>
      </c>
      <c r="O30" s="342">
        <f>+INDEX('2019'!$1:$1048576,MATCH(CONCATENATE('Analitika - 2019'!$A30,"p"),'2019'!$A:$A,0),MATCH('Analitika - 2019'!$O$6,'2019'!$101:$101,0))</f>
        <v>136375067.51749998</v>
      </c>
      <c r="P30" s="207">
        <f t="shared" si="3"/>
        <v>-13373222.947499976</v>
      </c>
      <c r="Q30" s="208">
        <f t="shared" si="4"/>
        <v>-9.8062081221583219E-2</v>
      </c>
      <c r="R30" s="342">
        <f>+INDEX('2018'!$1:$1048576,MATCH('Analitika - 2019'!$A30,'2018'!$A:$A,0),MATCH('Analitika - 2019'!$R$6,'2018'!$6:$6,0))</f>
        <v>115671668.83</v>
      </c>
      <c r="S30" s="207">
        <f t="shared" si="5"/>
        <v>7330175.7400000095</v>
      </c>
      <c r="T30" s="209">
        <f t="shared" si="6"/>
        <v>6.337053674545845E-2</v>
      </c>
    </row>
    <row r="31" spans="1:20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389">
        <f>+SUMPRODUCT(('2019'!$G31:$R31)*('2019'!$G$5:$R$5&lt;=Master!$B$3)*($A31='2019'!$A$10:$A$66))</f>
        <v>105946096.58000001</v>
      </c>
      <c r="H31" s="389">
        <f>+SUMPRODUCT(('2019'!$G126:$R126)*('2019'!$G$5:$R$5&lt;=Master!$B$3))</f>
        <v>135862499.12500003</v>
      </c>
      <c r="I31" s="213">
        <f t="shared" si="0"/>
        <v>-29916402.545000017</v>
      </c>
      <c r="J31" s="214">
        <f t="shared" si="1"/>
        <v>-0.22019617435032968</v>
      </c>
      <c r="K31" s="389">
        <f>+SUMPRODUCT(('2018'!$G31:$R31)*('2018'!$G$5:$R$5&lt;=Master!$B$3))</f>
        <v>103148080.78</v>
      </c>
      <c r="L31" s="213">
        <f t="shared" si="7"/>
        <v>2798015.8000000119</v>
      </c>
      <c r="M31" s="215">
        <f t="shared" si="2"/>
        <v>2.7126203210390054E-2</v>
      </c>
      <c r="N31" s="389">
        <f>+INDEX('2019'!$1:$1048576,MATCH('Analitika - 2019'!$A31,'2019'!$A:$A,0),MATCH('Analitika - 2019'!$N$6,'2019'!$6:$6,0))</f>
        <v>54968505.24000001</v>
      </c>
      <c r="O31" s="389">
        <f>+INDEX('2019'!$1:$1048576,MATCH(CONCATENATE('Analitika - 2019'!$A31,"p"),'2019'!$A:$A,0),MATCH('Analitika - 2019'!$O$6,'2019'!$101:$101,0))</f>
        <v>64850080.682500012</v>
      </c>
      <c r="P31" s="213">
        <f t="shared" si="3"/>
        <v>-9881575.4425000027</v>
      </c>
      <c r="Q31" s="214">
        <f t="shared" si="4"/>
        <v>-0.15237568463298112</v>
      </c>
      <c r="R31" s="389">
        <f>+INDEX('2018'!$1:$1048576,MATCH('Analitika - 2019'!$A31,'2018'!$A:$A,0),MATCH('Analitika - 2019'!$R$6,'2018'!$6:$6,0))</f>
        <v>54360657.889999993</v>
      </c>
      <c r="S31" s="213">
        <f t="shared" si="5"/>
        <v>607847.35000001639</v>
      </c>
      <c r="T31" s="215">
        <f t="shared" si="6"/>
        <v>1.1181751170672216E-2</v>
      </c>
    </row>
    <row r="32" spans="1:20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f>+SUMPRODUCT(('2019'!$G32:$R32)*('2019'!$G$5:$R$5&lt;=Master!$B$3)*($A32='2019'!$A$10:$A$66))</f>
        <v>77475602.200000003</v>
      </c>
      <c r="H32" s="188">
        <f>+SUMPRODUCT(('2019'!$G127:$R127)*('2019'!$G$5:$R$5&lt;=Master!$B$3))</f>
        <v>78487978.803333357</v>
      </c>
      <c r="I32" s="189">
        <f t="shared" si="0"/>
        <v>-1012376.603333354</v>
      </c>
      <c r="J32" s="190">
        <f t="shared" si="1"/>
        <v>-1.2898492466853484E-2</v>
      </c>
      <c r="K32" s="188">
        <f>+SUMPRODUCT(('2018'!$G32:$R32)*('2018'!$G$5:$R$5&lt;=Master!$B$3))</f>
        <v>75367106.640000001</v>
      </c>
      <c r="L32" s="189">
        <f t="shared" si="7"/>
        <v>2108495.5600000024</v>
      </c>
      <c r="M32" s="191">
        <f t="shared" si="2"/>
        <v>2.7976336813239744E-2</v>
      </c>
      <c r="N32" s="188">
        <f>+INDEX('2019'!$1:$1048576,MATCH('Analitika - 2019'!$A32,'2019'!$A:$A,0),MATCH('Analitika - 2019'!$N$6,'2019'!$6:$6,0))</f>
        <v>38576856.590000004</v>
      </c>
      <c r="O32" s="188">
        <f>+INDEX('2019'!$1:$1048576,MATCH(CONCATENATE('Analitika - 2019'!$A32,"p"),'2019'!$A:$A,0),MATCH('Analitika - 2019'!$O$6,'2019'!$101:$101,0))</f>
        <v>39125646.701666676</v>
      </c>
      <c r="P32" s="189">
        <f t="shared" si="3"/>
        <v>-548790.11166667193</v>
      </c>
      <c r="Q32" s="190">
        <f t="shared" si="4"/>
        <v>-1.4026352480540405E-2</v>
      </c>
      <c r="R32" s="188">
        <f>+INDEX('2018'!$1:$1048576,MATCH('Analitika - 2019'!$A32,'2018'!$A:$A,0),MATCH('Analitika - 2019'!$R$6,'2018'!$6:$6,0))</f>
        <v>38053361.399999999</v>
      </c>
      <c r="S32" s="189">
        <f t="shared" si="5"/>
        <v>523495.19000000507</v>
      </c>
      <c r="T32" s="191">
        <f t="shared" si="6"/>
        <v>1.3756871160401696E-2</v>
      </c>
    </row>
    <row r="33" spans="1:20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f>+SUMPRODUCT(('2019'!$G33:$R33)*('2019'!$G$5:$R$5&lt;=Master!$B$3)*($A33='2019'!$A$10:$A$66))</f>
        <v>1470035.28</v>
      </c>
      <c r="H33" s="188">
        <f>+SUMPRODUCT(('2019'!$G128:$R128)*('2019'!$G$5:$R$5&lt;=Master!$B$3))</f>
        <v>2605041.3116666665</v>
      </c>
      <c r="I33" s="189">
        <f t="shared" si="0"/>
        <v>-1135006.0316666665</v>
      </c>
      <c r="J33" s="190">
        <f t="shared" si="1"/>
        <v>-0.43569598170422352</v>
      </c>
      <c r="K33" s="188">
        <f>+SUMPRODUCT(('2018'!$G33:$R33)*('2018'!$G$5:$R$5&lt;=Master!$B$3))</f>
        <v>1211703.6099999999</v>
      </c>
      <c r="L33" s="189">
        <f t="shared" si="7"/>
        <v>258331.67000000016</v>
      </c>
      <c r="M33" s="191">
        <f t="shared" si="2"/>
        <v>0.21319707878067651</v>
      </c>
      <c r="N33" s="188">
        <f>+INDEX('2019'!$1:$1048576,MATCH('Analitika - 2019'!$A33,'2019'!$A:$A,0),MATCH('Analitika - 2019'!$N$6,'2019'!$6:$6,0))</f>
        <v>1037317.51</v>
      </c>
      <c r="O33" s="188">
        <f>+INDEX('2019'!$1:$1048576,MATCH(CONCATENATE('Analitika - 2019'!$A33,"p"),'2019'!$A:$A,0),MATCH('Analitika - 2019'!$O$6,'2019'!$101:$101,0))</f>
        <v>1323983.3608333331</v>
      </c>
      <c r="P33" s="189">
        <f t="shared" si="3"/>
        <v>-286665.8508333331</v>
      </c>
      <c r="Q33" s="190">
        <f t="shared" si="4"/>
        <v>-0.21651771412965626</v>
      </c>
      <c r="R33" s="188">
        <f>+INDEX('2018'!$1:$1048576,MATCH('Analitika - 2019'!$A33,'2018'!$A:$A,0),MATCH('Analitika - 2019'!$R$6,'2018'!$6:$6,0))</f>
        <v>848575.97</v>
      </c>
      <c r="S33" s="189">
        <f t="shared" si="5"/>
        <v>188741.54000000004</v>
      </c>
      <c r="T33" s="191">
        <f t="shared" si="6"/>
        <v>0.22242149986877435</v>
      </c>
    </row>
    <row r="34" spans="1:20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f>+SUMPRODUCT(('2019'!$G34:$R34)*('2019'!$G$5:$R$5&lt;=Master!$B$3)*($A34='2019'!$A$10:$A$66))</f>
        <v>3346538.6300000004</v>
      </c>
      <c r="H34" s="188">
        <f>+SUMPRODUCT(('2019'!$G129:$R129)*('2019'!$G$5:$R$5&lt;=Master!$B$3))</f>
        <v>6087612.5016666679</v>
      </c>
      <c r="I34" s="189">
        <f t="shared" si="0"/>
        <v>-2741073.8716666675</v>
      </c>
      <c r="J34" s="190">
        <f t="shared" si="1"/>
        <v>-0.45027075407907713</v>
      </c>
      <c r="K34" s="188">
        <f>+SUMPRODUCT(('2018'!$G34:$R34)*('2018'!$G$5:$R$5&lt;=Master!$B$3))</f>
        <v>3366517.96</v>
      </c>
      <c r="L34" s="189">
        <f t="shared" si="7"/>
        <v>-19979.329999999609</v>
      </c>
      <c r="M34" s="191">
        <f t="shared" si="2"/>
        <v>-5.9347165936401991E-3</v>
      </c>
      <c r="N34" s="188">
        <f>+INDEX('2019'!$1:$1048576,MATCH('Analitika - 2019'!$A34,'2019'!$A:$A,0),MATCH('Analitika - 2019'!$N$6,'2019'!$6:$6,0))</f>
        <v>2492370.9900000002</v>
      </c>
      <c r="O34" s="188">
        <f>+INDEX('2019'!$1:$1048576,MATCH(CONCATENATE('Analitika - 2019'!$A34,"p"),'2019'!$A:$A,0),MATCH('Analitika - 2019'!$O$6,'2019'!$101:$101,0))</f>
        <v>3019826.0658333339</v>
      </c>
      <c r="P34" s="189">
        <f t="shared" si="3"/>
        <v>-527455.07583333366</v>
      </c>
      <c r="Q34" s="190">
        <f t="shared" si="4"/>
        <v>-0.17466405823865894</v>
      </c>
      <c r="R34" s="188">
        <f>+INDEX('2018'!$1:$1048576,MATCH('Analitika - 2019'!$A34,'2018'!$A:$A,0),MATCH('Analitika - 2019'!$R$6,'2018'!$6:$6,0))</f>
        <v>2339456.96</v>
      </c>
      <c r="S34" s="189">
        <f t="shared" si="5"/>
        <v>152914.03000000026</v>
      </c>
      <c r="T34" s="191">
        <f t="shared" si="6"/>
        <v>6.5363044764029432E-2</v>
      </c>
    </row>
    <row r="35" spans="1:20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f>+SUMPRODUCT(('2019'!$G35:$R35)*('2019'!$G$5:$R$5&lt;=Master!$B$3)*($A35='2019'!$A$10:$A$66))</f>
        <v>7088654.6099999994</v>
      </c>
      <c r="H35" s="188">
        <f>+SUMPRODUCT(('2019'!$G130:$R130)*('2019'!$G$5:$R$5&lt;=Master!$B$3))</f>
        <v>12092182.595000001</v>
      </c>
      <c r="I35" s="189">
        <f t="shared" si="0"/>
        <v>-5003527.9850000013</v>
      </c>
      <c r="J35" s="190">
        <f t="shared" si="1"/>
        <v>-0.41378204023059584</v>
      </c>
      <c r="K35" s="188">
        <f>+SUMPRODUCT(('2018'!$G35:$R35)*('2018'!$G$5:$R$5&lt;=Master!$B$3))</f>
        <v>4839924.29</v>
      </c>
      <c r="L35" s="189">
        <f t="shared" si="7"/>
        <v>2248730.3199999994</v>
      </c>
      <c r="M35" s="191">
        <f t="shared" si="2"/>
        <v>0.46462097034166616</v>
      </c>
      <c r="N35" s="188">
        <f>+INDEX('2019'!$1:$1048576,MATCH('Analitika - 2019'!$A35,'2019'!$A:$A,0),MATCH('Analitika - 2019'!$N$6,'2019'!$6:$6,0))</f>
        <v>4275265.79</v>
      </c>
      <c r="O35" s="188">
        <f>+INDEX('2019'!$1:$1048576,MATCH(CONCATENATE('Analitika - 2019'!$A35,"p"),'2019'!$A:$A,0),MATCH('Analitika - 2019'!$O$6,'2019'!$101:$101,0))</f>
        <v>5971668.0075000003</v>
      </c>
      <c r="P35" s="189">
        <f t="shared" si="3"/>
        <v>-1696402.2175000003</v>
      </c>
      <c r="Q35" s="190">
        <f t="shared" si="4"/>
        <v>-0.28407510520836676</v>
      </c>
      <c r="R35" s="188">
        <f>+INDEX('2018'!$1:$1048576,MATCH('Analitika - 2019'!$A35,'2018'!$A:$A,0),MATCH('Analitika - 2019'!$R$6,'2018'!$6:$6,0))</f>
        <v>3144208.56</v>
      </c>
      <c r="S35" s="189">
        <f t="shared" si="5"/>
        <v>1131057.23</v>
      </c>
      <c r="T35" s="191">
        <f t="shared" si="6"/>
        <v>0.35972716453643905</v>
      </c>
    </row>
    <row r="36" spans="1:20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f>+SUMPRODUCT(('2019'!$G36:$R36)*('2019'!$G$5:$R$5&lt;=Master!$B$3)*($A36='2019'!$A$10:$A$66))</f>
        <v>1643591.46</v>
      </c>
      <c r="H36" s="188">
        <f>+SUMPRODUCT(('2019'!$G131:$R131)*('2019'!$G$5:$R$5&lt;=Master!$B$3))</f>
        <v>3861533.8433333337</v>
      </c>
      <c r="I36" s="189">
        <f t="shared" si="0"/>
        <v>-2217942.3833333338</v>
      </c>
      <c r="J36" s="190">
        <f t="shared" si="1"/>
        <v>-0.57436823638421686</v>
      </c>
      <c r="K36" s="188">
        <f>+SUMPRODUCT(('2018'!$G36:$R36)*('2018'!$G$5:$R$5&lt;=Master!$B$3))</f>
        <v>1360870.25</v>
      </c>
      <c r="L36" s="189">
        <f t="shared" si="7"/>
        <v>282721.20999999996</v>
      </c>
      <c r="M36" s="191">
        <f t="shared" si="2"/>
        <v>0.20775030536526162</v>
      </c>
      <c r="N36" s="188">
        <f>+INDEX('2019'!$1:$1048576,MATCH('Analitika - 2019'!$A36,'2019'!$A:$A,0),MATCH('Analitika - 2019'!$N$6,'2019'!$6:$6,0))</f>
        <v>1534108.39</v>
      </c>
      <c r="O36" s="188">
        <f>+INDEX('2019'!$1:$1048576,MATCH(CONCATENATE('Analitika - 2019'!$A36,"p"),'2019'!$A:$A,0),MATCH('Analitika - 2019'!$O$6,'2019'!$101:$101,0))</f>
        <v>1929704.3816666668</v>
      </c>
      <c r="P36" s="189">
        <f t="shared" si="3"/>
        <v>-395595.99166666693</v>
      </c>
      <c r="Q36" s="190">
        <f t="shared" si="4"/>
        <v>-0.20500341680573608</v>
      </c>
      <c r="R36" s="188">
        <f>+INDEX('2018'!$1:$1048576,MATCH('Analitika - 2019'!$A36,'2018'!$A:$A,0),MATCH('Analitika - 2019'!$R$6,'2018'!$6:$6,0))</f>
        <v>1254053.07</v>
      </c>
      <c r="S36" s="189">
        <f t="shared" si="5"/>
        <v>280055.31999999983</v>
      </c>
      <c r="T36" s="191">
        <f t="shared" si="6"/>
        <v>0.22332015023893681</v>
      </c>
    </row>
    <row r="37" spans="1:20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f>+SUMPRODUCT(('2019'!$G37:$R37)*('2019'!$G$5:$R$5&lt;=Master!$B$3)*($A37='2019'!$A$10:$A$66))</f>
        <v>6955382.6899999995</v>
      </c>
      <c r="H37" s="188">
        <f>+SUMPRODUCT(('2019'!$G132:$R132)*('2019'!$G$5:$R$5&lt;=Master!$B$3))</f>
        <v>8967444.9600000009</v>
      </c>
      <c r="I37" s="189">
        <f t="shared" si="0"/>
        <v>-2012062.2700000014</v>
      </c>
      <c r="J37" s="190">
        <f t="shared" si="1"/>
        <v>-0.22437408637298195</v>
      </c>
      <c r="K37" s="188">
        <f>+SUMPRODUCT(('2018'!$G37:$R37)*('2018'!$G$5:$R$5&lt;=Master!$B$3))</f>
        <v>5374878.7799999993</v>
      </c>
      <c r="L37" s="189">
        <f t="shared" si="7"/>
        <v>1580503.9100000001</v>
      </c>
      <c r="M37" s="191">
        <f t="shared" si="2"/>
        <v>0.29405387073678346</v>
      </c>
      <c r="N37" s="188">
        <f>+INDEX('2019'!$1:$1048576,MATCH('Analitika - 2019'!$A37,'2019'!$A:$A,0),MATCH('Analitika - 2019'!$N$6,'2019'!$6:$6,0))</f>
        <v>822328.63</v>
      </c>
      <c r="O37" s="188">
        <f>+INDEX('2019'!$1:$1048576,MATCH(CONCATENATE('Analitika - 2019'!$A37,"p"),'2019'!$A:$A,0),MATCH('Analitika - 2019'!$O$6,'2019'!$101:$101,0))</f>
        <v>986719.96000000054</v>
      </c>
      <c r="P37" s="189">
        <f t="shared" si="3"/>
        <v>-164391.33000000054</v>
      </c>
      <c r="Q37" s="190">
        <f t="shared" si="4"/>
        <v>-0.16660383560093428</v>
      </c>
      <c r="R37" s="188">
        <f>+INDEX('2018'!$1:$1048576,MATCH('Analitika - 2019'!$A37,'2018'!$A:$A,0),MATCH('Analitika - 2019'!$R$6,'2018'!$6:$6,0))</f>
        <v>1050801.23</v>
      </c>
      <c r="S37" s="189">
        <f t="shared" si="5"/>
        <v>-228472.59999999998</v>
      </c>
      <c r="T37" s="191">
        <f t="shared" si="6"/>
        <v>-0.21742703898433768</v>
      </c>
    </row>
    <row r="38" spans="1:20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f>+SUMPRODUCT(('2019'!$G38:$R38)*('2019'!$G$5:$R$5&lt;=Master!$B$3)*($A38='2019'!$A$10:$A$66))</f>
        <v>1000260.11</v>
      </c>
      <c r="H38" s="188">
        <f>+SUMPRODUCT(('2019'!$G133:$R133)*('2019'!$G$5:$R$5&lt;=Master!$B$3))</f>
        <v>1613660.78</v>
      </c>
      <c r="I38" s="189">
        <f t="shared" si="0"/>
        <v>-613400.67000000004</v>
      </c>
      <c r="J38" s="190">
        <f t="shared" si="1"/>
        <v>-0.38012987463201531</v>
      </c>
      <c r="K38" s="188">
        <f>+SUMPRODUCT(('2018'!$G38:$R38)*('2018'!$G$5:$R$5&lt;=Master!$B$3))</f>
        <v>1300066.3700000001</v>
      </c>
      <c r="L38" s="189">
        <f t="shared" si="7"/>
        <v>-299806.26000000013</v>
      </c>
      <c r="M38" s="191">
        <f t="shared" si="2"/>
        <v>-0.23060842655286906</v>
      </c>
      <c r="N38" s="188">
        <f>+INDEX('2019'!$1:$1048576,MATCH('Analitika - 2019'!$A38,'2019'!$A:$A,0),MATCH('Analitika - 2019'!$N$6,'2019'!$6:$6,0))</f>
        <v>779733.65</v>
      </c>
      <c r="O38" s="188">
        <f>+INDEX('2019'!$1:$1048576,MATCH(CONCATENATE('Analitika - 2019'!$A38,"p"),'2019'!$A:$A,0),MATCH('Analitika - 2019'!$O$6,'2019'!$101:$101,0))</f>
        <v>780840.39</v>
      </c>
      <c r="P38" s="189">
        <f t="shared" si="3"/>
        <v>-1106.7399999999907</v>
      </c>
      <c r="Q38" s="190">
        <f t="shared" si="4"/>
        <v>-1.4173703283970607E-3</v>
      </c>
      <c r="R38" s="188">
        <f>+INDEX('2018'!$1:$1048576,MATCH('Analitika - 2019'!$A38,'2018'!$A:$A,0),MATCH('Analitika - 2019'!$R$6,'2018'!$6:$6,0))</f>
        <v>1124463.03</v>
      </c>
      <c r="S38" s="189">
        <f t="shared" si="5"/>
        <v>-344729.38</v>
      </c>
      <c r="T38" s="191">
        <f t="shared" si="6"/>
        <v>-0.30657244462719235</v>
      </c>
    </row>
    <row r="39" spans="1:20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f>+SUMPRODUCT(('2019'!$G39:$R39)*('2019'!$G$5:$R$5&lt;=Master!$B$3)*($A39='2019'!$A$10:$A$66))</f>
        <v>1918638.81</v>
      </c>
      <c r="H39" s="188">
        <f>+SUMPRODUCT(('2019'!$G134:$R134)*('2019'!$G$5:$R$5&lt;=Master!$B$3))</f>
        <v>4469867.4533333331</v>
      </c>
      <c r="I39" s="189">
        <f t="shared" si="0"/>
        <v>-2551228.6433333331</v>
      </c>
      <c r="J39" s="190">
        <f t="shared" si="1"/>
        <v>-0.5707615874450136</v>
      </c>
      <c r="K39" s="188">
        <f>+SUMPRODUCT(('2018'!$G39:$R39)*('2018'!$G$5:$R$5&lt;=Master!$B$3))</f>
        <v>2312149.92</v>
      </c>
      <c r="L39" s="189">
        <f t="shared" si="7"/>
        <v>-393511.10999999987</v>
      </c>
      <c r="M39" s="191">
        <f t="shared" si="2"/>
        <v>-0.1701927312741035</v>
      </c>
      <c r="N39" s="188">
        <f>+INDEX('2019'!$1:$1048576,MATCH('Analitika - 2019'!$A39,'2019'!$A:$A,0),MATCH('Analitika - 2019'!$N$6,'2019'!$6:$6,0))</f>
        <v>1819632.21</v>
      </c>
      <c r="O39" s="188">
        <f>+INDEX('2019'!$1:$1048576,MATCH(CONCATENATE('Analitika - 2019'!$A39,"p"),'2019'!$A:$A,0),MATCH('Analitika - 2019'!$O$6,'2019'!$101:$101,0))</f>
        <v>2320829.9566666665</v>
      </c>
      <c r="P39" s="189">
        <f t="shared" si="3"/>
        <v>-501197.74666666659</v>
      </c>
      <c r="Q39" s="190">
        <f t="shared" si="4"/>
        <v>-0.21595625531588747</v>
      </c>
      <c r="R39" s="188">
        <f>+INDEX('2018'!$1:$1048576,MATCH('Analitika - 2019'!$A39,'2018'!$A:$A,0),MATCH('Analitika - 2019'!$R$6,'2018'!$6:$6,0))</f>
        <v>2281116.2599999998</v>
      </c>
      <c r="S39" s="189">
        <f t="shared" si="5"/>
        <v>-461484.04999999981</v>
      </c>
      <c r="T39" s="191">
        <f t="shared" si="6"/>
        <v>-0.20230623843784268</v>
      </c>
    </row>
    <row r="40" spans="1:20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f>+SUMPRODUCT(('2019'!$G40:$R40)*('2019'!$G$5:$R$5&lt;=Master!$B$3)*($A40='2019'!$A$10:$A$66))</f>
        <v>4056168.05</v>
      </c>
      <c r="H40" s="188">
        <f>+SUMPRODUCT(('2019'!$G135:$R135)*('2019'!$G$5:$R$5&lt;=Master!$B$3))</f>
        <v>7593673.661666668</v>
      </c>
      <c r="I40" s="189">
        <f t="shared" si="0"/>
        <v>-3537505.6116666682</v>
      </c>
      <c r="J40" s="190">
        <f t="shared" si="1"/>
        <v>-0.46584904346419498</v>
      </c>
      <c r="K40" s="188">
        <f>+SUMPRODUCT(('2018'!$G40:$R40)*('2018'!$G$5:$R$5&lt;=Master!$B$3))</f>
        <v>3976368.75</v>
      </c>
      <c r="L40" s="189">
        <f t="shared" si="7"/>
        <v>79799.299999999814</v>
      </c>
      <c r="M40" s="191">
        <f t="shared" si="2"/>
        <v>2.006838525727761E-2</v>
      </c>
      <c r="N40" s="188">
        <f>+INDEX('2019'!$1:$1048576,MATCH('Analitika - 2019'!$A40,'2019'!$A:$A,0),MATCH('Analitika - 2019'!$N$6,'2019'!$6:$6,0))</f>
        <v>3360581.13</v>
      </c>
      <c r="O40" s="188">
        <f>+INDEX('2019'!$1:$1048576,MATCH(CONCATENATE('Analitika - 2019'!$A40,"p"),'2019'!$A:$A,0),MATCH('Analitika - 2019'!$O$6,'2019'!$101:$101,0))</f>
        <v>4119817.790833334</v>
      </c>
      <c r="P40" s="189">
        <f t="shared" si="3"/>
        <v>-759236.66083333408</v>
      </c>
      <c r="Q40" s="190">
        <f t="shared" si="4"/>
        <v>-0.18428889319392927</v>
      </c>
      <c r="R40" s="188">
        <f>+INDEX('2018'!$1:$1048576,MATCH('Analitika - 2019'!$A40,'2018'!$A:$A,0),MATCH('Analitika - 2019'!$R$6,'2018'!$6:$6,0))</f>
        <v>3390433.55</v>
      </c>
      <c r="S40" s="189">
        <f t="shared" si="5"/>
        <v>-29852.419999999925</v>
      </c>
      <c r="T40" s="191">
        <f t="shared" si="6"/>
        <v>-8.8048975329423351E-3</v>
      </c>
    </row>
    <row r="41" spans="1:20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f>+SUMPRODUCT(('2019'!$G41:$R41)*('2019'!$G$5:$R$5&lt;=Master!$B$3)*($A41='2019'!$A$10:$A$66))</f>
        <v>991224.74</v>
      </c>
      <c r="H41" s="188">
        <f>+SUMPRODUCT(('2019'!$G136:$R136)*('2019'!$G$5:$R$5&lt;=Master!$B$3))</f>
        <v>10083503.215000002</v>
      </c>
      <c r="I41" s="189">
        <f t="shared" si="0"/>
        <v>-9092278.4750000015</v>
      </c>
      <c r="J41" s="190">
        <f t="shared" si="1"/>
        <v>-0.90169837616301096</v>
      </c>
      <c r="K41" s="188">
        <f>+SUMPRODUCT(('2018'!$G41:$R41)*('2018'!$G$5:$R$5&lt;=Master!$B$3))</f>
        <v>4038494.21</v>
      </c>
      <c r="L41" s="189">
        <f t="shared" si="7"/>
        <v>-3047269.4699999997</v>
      </c>
      <c r="M41" s="191">
        <f t="shared" si="2"/>
        <v>-0.75455585957123361</v>
      </c>
      <c r="N41" s="188">
        <f>+INDEX('2019'!$1:$1048576,MATCH('Analitika - 2019'!$A41,'2019'!$A:$A,0),MATCH('Analitika - 2019'!$N$6,'2019'!$6:$6,0))</f>
        <v>270310.34999999998</v>
      </c>
      <c r="O41" s="188">
        <f>+INDEX('2019'!$1:$1048576,MATCH(CONCATENATE('Analitika - 2019'!$A41,"p"),'2019'!$A:$A,0),MATCH('Analitika - 2019'!$O$6,'2019'!$101:$101,0))</f>
        <v>5271044.0675000008</v>
      </c>
      <c r="P41" s="189">
        <f t="shared" si="3"/>
        <v>-5000733.7175000012</v>
      </c>
      <c r="Q41" s="190">
        <f t="shared" si="4"/>
        <v>-0.94871787324513768</v>
      </c>
      <c r="R41" s="188">
        <f>+INDEX('2018'!$1:$1048576,MATCH('Analitika - 2019'!$A41,'2018'!$A:$A,0),MATCH('Analitika - 2019'!$R$6,'2018'!$6:$6,0))</f>
        <v>874187.86</v>
      </c>
      <c r="S41" s="189">
        <f t="shared" si="5"/>
        <v>-603877.51</v>
      </c>
      <c r="T41" s="191">
        <f t="shared" si="6"/>
        <v>-0.69078688647083253</v>
      </c>
    </row>
    <row r="42" spans="1:20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00">
        <f>+SUMPRODUCT(('2019'!$G42:$R42)*('2019'!$G$5:$R$5&lt;=Master!$B$3)*($A42='2019'!$A$10:$A$66))</f>
        <v>89158983.020000011</v>
      </c>
      <c r="H42" s="200">
        <f>+SUMPRODUCT(('2019'!$G137:$R137)*('2019'!$G$5:$R$5&lt;=Master!$B$3))</f>
        <v>92410999.719999984</v>
      </c>
      <c r="I42" s="219">
        <f t="shared" si="0"/>
        <v>-3252016.6999999732</v>
      </c>
      <c r="J42" s="220">
        <f t="shared" si="1"/>
        <v>-3.5190796656820011E-2</v>
      </c>
      <c r="K42" s="200">
        <f>+SUMPRODUCT(('2018'!$G42:$R42)*('2018'!$G$5:$R$5&lt;=Master!$B$3))</f>
        <v>87770257.659999996</v>
      </c>
      <c r="L42" s="219">
        <f t="shared" si="7"/>
        <v>1388725.3600000143</v>
      </c>
      <c r="M42" s="221">
        <f t="shared" si="2"/>
        <v>1.5822277352535385E-2</v>
      </c>
      <c r="N42" s="200">
        <f>+INDEX('2019'!$1:$1048576,MATCH('Analitika - 2019'!$A42,'2019'!$A:$A,0),MATCH('Analitika - 2019'!$N$6,'2019'!$6:$6,0))</f>
        <v>46595802.07</v>
      </c>
      <c r="O42" s="200">
        <f>+INDEX('2019'!$1:$1048576,MATCH(CONCATENATE('Analitika - 2019'!$A42,"p"),'2019'!$A:$A,0),MATCH('Analitika - 2019'!$O$6,'2019'!$101:$101,0))</f>
        <v>46206149.810000002</v>
      </c>
      <c r="P42" s="219">
        <f t="shared" si="3"/>
        <v>389652.25999999791</v>
      </c>
      <c r="Q42" s="220">
        <f t="shared" si="4"/>
        <v>8.4329090738408663E-3</v>
      </c>
      <c r="R42" s="200">
        <f>+INDEX('2018'!$1:$1048576,MATCH('Analitika - 2019'!$A42,'2018'!$A:$A,0),MATCH('Analitika - 2019'!$R$6,'2018'!$6:$6,0))</f>
        <v>45525440.089999996</v>
      </c>
      <c r="S42" s="219">
        <f t="shared" si="5"/>
        <v>1070361.9800000042</v>
      </c>
      <c r="T42" s="221">
        <f t="shared" si="6"/>
        <v>2.3511293419327561E-2</v>
      </c>
    </row>
    <row r="43" spans="1:20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+SUMPRODUCT(('2019'!$G43:$R43)*('2019'!$G$5:$R$5&lt;=Master!$B$3)*($A43='2019'!$A$10:$A$66))</f>
        <v>12913110.01</v>
      </c>
      <c r="H43" s="188">
        <f>+SUMPRODUCT(('2019'!$G138:$R138)*('2019'!$G$5:$R$5&lt;=Master!$B$3))</f>
        <v>13497250.000000006</v>
      </c>
      <c r="I43" s="189">
        <f t="shared" si="0"/>
        <v>-584139.99000000581</v>
      </c>
      <c r="J43" s="190">
        <f t="shared" si="1"/>
        <v>-4.327844486839949E-2</v>
      </c>
      <c r="K43" s="188">
        <f>+SUMPRODUCT(('2018'!$G43:$R43)*('2018'!$G$5:$R$5&lt;=Master!$B$3))</f>
        <v>13139081.27</v>
      </c>
      <c r="L43" s="189">
        <f t="shared" si="7"/>
        <v>-225971.25999999978</v>
      </c>
      <c r="M43" s="191">
        <f t="shared" si="2"/>
        <v>-1.7198406445354086E-2</v>
      </c>
      <c r="N43" s="188">
        <f>+INDEX('2019'!$1:$1048576,MATCH('Analitika - 2019'!$A43,'2019'!$A:$A,0),MATCH('Analitika - 2019'!$N$6,'2019'!$6:$6,0))</f>
        <v>6928715.1699999999</v>
      </c>
      <c r="O43" s="188">
        <f>+INDEX('2019'!$1:$1048576,MATCH(CONCATENATE('Analitika - 2019'!$A43,"p"),'2019'!$A:$A,0),MATCH('Analitika - 2019'!$O$6,'2019'!$101:$101,0))</f>
        <v>6749275.0000000028</v>
      </c>
      <c r="P43" s="189">
        <f t="shared" si="3"/>
        <v>179440.16999999713</v>
      </c>
      <c r="Q43" s="190">
        <f t="shared" si="4"/>
        <v>2.6586584484999731E-2</v>
      </c>
      <c r="R43" s="188">
        <f>+INDEX('2018'!$1:$1048576,MATCH('Analitika - 2019'!$A43,'2018'!$A:$A,0),MATCH('Analitika - 2019'!$R$6,'2018'!$6:$6,0))</f>
        <v>7135869.1500000004</v>
      </c>
      <c r="S43" s="189">
        <f t="shared" si="5"/>
        <v>-207153.98000000045</v>
      </c>
      <c r="T43" s="191">
        <f t="shared" si="6"/>
        <v>-2.9029957759245106E-2</v>
      </c>
    </row>
    <row r="44" spans="1:20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+SUMPRODUCT(('2019'!$G44:$R44)*('2019'!$G$5:$R$5&lt;=Master!$B$3)*($A44='2019'!$A$10:$A$66))</f>
        <v>1242674.72</v>
      </c>
      <c r="H44" s="188">
        <f>+SUMPRODUCT(('2019'!$G139:$R139)*('2019'!$G$5:$R$5&lt;=Master!$B$3))</f>
        <v>2472063.6700000013</v>
      </c>
      <c r="I44" s="189">
        <f t="shared" si="0"/>
        <v>-1229388.9500000014</v>
      </c>
      <c r="J44" s="190">
        <f t="shared" si="1"/>
        <v>-0.49731281799873739</v>
      </c>
      <c r="K44" s="188">
        <f>+SUMPRODUCT(('2018'!$G44:$R44)*('2018'!$G$5:$R$5&lt;=Master!$B$3))</f>
        <v>1434858.01</v>
      </c>
      <c r="L44" s="189">
        <f t="shared" si="7"/>
        <v>-192183.29000000004</v>
      </c>
      <c r="M44" s="191">
        <f t="shared" si="2"/>
        <v>-0.13393889058053909</v>
      </c>
      <c r="N44" s="188">
        <f>+INDEX('2019'!$1:$1048576,MATCH('Analitika - 2019'!$A44,'2019'!$A:$A,0),MATCH('Analitika - 2019'!$N$6,'2019'!$6:$6,0))</f>
        <v>1198874.72</v>
      </c>
      <c r="O44" s="188">
        <f>+INDEX('2019'!$1:$1048576,MATCH(CONCATENATE('Analitika - 2019'!$A44,"p"),'2019'!$A:$A,0),MATCH('Analitika - 2019'!$O$6,'2019'!$101:$101,0))</f>
        <v>1236031.8699999999</v>
      </c>
      <c r="P44" s="189">
        <f t="shared" si="3"/>
        <v>-37157.149999999907</v>
      </c>
      <c r="Q44" s="190">
        <f t="shared" si="4"/>
        <v>-3.0061643960685225E-2</v>
      </c>
      <c r="R44" s="188">
        <f>+INDEX('2018'!$1:$1048576,MATCH('Analitika - 2019'!$A44,'2018'!$A:$A,0),MATCH('Analitika - 2019'!$R$6,'2018'!$6:$6,0))</f>
        <v>1323906.01</v>
      </c>
      <c r="S44" s="189">
        <f t="shared" si="5"/>
        <v>-125031.29000000004</v>
      </c>
      <c r="T44" s="191">
        <f t="shared" si="6"/>
        <v>-9.4441213390971779E-2</v>
      </c>
    </row>
    <row r="45" spans="1:20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+SUMPRODUCT(('2019'!$G45:$R45)*('2019'!$G$5:$R$5&lt;=Master!$B$3)*($A45='2019'!$A$10:$A$66))</f>
        <v>69993419.280000001</v>
      </c>
      <c r="H45" s="188">
        <f>+SUMPRODUCT(('2019'!$G140:$R140)*('2019'!$G$5:$R$5&lt;=Master!$B$3))</f>
        <v>71504169.149999976</v>
      </c>
      <c r="I45" s="189">
        <f t="shared" si="0"/>
        <v>-1510749.869999975</v>
      </c>
      <c r="J45" s="190">
        <f t="shared" si="1"/>
        <v>-2.1128136833962197E-2</v>
      </c>
      <c r="K45" s="188">
        <f>+SUMPRODUCT(('2018'!$G45:$R45)*('2018'!$G$5:$R$5&lt;=Master!$B$3))</f>
        <v>68781308.810000002</v>
      </c>
      <c r="L45" s="189">
        <f t="shared" si="7"/>
        <v>1212110.4699999988</v>
      </c>
      <c r="M45" s="191">
        <f t="shared" si="2"/>
        <v>1.7622672365079639E-2</v>
      </c>
      <c r="N45" s="188">
        <f>+INDEX('2019'!$1:$1048576,MATCH('Analitika - 2019'!$A45,'2019'!$A:$A,0),MATCH('Analitika - 2019'!$N$6,'2019'!$6:$6,0))</f>
        <v>35530168.719999999</v>
      </c>
      <c r="O45" s="188">
        <f>+INDEX('2019'!$1:$1048576,MATCH(CONCATENATE('Analitika - 2019'!$A45,"p"),'2019'!$A:$A,0),MATCH('Analitika - 2019'!$O$6,'2019'!$101:$101,0))</f>
        <v>35752084.530000001</v>
      </c>
      <c r="P45" s="189">
        <f t="shared" si="3"/>
        <v>-221915.81000000238</v>
      </c>
      <c r="Q45" s="190">
        <f t="shared" si="4"/>
        <v>-6.2070733194253824E-3</v>
      </c>
      <c r="R45" s="188">
        <f>+INDEX('2018'!$1:$1048576,MATCH('Analitika - 2019'!$A45,'2018'!$A:$A,0),MATCH('Analitika - 2019'!$R$6,'2018'!$6:$6,0))</f>
        <v>34751702.420000002</v>
      </c>
      <c r="S45" s="189">
        <f t="shared" si="5"/>
        <v>778466.29999999702</v>
      </c>
      <c r="T45" s="191">
        <f t="shared" si="6"/>
        <v>2.2400810486682188E-2</v>
      </c>
    </row>
    <row r="46" spans="1:20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+SUMPRODUCT(('2019'!$G46:$R46)*('2019'!$G$5:$R$5&lt;=Master!$B$3)*($A46='2019'!$A$10:$A$66))</f>
        <v>3435029.78</v>
      </c>
      <c r="H46" s="188">
        <f>+SUMPRODUCT(('2019'!$G141:$R141)*('2019'!$G$5:$R$5&lt;=Master!$B$3))</f>
        <v>3166683.3999999985</v>
      </c>
      <c r="I46" s="189">
        <f t="shared" si="0"/>
        <v>268346.38000000129</v>
      </c>
      <c r="J46" s="190">
        <f t="shared" si="1"/>
        <v>8.474051431854579E-2</v>
      </c>
      <c r="K46" s="188">
        <f>+SUMPRODUCT(('2018'!$G46:$R46)*('2018'!$G$5:$R$5&lt;=Master!$B$3))</f>
        <v>2968283.41</v>
      </c>
      <c r="L46" s="189">
        <f t="shared" si="7"/>
        <v>466746.36999999965</v>
      </c>
      <c r="M46" s="191">
        <f t="shared" si="2"/>
        <v>0.15724454357274453</v>
      </c>
      <c r="N46" s="188">
        <f>+INDEX('2019'!$1:$1048576,MATCH('Analitika - 2019'!$A46,'2019'!$A:$A,0),MATCH('Analitika - 2019'!$N$6,'2019'!$6:$6,0))</f>
        <v>1855950.15</v>
      </c>
      <c r="O46" s="188">
        <f>+INDEX('2019'!$1:$1048576,MATCH(CONCATENATE('Analitika - 2019'!$A46,"p"),'2019'!$A:$A,0),MATCH('Analitika - 2019'!$O$6,'2019'!$101:$101,0))</f>
        <v>1583341.6600000001</v>
      </c>
      <c r="P46" s="189">
        <f t="shared" si="3"/>
        <v>272608.48999999976</v>
      </c>
      <c r="Q46" s="190">
        <f t="shared" si="4"/>
        <v>0.17217287770979239</v>
      </c>
      <c r="R46" s="188">
        <f>+INDEX('2018'!$1:$1048576,MATCH('Analitika - 2019'!$A46,'2018'!$A:$A,0),MATCH('Analitika - 2019'!$R$6,'2018'!$6:$6,0))</f>
        <v>1602918.54</v>
      </c>
      <c r="S46" s="189">
        <f t="shared" si="5"/>
        <v>253031.60999999987</v>
      </c>
      <c r="T46" s="191">
        <f t="shared" si="6"/>
        <v>0.15785681161314646</v>
      </c>
    </row>
    <row r="47" spans="1:20">
      <c r="A47" s="175">
        <v>425</v>
      </c>
      <c r="B47" s="482" t="str">
        <f>+VLOOKUP($A47,Master!$D$27:$G$225,4,FALSE)</f>
        <v>Ostala prava iz zdravstvenog osiguranja</v>
      </c>
      <c r="C47" s="483"/>
      <c r="D47" s="483"/>
      <c r="E47" s="483"/>
      <c r="F47" s="483"/>
      <c r="G47" s="188">
        <f>+SUMPRODUCT(('2019'!$G47:$R47)*('2019'!$G$5:$R$5&lt;=Master!$B$3)*($A47='2019'!$A$10:$A$66))</f>
        <v>1574749.23</v>
      </c>
      <c r="H47" s="188">
        <f>+SUMPRODUCT(('2019'!$G142:$R142)*('2019'!$G$5:$R$5&lt;=Master!$B$3))</f>
        <v>1770833.5</v>
      </c>
      <c r="I47" s="189">
        <f t="shared" si="0"/>
        <v>-196084.27000000002</v>
      </c>
      <c r="J47" s="190">
        <f t="shared" si="1"/>
        <v>-0.11072993028424183</v>
      </c>
      <c r="K47" s="188">
        <f>+SUMPRODUCT(('2018'!$G47:$R47)*('2018'!$G$5:$R$5&lt;=Master!$B$3))</f>
        <v>1446726.16</v>
      </c>
      <c r="L47" s="189">
        <f t="shared" si="7"/>
        <v>128023.07000000007</v>
      </c>
      <c r="M47" s="191">
        <f t="shared" si="2"/>
        <v>8.8491570512556406E-2</v>
      </c>
      <c r="N47" s="188">
        <f>+INDEX('2019'!$1:$1048576,MATCH('Analitika - 2019'!$A47,'2019'!$A:$A,0),MATCH('Analitika - 2019'!$N$6,'2019'!$6:$6,0))</f>
        <v>1082093.31</v>
      </c>
      <c r="O47" s="188">
        <f>+INDEX('2019'!$1:$1048576,MATCH(CONCATENATE('Analitika - 2019'!$A47,"p"),'2019'!$A:$A,0),MATCH('Analitika - 2019'!$O$6,'2019'!$101:$101,0))</f>
        <v>885416.75</v>
      </c>
      <c r="P47" s="189">
        <f t="shared" si="3"/>
        <v>196676.56000000006</v>
      </c>
      <c r="Q47" s="190">
        <f t="shared" si="4"/>
        <v>0.2221287997996424</v>
      </c>
      <c r="R47" s="188">
        <f>+INDEX('2018'!$1:$1048576,MATCH('Analitika - 2019'!$A47,'2018'!$A:$A,0),MATCH('Analitika - 2019'!$R$6,'2018'!$6:$6,0))</f>
        <v>711043.97</v>
      </c>
      <c r="S47" s="189">
        <f t="shared" si="5"/>
        <v>371049.34000000008</v>
      </c>
      <c r="T47" s="191">
        <f t="shared" si="6"/>
        <v>0.52183740479509311</v>
      </c>
    </row>
    <row r="48" spans="1:20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f>+SUMPRODUCT(('2019'!$G48:$R48)*('2019'!$G$5:$R$5&lt;=Master!$B$3)*($A48='2019'!$A$10:$A$66))</f>
        <v>34371139.539999999</v>
      </c>
      <c r="H48" s="200">
        <f>+SUMPRODUCT(('2019'!$G143:$R143)*('2019'!$G$5:$R$5&lt;=Master!$B$3))</f>
        <v>42357190.11666666</v>
      </c>
      <c r="I48" s="201">
        <f t="shared" si="0"/>
        <v>-7986050.5766666606</v>
      </c>
      <c r="J48" s="202">
        <f t="shared" si="1"/>
        <v>-0.18854061269574907</v>
      </c>
      <c r="K48" s="200">
        <f>+SUMPRODUCT(('2018'!$G48:$R48)*('2018'!$G$5:$R$5&lt;=Master!$B$3))</f>
        <v>24133551.130000003</v>
      </c>
      <c r="L48" s="201">
        <f t="shared" si="7"/>
        <v>10237588.409999996</v>
      </c>
      <c r="M48" s="203">
        <f t="shared" si="2"/>
        <v>0.4242056361640798</v>
      </c>
      <c r="N48" s="200">
        <f>+INDEX('2019'!$1:$1048576,MATCH('Analitika - 2019'!$A48,'2019'!$A:$A,0),MATCH('Analitika - 2019'!$N$6,'2019'!$6:$6,0))</f>
        <v>18630588.73</v>
      </c>
      <c r="O48" s="200">
        <f>+INDEX('2019'!$1:$1048576,MATCH(CONCATENATE('Analitika - 2019'!$A48,"p"),'2019'!$A:$A,0),MATCH('Analitika - 2019'!$O$6,'2019'!$101:$101,0))</f>
        <v>22018439.158333331</v>
      </c>
      <c r="P48" s="201">
        <f t="shared" si="3"/>
        <v>-3387850.4283333309</v>
      </c>
      <c r="Q48" s="202">
        <f t="shared" si="4"/>
        <v>-0.1538642409651062</v>
      </c>
      <c r="R48" s="200">
        <f>+INDEX('2018'!$1:$1048576,MATCH('Analitika - 2019'!$A48,'2018'!$A:$A,0),MATCH('Analitika - 2019'!$R$6,'2018'!$6:$6,0))</f>
        <v>13096709.15</v>
      </c>
      <c r="S48" s="201">
        <f t="shared" si="5"/>
        <v>5533879.5800000001</v>
      </c>
      <c r="T48" s="203">
        <f t="shared" si="6"/>
        <v>0.42253970189144807</v>
      </c>
    </row>
    <row r="49" spans="1:23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f>+SUMPRODUCT(('2019'!$G49:$R49)*('2019'!$G$5:$R$5&lt;=Master!$B$3)*($A49='2019'!$A$10:$A$66))</f>
        <v>31417732.43</v>
      </c>
      <c r="H49" s="200">
        <f>+SUMPRODUCT(('2019'!$G144:$R144)*('2019'!$G$5:$R$5&lt;=Master!$B$3))</f>
        <v>53487499.979999989</v>
      </c>
      <c r="I49" s="201">
        <f t="shared" si="0"/>
        <v>-22069767.54999999</v>
      </c>
      <c r="J49" s="202">
        <f t="shared" si="1"/>
        <v>-0.41261542525360695</v>
      </c>
      <c r="K49" s="200">
        <f>+SUMPRODUCT(('2018'!$G49:$R49)*('2018'!$G$5:$R$5&lt;=Master!$B$3))</f>
        <v>5500430.4700000007</v>
      </c>
      <c r="L49" s="201">
        <f t="shared" si="7"/>
        <v>25917301.960000001</v>
      </c>
      <c r="M49" s="203">
        <f t="shared" si="2"/>
        <v>4.7118679349472794</v>
      </c>
      <c r="N49" s="200">
        <f>+INDEX('2019'!$1:$1048576,MATCH('Analitika - 2019'!$A49,'2019'!$A:$A,0),MATCH('Analitika - 2019'!$N$6,'2019'!$6:$6,0))</f>
        <v>4589377.4800000004</v>
      </c>
      <c r="O49" s="200">
        <f>+INDEX('2019'!$1:$1048576,MATCH(CONCATENATE('Analitika - 2019'!$A49,"p"),'2019'!$A:$A,0),MATCH('Analitika - 2019'!$O$6,'2019'!$101:$101,0))</f>
        <v>26743749.989999995</v>
      </c>
      <c r="P49" s="201">
        <f t="shared" si="3"/>
        <v>-22154372.509999994</v>
      </c>
      <c r="Q49" s="202">
        <f t="shared" si="4"/>
        <v>-0.82839439189657182</v>
      </c>
      <c r="R49" s="200">
        <f>+INDEX('2018'!$1:$1048576,MATCH('Analitika - 2019'!$A49,'2018'!$A:$A,0),MATCH('Analitika - 2019'!$R$6,'2018'!$6:$6,0))</f>
        <v>3337170.39</v>
      </c>
      <c r="S49" s="201">
        <f t="shared" si="5"/>
        <v>1252207.0900000003</v>
      </c>
      <c r="T49" s="203" t="s">
        <v>776</v>
      </c>
    </row>
    <row r="50" spans="1:23">
      <c r="A50" s="175">
        <v>451</v>
      </c>
      <c r="B50" s="450" t="str">
        <f>+VLOOKUP($A50,Master!$D$27:$G$225,4,FALSE)</f>
        <v>Pozajmice i krediti</v>
      </c>
      <c r="C50" s="451"/>
      <c r="D50" s="451"/>
      <c r="E50" s="451"/>
      <c r="F50" s="451"/>
      <c r="G50" s="188">
        <f>+SUMPRODUCT(('2019'!$G50:$R50)*('2019'!$G$5:$R$5&lt;=Master!$B$3)*($A50='2019'!$A$10:$A$66))</f>
        <v>272323.98</v>
      </c>
      <c r="H50" s="188">
        <f>+SUMPRODUCT(('2019'!$G145:$R145)*('2019'!$G$5:$R$5&lt;=Master!$B$3))</f>
        <v>380000.16666666669</v>
      </c>
      <c r="I50" s="189">
        <f>G50-H50</f>
        <v>-107676.1866666667</v>
      </c>
      <c r="J50" s="343">
        <f t="shared" si="1"/>
        <v>-0.28335826168497302</v>
      </c>
      <c r="K50" s="188">
        <f>+SUMPRODUCT(('2018'!$G50:$R50)*('2018'!$G$5:$R$5&lt;=Master!$B$3))</f>
        <v>385906.62</v>
      </c>
      <c r="L50" s="349">
        <f t="shared" si="7"/>
        <v>-113582.64000000001</v>
      </c>
      <c r="M50" s="352">
        <f t="shared" si="2"/>
        <v>-0.29432674671401082</v>
      </c>
      <c r="N50" s="188">
        <f>+INDEX('2019'!$1:$1048576,MATCH('Analitika - 2019'!$A50,'2019'!$A:$A,0),MATCH('Analitika - 2019'!$N$6,'2019'!$6:$6,0))</f>
        <v>272323.98</v>
      </c>
      <c r="O50" s="188">
        <f>+INDEX('2019'!$1:$1048576,MATCH(CONCATENATE('Analitika - 2019'!$A50,"p"),'2019'!$A:$A,0),MATCH('Analitika - 2019'!$O$6,'2019'!$101:$101,0))</f>
        <v>190000.08333333334</v>
      </c>
      <c r="P50" s="189">
        <f t="shared" si="3"/>
        <v>82323.896666666638</v>
      </c>
      <c r="Q50" s="343">
        <f t="shared" si="4"/>
        <v>0.43328347663005395</v>
      </c>
      <c r="R50" s="188">
        <f>+INDEX('2018'!$1:$1048576,MATCH('Analitika - 2019'!$A50,'2018'!$A:$A,0),MATCH('Analitika - 2019'!$R$6,'2018'!$6:$6,0))</f>
        <v>380906.62</v>
      </c>
      <c r="S50" s="349">
        <f t="shared" si="5"/>
        <v>-108582.64000000001</v>
      </c>
      <c r="T50" s="352" t="s">
        <v>776</v>
      </c>
    </row>
    <row r="51" spans="1:23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f>+SUMPRODUCT(('2019'!$G51:$R51)*('2019'!$G$5:$R$5&lt;=Master!$B$3)*($A51='2019'!$A$10:$A$66))</f>
        <v>1952871.71</v>
      </c>
      <c r="H51" s="188">
        <f>+SUMPRODUCT(('2019'!$G146:$R146)*('2019'!$G$5:$R$5&lt;=Master!$B$3))</f>
        <v>3494166.6666666665</v>
      </c>
      <c r="I51" s="189">
        <f t="shared" ref="I51:I52" si="8">G51-H51</f>
        <v>-1541294.9566666665</v>
      </c>
      <c r="J51" s="344">
        <f t="shared" si="1"/>
        <v>-0.44110516289053181</v>
      </c>
      <c r="K51" s="188">
        <f>+SUMPRODUCT(('2018'!$G51:$R51)*('2018'!$G$5:$R$5&lt;=Master!$B$3))</f>
        <v>282000</v>
      </c>
      <c r="L51" s="350">
        <f t="shared" si="7"/>
        <v>1670871.71</v>
      </c>
      <c r="M51" s="353">
        <f t="shared" si="2"/>
        <v>5.9250769858156023</v>
      </c>
      <c r="N51" s="188">
        <f>+INDEX('2019'!$1:$1048576,MATCH('Analitika - 2019'!$A51,'2019'!$A:$A,0),MATCH('Analitika - 2019'!$N$6,'2019'!$6:$6,0))</f>
        <v>1952871.71</v>
      </c>
      <c r="O51" s="188">
        <f>+INDEX('2019'!$1:$1048576,MATCH(CONCATENATE('Analitika - 2019'!$A51,"p"),'2019'!$A:$A,0),MATCH('Analitika - 2019'!$O$6,'2019'!$101:$101,0))</f>
        <v>1843583.3333333333</v>
      </c>
      <c r="P51" s="189">
        <f t="shared" si="3"/>
        <v>109288.37666666671</v>
      </c>
      <c r="Q51" s="344">
        <f t="shared" si="4"/>
        <v>5.9280410432581476E-2</v>
      </c>
      <c r="R51" s="188">
        <f>+INDEX('2018'!$1:$1048576,MATCH('Analitika - 2019'!$A51,'2018'!$A:$A,0),MATCH('Analitika - 2019'!$R$6,'2018'!$6:$6,0))</f>
        <v>92000</v>
      </c>
      <c r="S51" s="350">
        <f t="shared" si="5"/>
        <v>1860871.71</v>
      </c>
      <c r="T51" s="353">
        <f t="shared" si="6"/>
        <v>20.226866413043478</v>
      </c>
      <c r="W51" s="441"/>
    </row>
    <row r="52" spans="1:23" ht="15.7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188">
        <f>+SUMPRODUCT(('2019'!$G52:$R52)*('2019'!$G$5:$R$5&lt;=Master!$B$3)*($A52='2019'!$A$10:$A$66))</f>
        <v>2254214.0699999998</v>
      </c>
      <c r="H52" s="188">
        <f>+SUMPRODUCT(('2019'!$G147:$R147)*('2019'!$G$5:$R$5&lt;=Master!$B$3))</f>
        <v>0</v>
      </c>
      <c r="I52" s="189">
        <f t="shared" si="8"/>
        <v>2254214.0699999998</v>
      </c>
      <c r="J52" s="345" t="str">
        <f t="shared" si="1"/>
        <v>…</v>
      </c>
      <c r="K52" s="188">
        <f>+SUMPRODUCT(('2018'!$G52:$R52)*('2018'!$G$5:$R$5&lt;=Master!$B$3))</f>
        <v>0</v>
      </c>
      <c r="L52" s="350">
        <f t="shared" si="7"/>
        <v>2254214.0699999998</v>
      </c>
      <c r="M52" s="354" t="str">
        <f t="shared" si="2"/>
        <v>…</v>
      </c>
      <c r="N52" s="188">
        <f>+INDEX('2019'!$1:$1048576,MATCH('Analitika - 2019'!$A52,'2019'!$A:$A,0),MATCH('Analitika - 2019'!$N$6,'2019'!$6:$6,0))</f>
        <v>494.04</v>
      </c>
      <c r="O52" s="188">
        <f>+INDEX('2019'!$1:$1048576,MATCH(CONCATENATE('Analitika - 2019'!$A52,"p"),'2019'!$A:$A,0),MATCH('Analitika - 2019'!$O$6,'2019'!$101:$101,0))</f>
        <v>0</v>
      </c>
      <c r="P52" s="189">
        <f t="shared" si="3"/>
        <v>494.04</v>
      </c>
      <c r="Q52" s="345" t="str">
        <f t="shared" si="4"/>
        <v>…</v>
      </c>
      <c r="R52" s="188">
        <f>+INDEX('2018'!$1:$1048576,MATCH('Analitika - 2019'!$A52,'2018'!$A:$A,0),MATCH('Analitika - 2019'!$R$6,'2018'!$6:$6,0))</f>
        <v>0</v>
      </c>
      <c r="S52" s="350">
        <f t="shared" si="5"/>
        <v>494.04</v>
      </c>
      <c r="T52" s="354" t="str">
        <f t="shared" si="6"/>
        <v>…</v>
      </c>
    </row>
    <row r="53" spans="1:23" ht="15.75" thickBot="1">
      <c r="A53" s="169">
        <v>4630</v>
      </c>
      <c r="B53" s="468" t="str">
        <f>+VLOOKUP($A53,Master!$D$27:$G$225,4,FALSE)</f>
        <v>Otplata obaveza iz prethodnih godina</v>
      </c>
      <c r="C53" s="469"/>
      <c r="D53" s="469"/>
      <c r="E53" s="469"/>
      <c r="F53" s="469"/>
      <c r="G53" s="390">
        <f>+SUMPRODUCT(('2019'!$G53:$R53)*('2019'!$G$5:$R$5&lt;=Master!$B$3)*($A53='2019'!$A$10:$A$66))</f>
        <v>1786312.1500000001</v>
      </c>
      <c r="H53" s="390">
        <f>+SUMPRODUCT(('2019'!$G148:$R148)*('2019'!$G$5:$R$5&lt;=Master!$B$3))</f>
        <v>2548628.9000000004</v>
      </c>
      <c r="I53" s="351">
        <f>G53-H53</f>
        <v>-762316.75000000023</v>
      </c>
      <c r="J53" s="346">
        <f t="shared" si="1"/>
        <v>-0.29910857167161531</v>
      </c>
      <c r="K53" s="390">
        <f>+SUMPRODUCT(('2018'!$G53:$R53)*('2018'!$G$5:$R$5&lt;=Master!$B$3))</f>
        <v>3914774.38</v>
      </c>
      <c r="L53" s="357">
        <f t="shared" si="7"/>
        <v>-2128462.2299999995</v>
      </c>
      <c r="M53" s="355">
        <f t="shared" si="2"/>
        <v>-0.54369984663075266</v>
      </c>
      <c r="N53" s="390">
        <f>+INDEX('2019'!$1:$1048576,MATCH('Analitika - 2019'!$A53,'2019'!$A:$A,0),MATCH('Analitika - 2019'!$N$6,'2019'!$6:$6,0))</f>
        <v>581258.80000000005</v>
      </c>
      <c r="O53" s="390">
        <f>+INDEX('2019'!$1:$1048576,MATCH(CONCATENATE('Analitika - 2019'!$A53,"p"),'2019'!$A:$A,0),MATCH('Analitika - 2019'!$O$6,'2019'!$101:$101,0))</f>
        <v>1266814.4500000002</v>
      </c>
      <c r="P53" s="351">
        <f>N53-O53</f>
        <v>-685555.65000000014</v>
      </c>
      <c r="Q53" s="346">
        <f t="shared" si="4"/>
        <v>-0.54116500644589272</v>
      </c>
      <c r="R53" s="390">
        <f>+INDEX('2018'!$1:$1048576,MATCH('Analitika - 2019'!$A53,'2018'!$A:$A,0),MATCH('Analitika - 2019'!$R$6,'2018'!$6:$6,0))</f>
        <v>2215955.08</v>
      </c>
      <c r="S53" s="357">
        <f>+N53-R53</f>
        <v>-1634696.28</v>
      </c>
      <c r="T53" s="355">
        <f>+IF(ISNUMBER(N53/R53-1),N53/R53-1,"…")</f>
        <v>-0.73769378032699107</v>
      </c>
    </row>
    <row r="54" spans="1:23" ht="15.75" thickBot="1">
      <c r="A54" s="169">
        <v>1005</v>
      </c>
      <c r="B54" s="468" t="str">
        <f>+VLOOKUP($A54,Master!$D$27:$G$227,4,FALSE)</f>
        <v>Neto povećanje obaveza</v>
      </c>
      <c r="C54" s="469"/>
      <c r="D54" s="469"/>
      <c r="E54" s="469"/>
      <c r="F54" s="469"/>
      <c r="G54" s="188">
        <f>+SUMPRODUCT(('2019'!$G54:$R54)*('2019'!$G$5:$R$5&lt;=Master!$B$3)*($A54='2019'!$A$10:$A$66))</f>
        <v>0</v>
      </c>
      <c r="H54" s="188">
        <f>+SUMPRODUCT(('2019'!$G149:$R149)*('2019'!$G$5:$R$5&lt;=Master!$B$3))</f>
        <v>0</v>
      </c>
      <c r="I54" s="351">
        <f>G54-H54</f>
        <v>0</v>
      </c>
      <c r="J54" s="346" t="str">
        <f t="shared" si="1"/>
        <v>…</v>
      </c>
      <c r="K54" s="188">
        <f>+SUMPRODUCT(('2018'!$G54:$R54)*('2018'!$G$5:$R$5&lt;=Master!$B$3))</f>
        <v>0</v>
      </c>
      <c r="L54" s="357">
        <f t="shared" si="7"/>
        <v>0</v>
      </c>
      <c r="M54" s="355" t="str">
        <f t="shared" si="2"/>
        <v>…</v>
      </c>
      <c r="N54" s="188">
        <f>+INDEX('2019'!$1:$1048576,MATCH('Analitika - 2019'!$A54,'2019'!$A:$A,0),MATCH('Analitika - 2019'!$N$6,'2019'!$6:$6,0))</f>
        <v>0</v>
      </c>
      <c r="O54" s="188" t="e">
        <f>+INDEX('2019'!$1:$1048576,MATCH(CONCATENATE('Analitika - 2019'!$A54,"p"),'2019'!$A:$A,0),MATCH('Analitika - 2019'!$O$6,'2019'!$101:$101,0))</f>
        <v>#N/A</v>
      </c>
      <c r="P54" s="351" t="e">
        <f>N54-O54</f>
        <v>#N/A</v>
      </c>
      <c r="Q54" s="346" t="str">
        <f t="shared" si="4"/>
        <v>…</v>
      </c>
      <c r="R54" s="188">
        <f>+INDEX('2018'!$1:$1048576,MATCH('Analitika - 2019'!$A54,'2018'!$A:$A,0),MATCH('Analitika - 2019'!$R$6,'2018'!$6:$6,0))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74" t="str">
        <f>+VLOOKUP($A55,Master!$D$27:$G$225,4,FALSE)</f>
        <v>Suficit / deficit</v>
      </c>
      <c r="C55" s="475"/>
      <c r="D55" s="475"/>
      <c r="E55" s="475"/>
      <c r="F55" s="475"/>
      <c r="G55" s="176">
        <f>+SUMPRODUCT(('2019'!$G55:$R55)*('2019'!$G$5:$R$5&lt;=Master!$B$3)*($A55='2019'!$A$10:$A$66))</f>
        <v>-43605845.320000052</v>
      </c>
      <c r="H55" s="176">
        <f>+SUMPRODUCT(('2019'!$G150:$R150)*('2019'!$G$5:$R$5&lt;=Master!$B$3))</f>
        <v>-120194261.0271759</v>
      </c>
      <c r="I55" s="397">
        <f>+G55-H55</f>
        <v>76588415.707175851</v>
      </c>
      <c r="J55" s="348">
        <f t="shared" si="1"/>
        <v>-0.63720526298555313</v>
      </c>
      <c r="K55" s="176">
        <f>+SUMPRODUCT(('2018'!$G55:$R55)*('2018'!$G$5:$R$5&lt;=Master!$B$3))</f>
        <v>-36511159.12999998</v>
      </c>
      <c r="L55" s="358">
        <f t="shared" si="7"/>
        <v>-7094686.1900000721</v>
      </c>
      <c r="M55" s="356">
        <f t="shared" si="2"/>
        <v>0.19431555609448203</v>
      </c>
      <c r="N55" s="176">
        <f>+INDEX('2019'!$1:$1048576,MATCH('Analitika - 2019'!$A55,'2019'!$A:$A,0),MATCH('Analitika - 2019'!$N$6,'2019'!$6:$6,0))</f>
        <v>-11186006.100000024</v>
      </c>
      <c r="O55" s="176">
        <f>+INDEX('2019'!$1:$1048576,MATCH(CONCATENATE('Analitika - 2019'!$A55,"p"),'2019'!$A:$A,0),MATCH('Analitika - 2019'!$O$6,'2019'!$101:$101,0))</f>
        <v>-52914716.055624664</v>
      </c>
      <c r="P55" s="397">
        <f>N55-O55</f>
        <v>41728709.95562464</v>
      </c>
      <c r="Q55" s="348">
        <f t="shared" si="4"/>
        <v>-0.78860311584699527</v>
      </c>
      <c r="R55" s="176">
        <f>+INDEX('2018'!$1:$1048576,MATCH('Analitika - 2019'!$A55,'2018'!$A:$A,0),MATCH('Analitika - 2019'!$R$6,'2018'!$6:$6,0))</f>
        <v>-11928731.069999993</v>
      </c>
      <c r="S55" s="358">
        <f t="shared" si="5"/>
        <v>742724.96999996901</v>
      </c>
      <c r="T55" s="348">
        <f>+IF(ISNUMBER(N55/R55-1),N55/R55-1,"…")</f>
        <v>-6.2263535462533492E-2</v>
      </c>
    </row>
    <row r="56" spans="1:23" ht="15.75" thickBot="1">
      <c r="A56" s="169">
        <v>1001</v>
      </c>
      <c r="B56" s="476" t="str">
        <f>+VLOOKUP($A56,Master!$D$27:$G$225,4,FALSE)</f>
        <v>Primarni bilans</v>
      </c>
      <c r="C56" s="477"/>
      <c r="D56" s="477"/>
      <c r="E56" s="477"/>
      <c r="F56" s="477"/>
      <c r="G56" s="176">
        <f>+SUMPRODUCT(('2019'!$G56:$R56)*('2019'!$G$5:$R$5&lt;=Master!$B$3)*($A56='2019'!$A$10:$A$66))</f>
        <v>-36650462.630000055</v>
      </c>
      <c r="H56" s="176">
        <f>+SUMPRODUCT(('2019'!$G151:$R151)*('2019'!$G$5:$R$5&lt;=Master!$B$3))</f>
        <v>-111226816.06717589</v>
      </c>
      <c r="I56" s="231">
        <f t="shared" si="0"/>
        <v>74576353.43717584</v>
      </c>
      <c r="J56" s="232">
        <f t="shared" si="1"/>
        <v>-0.6704889708623426</v>
      </c>
      <c r="K56" s="176">
        <f>+SUMPRODUCT(('2018'!$G56:$R56)*('2018'!$G$5:$R$5&lt;=Master!$B$3))</f>
        <v>-31136280.349999979</v>
      </c>
      <c r="L56" s="231">
        <f t="shared" si="7"/>
        <v>-5514182.2800000757</v>
      </c>
      <c r="M56" s="233">
        <f t="shared" si="2"/>
        <v>0.17709829876965633</v>
      </c>
      <c r="N56" s="176">
        <f>+INDEX('2019'!$1:$1048576,MATCH('Analitika - 2019'!$A56,'2019'!$A:$A,0),MATCH('Analitika - 2019'!$N$6,'2019'!$6:$6,0))</f>
        <v>-10363677.470000023</v>
      </c>
      <c r="O56" s="176">
        <f>+INDEX('2019'!$1:$1048576,MATCH(CONCATENATE('Analitika - 2019'!$A56,"p"),'2019'!$A:$A,0),MATCH('Analitika - 2019'!$O$6,'2019'!$101:$101,0))</f>
        <v>-51927996.095624663</v>
      </c>
      <c r="P56" s="231">
        <f t="shared" si="3"/>
        <v>41564318.625624642</v>
      </c>
      <c r="Q56" s="232">
        <f t="shared" si="4"/>
        <v>-0.80042215665485228</v>
      </c>
      <c r="R56" s="176">
        <f>+INDEX('2018'!$1:$1048576,MATCH('Analitika - 2019'!$A56,'2018'!$A:$A,0),MATCH('Analitika - 2019'!$R$6,'2018'!$6:$6,0))</f>
        <v>-10877929.839999992</v>
      </c>
      <c r="S56" s="231">
        <f t="shared" si="5"/>
        <v>514252.36999996938</v>
      </c>
      <c r="T56" s="348">
        <f>+IF(ISNUMBER(N56/R56-1),N56/R56-1,"…")</f>
        <v>-4.7274837911619572E-2</v>
      </c>
    </row>
    <row r="57" spans="1:23">
      <c r="A57" s="169">
        <v>46</v>
      </c>
      <c r="B57" s="478" t="str">
        <f>+VLOOKUP($A57,Master!$D$27:$G$225,4,FALSE)</f>
        <v>Otplata dugova</v>
      </c>
      <c r="C57" s="479"/>
      <c r="D57" s="479"/>
      <c r="E57" s="479"/>
      <c r="F57" s="479"/>
      <c r="G57" s="182">
        <f>+SUMPRODUCT(('2019'!$G57:$R57)*('2019'!$G$5:$R$5&lt;=Master!$B$3)*($A57='2019'!$A$10:$A$66))</f>
        <v>86883790.520000011</v>
      </c>
      <c r="H57" s="182">
        <f>+SUMPRODUCT(('2019'!$G152:$R152)*('2019'!$G$5:$R$5&lt;=Master!$B$3))</f>
        <v>5081056.6099999994</v>
      </c>
      <c r="I57" s="219">
        <f t="shared" si="0"/>
        <v>81802733.910000011</v>
      </c>
      <c r="J57" s="220">
        <f t="shared" si="1"/>
        <v>16.099551764293377</v>
      </c>
      <c r="K57" s="182">
        <f>+SUMPRODUCT(('2018'!$G57:$R57)*('2018'!$G$5:$R$5&lt;=Master!$B$3))</f>
        <v>80689136.739999995</v>
      </c>
      <c r="L57" s="219">
        <f t="shared" si="7"/>
        <v>6194653.7800000161</v>
      </c>
      <c r="M57" s="221">
        <f t="shared" si="2"/>
        <v>7.6771843525364369E-2</v>
      </c>
      <c r="N57" s="182">
        <f>+INDEX('2019'!$1:$1048576,MATCH('Analitika - 2019'!$A57,'2019'!$A:$A,0),MATCH('Analitika - 2019'!$N$6,'2019'!$6:$6,0))</f>
        <v>67365423.120000005</v>
      </c>
      <c r="O57" s="182">
        <f>+INDEX('2019'!$1:$1048576,MATCH(CONCATENATE('Analitika - 2019'!$A57,"p"),'2019'!$A:$A,0),MATCH('Analitika - 2019'!$O$6,'2019'!$101:$101,0))</f>
        <v>3362692.9499999997</v>
      </c>
      <c r="P57" s="219">
        <f t="shared" si="3"/>
        <v>64002730.170000002</v>
      </c>
      <c r="Q57" s="220">
        <f t="shared" si="4"/>
        <v>19.033177016652683</v>
      </c>
      <c r="R57" s="182">
        <f>+INDEX('2018'!$1:$1048576,MATCH('Analitika - 2019'!$A57,'2018'!$A:$A,0),MATCH('Analitika - 2019'!$R$6,'2018'!$6:$6,0))</f>
        <v>54488971.759999998</v>
      </c>
      <c r="S57" s="219">
        <f t="shared" si="5"/>
        <v>12876451.360000007</v>
      </c>
      <c r="T57" s="221">
        <f t="shared" si="6"/>
        <v>0.23631298121599942</v>
      </c>
    </row>
    <row r="58" spans="1:23">
      <c r="A58" s="169">
        <v>4611</v>
      </c>
      <c r="B58" s="466" t="str">
        <f>+VLOOKUP($A58,Master!$D$27:$G$225,4,FALSE)</f>
        <v>Otplata hartija od vrijednosti i kredita rezidentima</v>
      </c>
      <c r="C58" s="467"/>
      <c r="D58" s="467"/>
      <c r="E58" s="467"/>
      <c r="F58" s="467"/>
      <c r="G58" s="188">
        <f>+SUMPRODUCT(('2019'!$G58:$R58)*('2019'!$G$5:$R$5&lt;=Master!$B$3)*($A58='2019'!$A$10:$A$66))</f>
        <v>82920313.439999998</v>
      </c>
      <c r="H58" s="188">
        <f>+SUMPRODUCT(('2019'!$G153:$R153)*('2019'!$G$5:$R$5&lt;=Master!$B$3))</f>
        <v>920330.67999999993</v>
      </c>
      <c r="I58" s="237">
        <f t="shared" si="0"/>
        <v>81999982.75999999</v>
      </c>
      <c r="J58" s="238">
        <f t="shared" si="1"/>
        <v>89.09839098268462</v>
      </c>
      <c r="K58" s="188">
        <f>+SUMPRODUCT(('2018'!$G58:$R58)*('2018'!$G$5:$R$5&lt;=Master!$B$3))</f>
        <v>75519119.670000002</v>
      </c>
      <c r="L58" s="237">
        <f t="shared" si="7"/>
        <v>7401193.7699999958</v>
      </c>
      <c r="M58" s="239">
        <f t="shared" si="2"/>
        <v>9.8004237898182467E-2</v>
      </c>
      <c r="N58" s="188">
        <f>+INDEX('2019'!$1:$1048576,MATCH('Analitika - 2019'!$A58,'2019'!$A:$A,0),MATCH('Analitika - 2019'!$N$6,'2019'!$6:$6,0))</f>
        <v>64835364.859999999</v>
      </c>
      <c r="O58" s="188">
        <f>+INDEX('2019'!$1:$1048576,MATCH(CONCATENATE('Analitika - 2019'!$A58,"p"),'2019'!$A:$A,0),MATCH('Analitika - 2019'!$O$6,'2019'!$101:$101,0))</f>
        <v>835385.84</v>
      </c>
      <c r="P58" s="237">
        <f t="shared" si="3"/>
        <v>63999979.019999996</v>
      </c>
      <c r="Q58" s="238">
        <f t="shared" si="4"/>
        <v>76.611280626925634</v>
      </c>
      <c r="R58" s="188">
        <f>+INDEX('2018'!$1:$1048576,MATCH('Analitika - 2019'!$A58,'2018'!$A:$A,0),MATCH('Analitika - 2019'!$R$6,'2018'!$6:$6,0))</f>
        <v>50952373.509999998</v>
      </c>
      <c r="S58" s="237">
        <f t="shared" si="5"/>
        <v>13882991.350000001</v>
      </c>
      <c r="T58" s="239">
        <f t="shared" si="6"/>
        <v>0.27246996349002872</v>
      </c>
    </row>
    <row r="59" spans="1:23">
      <c r="A59" s="169">
        <v>4612</v>
      </c>
      <c r="B59" s="450" t="str">
        <f>+VLOOKUP($A59,Master!$D$27:$G$225,4,FALSE)</f>
        <v>Otplata hartija od vrijednosti i kredita nerezidentima</v>
      </c>
      <c r="C59" s="451"/>
      <c r="D59" s="451"/>
      <c r="E59" s="451"/>
      <c r="F59" s="451"/>
      <c r="G59" s="188">
        <f>+SUMPRODUCT(('2019'!$G59:$R59)*('2019'!$G$5:$R$5&lt;=Master!$B$3)*($A59='2019'!$A$10:$A$66))</f>
        <v>3963477.08</v>
      </c>
      <c r="H59" s="188">
        <f>+SUMPRODUCT(('2019'!$G154:$R154)*('2019'!$G$5:$R$5&lt;=Master!$B$3))</f>
        <v>4160725.9299999997</v>
      </c>
      <c r="I59" s="237">
        <f t="shared" si="0"/>
        <v>-197248.84999999963</v>
      </c>
      <c r="J59" s="238">
        <f t="shared" si="1"/>
        <v>-4.7407316251661835E-2</v>
      </c>
      <c r="K59" s="188">
        <f>+SUMPRODUCT(('2018'!$G59:$R59)*('2018'!$G$5:$R$5&lt;=Master!$B$3))</f>
        <v>5170017.07</v>
      </c>
      <c r="L59" s="237">
        <f t="shared" si="7"/>
        <v>-1206539.9900000002</v>
      </c>
      <c r="M59" s="239">
        <f t="shared" si="2"/>
        <v>-0.23337253507366085</v>
      </c>
      <c r="N59" s="188">
        <f>+INDEX('2019'!$1:$1048576,MATCH('Analitika - 2019'!$A59,'2019'!$A:$A,0),MATCH('Analitika - 2019'!$N$6,'2019'!$6:$6,0))</f>
        <v>2530058.2599999998</v>
      </c>
      <c r="O59" s="188">
        <f>+INDEX('2019'!$1:$1048576,MATCH(CONCATENATE('Analitika - 2019'!$A59,"p"),'2019'!$A:$A,0),MATCH('Analitika - 2019'!$O$6,'2019'!$101:$101,0))</f>
        <v>2527307.11</v>
      </c>
      <c r="P59" s="237">
        <f t="shared" si="3"/>
        <v>2751.1499999999069</v>
      </c>
      <c r="Q59" s="238">
        <f t="shared" si="4"/>
        <v>1.0885697227354107E-3</v>
      </c>
      <c r="R59" s="188">
        <f>+INDEX('2018'!$1:$1048576,MATCH('Analitika - 2019'!$A59,'2018'!$A:$A,0),MATCH('Analitika - 2019'!$R$6,'2018'!$6:$6,0))</f>
        <v>3536598.25</v>
      </c>
      <c r="S59" s="237">
        <f t="shared" si="5"/>
        <v>-1006539.9900000002</v>
      </c>
      <c r="T59" s="239">
        <f t="shared" si="6"/>
        <v>-0.28460682238928336</v>
      </c>
    </row>
    <row r="60" spans="1:23" ht="15.75" thickBot="1">
      <c r="A60" s="169">
        <v>4418</v>
      </c>
      <c r="B60" s="486" t="s">
        <v>340</v>
      </c>
      <c r="C60" s="487"/>
      <c r="D60" s="487"/>
      <c r="E60" s="487"/>
      <c r="F60" s="487"/>
      <c r="G60" s="425">
        <f>+SUMPRODUCT(('2019'!$G60:$R60)*('2019'!$G$5:$R$5&lt;=Master!$B$3)*($A60='2019'!$A$10:$A$66))</f>
        <v>0</v>
      </c>
      <c r="H60" s="425">
        <f>+SUMPRODUCT(('2019'!$G155:$R155)*('2019'!$G$5:$R$5&lt;=Master!$B$3))</f>
        <v>53333.34</v>
      </c>
      <c r="I60" s="426">
        <f t="shared" ref="I60:I66" si="9">+G60-H60</f>
        <v>-53333.34</v>
      </c>
      <c r="J60" s="427">
        <f>+IF(ISNUMBER(G60/H60-1),G60/H61-1,"…")</f>
        <v>-1</v>
      </c>
      <c r="K60" s="425">
        <f>+SUMPRODUCT(('2018'!$G60:$R60)*('2018'!$G$5:$R$5&lt;=Master!$B$3))</f>
        <v>0</v>
      </c>
      <c r="L60" s="426">
        <f t="shared" ref="L60:L66" si="10">+G60-K60</f>
        <v>0</v>
      </c>
      <c r="M60" s="428" t="str">
        <f>+IF(ISNUMBER(G60/K60-1),G60/K60-1,"…")</f>
        <v>…</v>
      </c>
      <c r="N60" s="425">
        <f>+INDEX('2019'!$1:$1048576,MATCH('Analitika - 2019'!$A60,'2019'!$A:$A,0),MATCH('Analitika - 2019'!$N$6,'2019'!$6:$6,0))</f>
        <v>0</v>
      </c>
      <c r="O60" s="425">
        <f>+INDEX('2019'!$1:$1048576,MATCH('Analitika - 2019'!$A60,'2019'!$A:$A,0),MATCH('Analitika - 2019'!$O$6,'2019'!$101:$101,0))</f>
        <v>0</v>
      </c>
      <c r="P60" s="426">
        <f t="shared" ref="P60:P66" si="11">+N60-O60</f>
        <v>0</v>
      </c>
      <c r="Q60" s="427" t="str">
        <f t="shared" ref="Q60:Q66" si="12">+IF(ISNUMBER(N60/O60-1),N60/O60-1,"…")</f>
        <v>…</v>
      </c>
      <c r="R60" s="425">
        <f>+INDEX('2018'!$1:$1048576,MATCH('Analitika - 2019'!$A60,'2018'!$A:$A,0),MATCH('Analitika - 2019'!$R$6,'2018'!$6:$6,0))</f>
        <v>0</v>
      </c>
      <c r="S60" s="426">
        <f t="shared" ref="S60:S66" si="13">+N60-R60</f>
        <v>0</v>
      </c>
      <c r="T60" s="428" t="str">
        <f t="shared" ref="T60:T66" si="14">+IF(ISNUMBER(N60/R60-1),N60/R60-1,"…")</f>
        <v>…</v>
      </c>
    </row>
    <row r="61" spans="1:23" ht="15.75" thickBot="1">
      <c r="A61" s="169">
        <v>1002</v>
      </c>
      <c r="B61" s="470" t="str">
        <f>+VLOOKUP($A61,Master!$D$27:$G$225,4,FALSE)</f>
        <v>Nedostajuća sredstva</v>
      </c>
      <c r="C61" s="471"/>
      <c r="D61" s="471"/>
      <c r="E61" s="471"/>
      <c r="F61" s="471"/>
      <c r="G61" s="396">
        <f>+SUMPRODUCT(('2019'!$G$61:$R$61)*('2019'!$G$5:$R$5&lt;=Master!$B$3)*($A61='2019'!$A$10:$A$66))</f>
        <v>-130489635.84000006</v>
      </c>
      <c r="H61" s="396">
        <f>+SUMPRODUCT(('2019'!$G156:$R156)*('2019'!$G$5:$R$5&lt;=Master!$B$3))</f>
        <v>-125328650.97717591</v>
      </c>
      <c r="I61" s="398">
        <f t="shared" si="9"/>
        <v>-5160984.8628241569</v>
      </c>
      <c r="J61" s="399">
        <f>+IF(ISNUMBER(G61/H61-1),G61/H61-1,"…")</f>
        <v>4.117960915229224E-2</v>
      </c>
      <c r="K61" s="396">
        <f>+SUMPRODUCT(('2018'!$G61:$R61)*('2018'!$G$5:$R$5&lt;=Master!$B$3))</f>
        <v>-117200295.86999997</v>
      </c>
      <c r="L61" s="398">
        <f t="shared" si="10"/>
        <v>-13289339.970000088</v>
      </c>
      <c r="M61" s="401">
        <f>+IF(ISNUMBER(G61/K61-1),G61/K61-1,"…")</f>
        <v>0.11338998652990417</v>
      </c>
      <c r="N61" s="396">
        <f>+INDEX('2019'!$1:$1048576,MATCH('Analitika - 2019'!$A61,'2019'!$A:$A,0),MATCH('Analitika - 2019'!$N$6,'2019'!$6:$6,0))</f>
        <v>-78551429.220000029</v>
      </c>
      <c r="O61" s="396">
        <f>+INDEX('2019'!$1:$1048576,MATCH(CONCATENATE('Analitika - 2019'!$A61,"p"),'2019'!$A:$A,0),MATCH('Analitika - 2019'!$O$6,'2019'!$101:$101,0))</f>
        <v>-56304075.675624669</v>
      </c>
      <c r="P61" s="398">
        <f t="shared" si="11"/>
        <v>-22247353.54437536</v>
      </c>
      <c r="Q61" s="399">
        <f t="shared" si="12"/>
        <v>0.39512865236515649</v>
      </c>
      <c r="R61" s="396">
        <f>+INDEX('2018'!$1:$1048576,MATCH('Analitika - 2019'!$A61,'2018'!$A:$A,0),MATCH('Analitika - 2019'!$R$6,'2018'!$6:$6,0))</f>
        <v>-66417702.829999991</v>
      </c>
      <c r="S61" s="398">
        <f t="shared" si="13"/>
        <v>-12133726.390000038</v>
      </c>
      <c r="T61" s="401">
        <f t="shared" si="14"/>
        <v>0.18268813694230013</v>
      </c>
    </row>
    <row r="62" spans="1:23" ht="15.75" thickBot="1">
      <c r="A62" s="169">
        <v>1003</v>
      </c>
      <c r="B62" s="472" t="str">
        <f>+VLOOKUP($A62,Master!$D$27:$G$225,4,FALSE)</f>
        <v>Finansiranje</v>
      </c>
      <c r="C62" s="473"/>
      <c r="D62" s="473"/>
      <c r="E62" s="473"/>
      <c r="F62" s="473"/>
      <c r="G62" s="176">
        <f>+SUMPRODUCT(('2019'!$G$62:$R$62)*('2019'!$G$5:$R$5&lt;=Master!$B$3)*($A62='2019'!$A$10:$A$66))</f>
        <v>130489635.84000006</v>
      </c>
      <c r="H62" s="176">
        <f>+SUMPRODUCT(('2019'!$G157:$R157)*('2019'!$G$5:$R$5&lt;=Master!$B$3))</f>
        <v>125328650.97717591</v>
      </c>
      <c r="I62" s="397">
        <f t="shared" si="9"/>
        <v>5160984.8628241569</v>
      </c>
      <c r="J62" s="400" t="str">
        <f>+IF(ISNUMBER(G62/H63-1),G62/H63-1,"…")</f>
        <v>…</v>
      </c>
      <c r="K62" s="176">
        <f>+SUMPRODUCT(('2018'!$G62:$R62)*('2018'!$G$5:$R$5&lt;=Master!$B$3))</f>
        <v>117200295.86999997</v>
      </c>
      <c r="L62" s="397">
        <f t="shared" si="10"/>
        <v>13289339.970000088</v>
      </c>
      <c r="M62" s="402">
        <f>+IF(ISNUMBER(G62/K63-1),G62/K63-1,"…")</f>
        <v>0.12594550079058253</v>
      </c>
      <c r="N62" s="176">
        <f>+INDEX('2019'!$1:$1048576,MATCH('Analitika - 2019'!$A62,'2019'!$A:$A,0),MATCH('Analitika - 2019'!$N$6,'2019'!$6:$6,0))</f>
        <v>78551429.220000029</v>
      </c>
      <c r="O62" s="176">
        <f>+INDEX('2019'!$1:$1048576,MATCH(CONCATENATE('Analitika - 2019'!$A62,"p"),'2019'!$A:$A,0),MATCH('Analitika - 2019'!$O$6,'2019'!$101:$101,0))</f>
        <v>56304075.675624669</v>
      </c>
      <c r="P62" s="397">
        <f t="shared" si="11"/>
        <v>22247353.54437536</v>
      </c>
      <c r="Q62" s="400">
        <f>+IF(ISNUMBER(N62/O62-1),N62/O62-1,"…")</f>
        <v>0.39512865236515649</v>
      </c>
      <c r="R62" s="176">
        <f>+INDEX('2018'!$1:$1048576,MATCH('Analitika - 2019'!$A62,'2018'!$A:$A,0),MATCH('Analitika - 2019'!$R$6,'2018'!$6:$6,0))</f>
        <v>66417702.829999991</v>
      </c>
      <c r="S62" s="397">
        <f t="shared" si="13"/>
        <v>12133726.390000038</v>
      </c>
      <c r="T62" s="402">
        <f t="shared" si="14"/>
        <v>0.18268813694230013</v>
      </c>
    </row>
    <row r="63" spans="1:23">
      <c r="A63" s="169">
        <v>7511</v>
      </c>
      <c r="B63" s="466" t="str">
        <f>+VLOOKUP($A63,Master!$D$27:$G$225,4,FALSE)</f>
        <v>Pozajmice i krediti od domaćih izvora</v>
      </c>
      <c r="C63" s="467"/>
      <c r="D63" s="467"/>
      <c r="E63" s="467"/>
      <c r="F63" s="467"/>
      <c r="G63" s="188">
        <f>+SUMPRODUCT(('2019'!$G63:$R63)*('2019'!$G$5:$R$5&lt;=Master!$B$3)*($A63='2019'!$A$10:$A$66))</f>
        <v>72000000</v>
      </c>
      <c r="H63" s="188">
        <f>+SUMPRODUCT(('2019'!$G158:$R158)*('2019'!$G$5:$R$5&lt;=Master!$B$3))</f>
        <v>0</v>
      </c>
      <c r="I63" s="237">
        <f t="shared" si="9"/>
        <v>72000000</v>
      </c>
      <c r="J63" s="238" t="str">
        <f>+IF(ISNUMBER(G63/H63-1),G63/H63-1,"…")</f>
        <v>…</v>
      </c>
      <c r="K63" s="188">
        <f>+SUMPRODUCT(('2018'!$G63:$R63)*('2018'!$G$5:$R$5&lt;=Master!$B$3))</f>
        <v>115893385.38</v>
      </c>
      <c r="L63" s="237">
        <f t="shared" si="10"/>
        <v>-43893385.379999995</v>
      </c>
      <c r="M63" s="239">
        <f>+IF(ISNUMBER(G63/K63-1),G63/K63-1,"…")</f>
        <v>-0.37873934941221232</v>
      </c>
      <c r="N63" s="188">
        <f>+INDEX('2019'!$1:$1048576,MATCH('Analitika - 2019'!$A63,'2019'!$A:$A,0),MATCH('Analitika - 2019'!$N$6,'2019'!$6:$6,0))</f>
        <v>54000000</v>
      </c>
      <c r="O63" s="188">
        <f>+INDEX('2019'!$1:$1048576,MATCH(CONCATENATE('Analitika - 2019'!$A63,"p"),'2019'!$A:$A,0),MATCH('Analitika - 2019'!$O$6,'2019'!$101:$101,0))</f>
        <v>0</v>
      </c>
      <c r="P63" s="237">
        <f t="shared" si="11"/>
        <v>54000000</v>
      </c>
      <c r="Q63" s="238" t="str">
        <f t="shared" si="12"/>
        <v>…</v>
      </c>
      <c r="R63" s="188">
        <f>+INDEX('2018'!$1:$1048576,MATCH('Analitika - 2019'!$A63,'2018'!$A:$A,0),MATCH('Analitika - 2019'!$R$6,'2018'!$6:$6,0))</f>
        <v>91357443.420000002</v>
      </c>
      <c r="S63" s="237">
        <f t="shared" si="13"/>
        <v>-37357443.420000002</v>
      </c>
      <c r="T63" s="239">
        <f t="shared" si="14"/>
        <v>-0.40891515810327173</v>
      </c>
    </row>
    <row r="64" spans="1:23">
      <c r="A64" s="169">
        <v>7512</v>
      </c>
      <c r="B64" s="450" t="str">
        <f>+VLOOKUP($A64,Master!$D$27:$G$225,4,FALSE)</f>
        <v>Pozajmice i krediti od inostranih izvora</v>
      </c>
      <c r="C64" s="451"/>
      <c r="D64" s="451"/>
      <c r="E64" s="451"/>
      <c r="F64" s="451"/>
      <c r="G64" s="188">
        <f>+SUMPRODUCT(('2019'!$G64:$R64)*('2019'!$G$5:$R$5&lt;=Master!$B$3)*($A64='2019'!$A$10:$A$66))</f>
        <v>27237103.969999999</v>
      </c>
      <c r="H64" s="188">
        <f>+SUMPRODUCT(('2019'!$G159:$R159)*('2019'!$G$5:$R$5&lt;=Master!$B$3))</f>
        <v>24022843.850000001</v>
      </c>
      <c r="I64" s="237">
        <f t="shared" si="9"/>
        <v>3214260.1199999973</v>
      </c>
      <c r="J64" s="238">
        <f>+IF(ISNUMBER(G64/H64-1),G64/H64-1,"…")</f>
        <v>0.13380015039310167</v>
      </c>
      <c r="K64" s="188">
        <f>+SUMPRODUCT(('2018'!$G64:$R64)*('2018'!$G$5:$R$5&lt;=Master!$B$3))</f>
        <v>411401.61</v>
      </c>
      <c r="L64" s="237">
        <f t="shared" si="10"/>
        <v>26825702.359999999</v>
      </c>
      <c r="M64" s="239" t="s">
        <v>776</v>
      </c>
      <c r="N64" s="188">
        <f>+INDEX('2019'!$1:$1048576,MATCH('Analitika - 2019'!$A64,'2019'!$A:$A,0),MATCH('Analitika - 2019'!$N$6,'2019'!$6:$6,0))</f>
        <v>1491277.56</v>
      </c>
      <c r="O64" s="188">
        <f>+INDEX('2019'!$1:$1048576,MATCH(CONCATENATE('Analitika - 2019'!$A64,"p"),'2019'!$A:$A,0),MATCH('Analitika - 2019'!$O$6,'2019'!$101:$101,0))</f>
        <v>0</v>
      </c>
      <c r="P64" s="237">
        <f t="shared" si="11"/>
        <v>1491277.56</v>
      </c>
      <c r="Q64" s="238" t="str">
        <f t="shared" si="12"/>
        <v>…</v>
      </c>
      <c r="R64" s="188">
        <f>+INDEX('2018'!$1:$1048576,MATCH('Analitika - 2019'!$A64,'2018'!$A:$A,0),MATCH('Analitika - 2019'!$R$6,'2018'!$6:$6,0))</f>
        <v>191078.77</v>
      </c>
      <c r="S64" s="237">
        <f t="shared" si="13"/>
        <v>1300198.79</v>
      </c>
      <c r="T64" s="239" t="s">
        <v>776</v>
      </c>
    </row>
    <row r="65" spans="1:20">
      <c r="A65" s="169">
        <v>72</v>
      </c>
      <c r="B65" s="450" t="str">
        <f>+VLOOKUP($A65,Master!$D$27:$G$225,4,FALSE)</f>
        <v>Primici od prodaje imovine</v>
      </c>
      <c r="C65" s="451"/>
      <c r="D65" s="451"/>
      <c r="E65" s="451"/>
      <c r="F65" s="451"/>
      <c r="G65" s="188">
        <f>+SUMPRODUCT(('2019'!$G65:$R65)*('2019'!$G$5:$R$5&lt;=Master!$B$3)*($A65='2019'!$A$10:$A$66))</f>
        <v>203990.04</v>
      </c>
      <c r="H65" s="188">
        <f>+SUMPRODUCT(('2019'!$G160:$R160)*('2019'!$G$5:$R$5&lt;=Master!$B$3))</f>
        <v>1000000</v>
      </c>
      <c r="I65" s="237">
        <f t="shared" si="9"/>
        <v>-796009.96</v>
      </c>
      <c r="J65" s="238">
        <f>+IF(ISNUMBER(G65/H65-1),G65/H65-1,"…")</f>
        <v>-0.79600996000000002</v>
      </c>
      <c r="K65" s="188">
        <f>+SUMPRODUCT(('2018'!$G65:$R65)*('2018'!$G$5:$R$5&lt;=Master!$B$3))</f>
        <v>409718.41</v>
      </c>
      <c r="L65" s="237">
        <f t="shared" si="10"/>
        <v>-205728.36999999997</v>
      </c>
      <c r="M65" s="239">
        <f>+IF(ISNUMBER(G65/K65-1),G65/K65-1,"…")</f>
        <v>-0.50212137160251102</v>
      </c>
      <c r="N65" s="188">
        <f>+INDEX('2019'!$1:$1048576,MATCH('Analitika - 2019'!$A65,'2019'!$A:$A,0),MATCH('Analitika - 2019'!$N$6,'2019'!$6:$6,0))</f>
        <v>177395.91</v>
      </c>
      <c r="O65" s="188">
        <f>+INDEX('2019'!$1:$1048576,MATCH(CONCATENATE('Analitika - 2019'!$A65,"p"),'2019'!$A:$A,0),MATCH('Analitika - 2019'!$O$6,'2019'!$101:$101,0))</f>
        <v>500000</v>
      </c>
      <c r="P65" s="237">
        <f t="shared" si="11"/>
        <v>-322604.08999999997</v>
      </c>
      <c r="Q65" s="238">
        <f t="shared" si="12"/>
        <v>-0.64520818000000002</v>
      </c>
      <c r="R65" s="188">
        <f>+INDEX('2018'!$1:$1048576,MATCH('Analitika - 2019'!$A65,'2018'!$A:$A,0),MATCH('Analitika - 2019'!$R$6,'2018'!$6:$6,0))</f>
        <v>273046.61</v>
      </c>
      <c r="S65" s="237">
        <f t="shared" si="13"/>
        <v>-95650.699999999983</v>
      </c>
      <c r="T65" s="239">
        <f t="shared" si="14"/>
        <v>-0.3503090552927941</v>
      </c>
    </row>
    <row r="66" spans="1:20" ht="15.7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394">
        <f>+SUMPRODUCT(('2019'!$G66:$R66)*('2019'!$G$5:$R$5&lt;=Master!$B$3)*($A66='2019'!$A$10:$A$66))</f>
        <v>31048541.830000058</v>
      </c>
      <c r="H66" s="394">
        <f>+SUMPRODUCT(('2019'!$G161:$R161)*('2019'!$G$5:$R$5&lt;=Master!$B$3))</f>
        <v>100305807.1271759</v>
      </c>
      <c r="I66" s="251">
        <f t="shared" si="9"/>
        <v>-69257265.29717584</v>
      </c>
      <c r="J66" s="252">
        <f>+IF(ISNUMBER(G66/H66-1),G66/H66-1,"…")</f>
        <v>-0.69046117349283498</v>
      </c>
      <c r="K66" s="394">
        <f>+SUMPRODUCT(('2018'!$G66:$R66)*('2018'!$G$5:$R$5&lt;=Master!$B$3))</f>
        <v>485790.46999998391</v>
      </c>
      <c r="L66" s="251">
        <f t="shared" si="10"/>
        <v>30562751.360000074</v>
      </c>
      <c r="M66" s="252" t="s">
        <v>776</v>
      </c>
      <c r="N66" s="394">
        <f>+INDEX('2019'!$1:$1048576,MATCH('Analitika - 2019'!$A66,'2019'!$A:$A,0),MATCH('Analitika - 2019'!$N$6,'2019'!$6:$6,0))</f>
        <v>22882755.75000003</v>
      </c>
      <c r="O66" s="394">
        <f>+INDEX('2019'!$1:$1048576,MATCH(CONCATENATE('Analitika - 2019'!$A66,"p"),'2019'!$A:$A,0),MATCH('Analitika - 2019'!$O$6,'2019'!$101:$101,0))</f>
        <v>55804075.675624669</v>
      </c>
      <c r="P66" s="251">
        <f t="shared" si="11"/>
        <v>-32921319.925624639</v>
      </c>
      <c r="Q66" s="252">
        <f t="shared" si="12"/>
        <v>-0.58994472226344463</v>
      </c>
      <c r="R66" s="394">
        <f>+INDEX('2018'!$1:$1048576,MATCH('Analitika - 2019'!$A66,'2018'!$A:$A,0),MATCH('Analitika - 2019'!$R$6,'2018'!$6:$6,0))</f>
        <v>-25403865.970000006</v>
      </c>
      <c r="S66" s="251">
        <f t="shared" si="13"/>
        <v>48286621.720000036</v>
      </c>
      <c r="T66" s="253">
        <f t="shared" si="14"/>
        <v>-1.9007587969887256</v>
      </c>
    </row>
    <row r="68" spans="1:20">
      <c r="H68" s="391"/>
    </row>
    <row r="69" spans="1:20">
      <c r="H69" s="364"/>
    </row>
    <row r="71" spans="1:20">
      <c r="R71" s="443"/>
    </row>
  </sheetData>
  <mergeCells count="63"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S17" sqref="S17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781</v>
      </c>
      <c r="H6" s="259" t="s">
        <v>782</v>
      </c>
      <c r="I6" s="259" t="s">
        <v>783</v>
      </c>
      <c r="J6" s="259" t="s">
        <v>784</v>
      </c>
      <c r="K6" s="259" t="s">
        <v>785</v>
      </c>
      <c r="L6" s="259" t="s">
        <v>786</v>
      </c>
      <c r="M6" s="259" t="s">
        <v>787</v>
      </c>
      <c r="N6" s="259" t="s">
        <v>788</v>
      </c>
      <c r="O6" s="259" t="s">
        <v>789</v>
      </c>
      <c r="P6" s="259" t="s">
        <v>790</v>
      </c>
      <c r="Q6" s="259" t="s">
        <v>791</v>
      </c>
      <c r="R6" s="259" t="s">
        <v>792</v>
      </c>
      <c r="S6" s="258"/>
      <c r="T6" s="258"/>
    </row>
    <row r="7" spans="1:20" ht="15" customHeight="1" thickBot="1">
      <c r="A7" s="169"/>
      <c r="B7" s="553" t="str">
        <f>+Master!G251</f>
        <v>Ostvarenje budžeta</v>
      </c>
      <c r="C7" s="453"/>
      <c r="D7" s="453"/>
      <c r="E7" s="453"/>
      <c r="F7" s="453"/>
      <c r="G7" s="461">
        <v>2019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+Master!G248</f>
        <v>BDP</v>
      </c>
      <c r="T7" s="261">
        <v>4788600000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1" t="str">
        <f>+Master!G245</f>
        <v>Jan - Feb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 t="shared" ref="G10:R10" si="1">+G11+G19+SUM(G24:G28)</f>
        <v>107148612.21000001</v>
      </c>
      <c r="H10" s="176">
        <f t="shared" si="1"/>
        <v>116405215.94999999</v>
      </c>
      <c r="I10" s="176">
        <f t="shared" si="1"/>
        <v>0</v>
      </c>
      <c r="J10" s="176">
        <f t="shared" si="1"/>
        <v>0</v>
      </c>
      <c r="K10" s="176">
        <f t="shared" si="1"/>
        <v>0</v>
      </c>
      <c r="L10" s="176">
        <f t="shared" si="1"/>
        <v>0</v>
      </c>
      <c r="M10" s="176">
        <f t="shared" si="1"/>
        <v>0</v>
      </c>
      <c r="N10" s="176">
        <f t="shared" si="1"/>
        <v>0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223553828.16</v>
      </c>
      <c r="T10" s="265">
        <f>+S10/$T$7</f>
        <v>4.6684590101491043E-2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f t="shared" ref="G11:R11" si="2">+SUM(G12:G18)</f>
        <v>72429730.420000002</v>
      </c>
      <c r="H11" s="182">
        <f t="shared" si="2"/>
        <v>68470908.439999998</v>
      </c>
      <c r="I11" s="182">
        <f t="shared" si="2"/>
        <v>0</v>
      </c>
      <c r="J11" s="182">
        <f t="shared" si="2"/>
        <v>0</v>
      </c>
      <c r="K11" s="182">
        <f t="shared" si="2"/>
        <v>0</v>
      </c>
      <c r="L11" s="182">
        <f t="shared" si="2"/>
        <v>0</v>
      </c>
      <c r="M11" s="182">
        <f t="shared" si="2"/>
        <v>0</v>
      </c>
      <c r="N11" s="182">
        <f t="shared" si="2"/>
        <v>0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140900638.86000001</v>
      </c>
      <c r="T11" s="268">
        <f t="shared" ref="T11:T66" si="4">+S11/$T$7</f>
        <v>2.9424182195213637E-2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f>+INDEX(DataEx!$1:$1048576,MATCH('2019'!$A12,DataEx!$D:$D,0),MATCH('2019'!G$6,DataEx!$7:$7,0))</f>
        <v>4240913.8099999996</v>
      </c>
      <c r="H12" s="188">
        <f>+INDEX(DataEx!$1:$1048576,MATCH('2019'!$A12,DataEx!$D:$D,0),MATCH('2019'!H$6,DataEx!$7:$7,0))</f>
        <v>9361661.1500000004</v>
      </c>
      <c r="I12" s="188">
        <f>+INDEX(DataEx!$1:$1048576,MATCH('2019'!$A12,DataEx!$D:$D,0),MATCH('2019'!I$6,DataEx!$7:$7,0))</f>
        <v>0</v>
      </c>
      <c r="J12" s="188">
        <f>+INDEX(DataEx!$1:$1048576,MATCH('2019'!$A12,DataEx!$D:$D,0),MATCH('2019'!J$6,DataEx!$7:$7,0))</f>
        <v>0</v>
      </c>
      <c r="K12" s="188">
        <f>+INDEX(DataEx!$1:$1048576,MATCH('2019'!$A12,DataEx!$D:$D,0),MATCH('2019'!K$6,DataEx!$7:$7,0))</f>
        <v>0</v>
      </c>
      <c r="L12" s="188">
        <f>+INDEX(DataEx!$1:$1048576,MATCH('2019'!$A12,DataEx!$D:$D,0),MATCH('2019'!L$6,DataEx!$7:$7,0))</f>
        <v>0</v>
      </c>
      <c r="M12" s="188">
        <f>+INDEX(DataEx!$1:$1048576,MATCH('2019'!$A12,DataEx!$D:$D,0),MATCH('2019'!M$6,DataEx!$7:$7,0))</f>
        <v>0</v>
      </c>
      <c r="N12" s="188">
        <f>+INDEX(DataEx!$1:$1048576,MATCH('2019'!$A12,DataEx!$D:$D,0),MATCH('2019'!N$6,DataEx!$7:$7,0))</f>
        <v>0</v>
      </c>
      <c r="O12" s="188">
        <f>+INDEX(DataEx!$1:$1048576,MATCH('2019'!$A12,DataEx!$D:$D,0),MATCH('2019'!O$6,DataEx!$7:$7,0))</f>
        <v>0</v>
      </c>
      <c r="P12" s="188">
        <f>+INDEX(DataEx!$1:$1048576,MATCH('2019'!$A12,DataEx!$D:$D,0),MATCH('2019'!P$6,DataEx!$7:$7,0))</f>
        <v>0</v>
      </c>
      <c r="Q12" s="188">
        <f>+INDEX(DataEx!$1:$1048576,MATCH('2019'!$A12,DataEx!$D:$D,0),MATCH('2019'!Q$6,DataEx!$7:$7,0))</f>
        <v>0</v>
      </c>
      <c r="R12" s="188">
        <f>+INDEX(DataEx!$1:$1048576,MATCH('2019'!$A12,DataEx!$D:$D,0),MATCH('2019'!R$6,DataEx!$7:$7,0))</f>
        <v>0</v>
      </c>
      <c r="S12" s="269">
        <f t="shared" si="3"/>
        <v>13602574.960000001</v>
      </c>
      <c r="T12" s="270">
        <f t="shared" si="4"/>
        <v>2.8406162469197679E-3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f>+INDEX(DataEx!$1:$1048576,MATCH('2019'!$A13,DataEx!$D:$D,0),MATCH('2019'!G$6,DataEx!$7:$7,0))</f>
        <v>936843.13</v>
      </c>
      <c r="H13" s="188">
        <f>+INDEX(DataEx!$1:$1048576,MATCH('2019'!$A13,DataEx!$D:$D,0),MATCH('2019'!H$6,DataEx!$7:$7,0))</f>
        <v>1962550.32</v>
      </c>
      <c r="I13" s="188">
        <f>+INDEX(DataEx!$1:$1048576,MATCH('2019'!$A13,DataEx!$D:$D,0),MATCH('2019'!I$6,DataEx!$7:$7,0))</f>
        <v>0</v>
      </c>
      <c r="J13" s="188">
        <f>+INDEX(DataEx!$1:$1048576,MATCH('2019'!$A13,DataEx!$D:$D,0),MATCH('2019'!J$6,DataEx!$7:$7,0))</f>
        <v>0</v>
      </c>
      <c r="K13" s="188">
        <f>+INDEX(DataEx!$1:$1048576,MATCH('2019'!$A13,DataEx!$D:$D,0),MATCH('2019'!K$6,DataEx!$7:$7,0))</f>
        <v>0</v>
      </c>
      <c r="L13" s="188">
        <f>+INDEX(DataEx!$1:$1048576,MATCH('2019'!$A13,DataEx!$D:$D,0),MATCH('2019'!L$6,DataEx!$7:$7,0))</f>
        <v>0</v>
      </c>
      <c r="M13" s="188">
        <f>+INDEX(DataEx!$1:$1048576,MATCH('2019'!$A13,DataEx!$D:$D,0),MATCH('2019'!M$6,DataEx!$7:$7,0))</f>
        <v>0</v>
      </c>
      <c r="N13" s="188">
        <f>+INDEX(DataEx!$1:$1048576,MATCH('2019'!$A13,DataEx!$D:$D,0),MATCH('2019'!N$6,DataEx!$7:$7,0))</f>
        <v>0</v>
      </c>
      <c r="O13" s="188">
        <f>+INDEX(DataEx!$1:$1048576,MATCH('2019'!$A13,DataEx!$D:$D,0),MATCH('2019'!O$6,DataEx!$7:$7,0))</f>
        <v>0</v>
      </c>
      <c r="P13" s="188">
        <f>+INDEX(DataEx!$1:$1048576,MATCH('2019'!$A13,DataEx!$D:$D,0),MATCH('2019'!P$6,DataEx!$7:$7,0))</f>
        <v>0</v>
      </c>
      <c r="Q13" s="188">
        <f>+INDEX(DataEx!$1:$1048576,MATCH('2019'!$A13,DataEx!$D:$D,0),MATCH('2019'!Q$6,DataEx!$7:$7,0))</f>
        <v>0</v>
      </c>
      <c r="R13" s="188">
        <f>+INDEX(DataEx!$1:$1048576,MATCH('2019'!$A13,DataEx!$D:$D,0),MATCH('2019'!R$6,DataEx!$7:$7,0))</f>
        <v>0</v>
      </c>
      <c r="S13" s="269">
        <f t="shared" si="3"/>
        <v>2899393.45</v>
      </c>
      <c r="T13" s="270">
        <f t="shared" si="4"/>
        <v>6.0547831307689102E-4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f>+INDEX(DataEx!$1:$1048576,MATCH('2019'!$A14,DataEx!$D:$D,0),MATCH('2019'!G$6,DataEx!$7:$7,0))</f>
        <v>118243.45</v>
      </c>
      <c r="H14" s="188">
        <f>+INDEX(DataEx!$1:$1048576,MATCH('2019'!$A14,DataEx!$D:$D,0),MATCH('2019'!H$6,DataEx!$7:$7,0))</f>
        <v>169568.16</v>
      </c>
      <c r="I14" s="188">
        <f>+INDEX(DataEx!$1:$1048576,MATCH('2019'!$A14,DataEx!$D:$D,0),MATCH('2019'!I$6,DataEx!$7:$7,0))</f>
        <v>0</v>
      </c>
      <c r="J14" s="188">
        <f>+INDEX(DataEx!$1:$1048576,MATCH('2019'!$A14,DataEx!$D:$D,0),MATCH('2019'!J$6,DataEx!$7:$7,0))</f>
        <v>0</v>
      </c>
      <c r="K14" s="188">
        <f>+INDEX(DataEx!$1:$1048576,MATCH('2019'!$A14,DataEx!$D:$D,0),MATCH('2019'!K$6,DataEx!$7:$7,0))</f>
        <v>0</v>
      </c>
      <c r="L14" s="188">
        <f>+INDEX(DataEx!$1:$1048576,MATCH('2019'!$A14,DataEx!$D:$D,0),MATCH('2019'!L$6,DataEx!$7:$7,0))</f>
        <v>0</v>
      </c>
      <c r="M14" s="188">
        <f>+INDEX(DataEx!$1:$1048576,MATCH('2019'!$A14,DataEx!$D:$D,0),MATCH('2019'!M$6,DataEx!$7:$7,0))</f>
        <v>0</v>
      </c>
      <c r="N14" s="188">
        <f>+INDEX(DataEx!$1:$1048576,MATCH('2019'!$A14,DataEx!$D:$D,0),MATCH('2019'!N$6,DataEx!$7:$7,0))</f>
        <v>0</v>
      </c>
      <c r="O14" s="188">
        <f>+INDEX(DataEx!$1:$1048576,MATCH('2019'!$A14,DataEx!$D:$D,0),MATCH('2019'!O$6,DataEx!$7:$7,0))</f>
        <v>0</v>
      </c>
      <c r="P14" s="188">
        <f>+INDEX(DataEx!$1:$1048576,MATCH('2019'!$A14,DataEx!$D:$D,0),MATCH('2019'!P$6,DataEx!$7:$7,0))</f>
        <v>0</v>
      </c>
      <c r="Q14" s="188">
        <f>+INDEX(DataEx!$1:$1048576,MATCH('2019'!$A14,DataEx!$D:$D,0),MATCH('2019'!Q$6,DataEx!$7:$7,0))</f>
        <v>0</v>
      </c>
      <c r="R14" s="188">
        <f>+INDEX(DataEx!$1:$1048576,MATCH('2019'!$A14,DataEx!$D:$D,0),MATCH('2019'!R$6,DataEx!$7:$7,0))</f>
        <v>0</v>
      </c>
      <c r="S14" s="269">
        <f t="shared" si="3"/>
        <v>287811.61</v>
      </c>
      <c r="T14" s="270">
        <f t="shared" si="4"/>
        <v>6.0103497890824039E-5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f>+INDEX(DataEx!$1:$1048576,MATCH('2019'!$A15,DataEx!$D:$D,0),MATCH('2019'!G$6,DataEx!$7:$7,0))</f>
        <v>49847223.18</v>
      </c>
      <c r="H15" s="188">
        <f>+INDEX(DataEx!$1:$1048576,MATCH('2019'!$A15,DataEx!$D:$D,0),MATCH('2019'!H$6,DataEx!$7:$7,0))</f>
        <v>38958365.399999999</v>
      </c>
      <c r="I15" s="188">
        <f>+INDEX(DataEx!$1:$1048576,MATCH('2019'!$A15,DataEx!$D:$D,0),MATCH('2019'!I$6,DataEx!$7:$7,0))</f>
        <v>0</v>
      </c>
      <c r="J15" s="188">
        <f>+INDEX(DataEx!$1:$1048576,MATCH('2019'!$A15,DataEx!$D:$D,0),MATCH('2019'!J$6,DataEx!$7:$7,0))</f>
        <v>0</v>
      </c>
      <c r="K15" s="188">
        <f>+INDEX(DataEx!$1:$1048576,MATCH('2019'!$A15,DataEx!$D:$D,0),MATCH('2019'!K$6,DataEx!$7:$7,0))</f>
        <v>0</v>
      </c>
      <c r="L15" s="188">
        <f>+INDEX(DataEx!$1:$1048576,MATCH('2019'!$A15,DataEx!$D:$D,0),MATCH('2019'!L$6,DataEx!$7:$7,0))</f>
        <v>0</v>
      </c>
      <c r="M15" s="188">
        <f>+INDEX(DataEx!$1:$1048576,MATCH('2019'!$A15,DataEx!$D:$D,0),MATCH('2019'!M$6,DataEx!$7:$7,0))</f>
        <v>0</v>
      </c>
      <c r="N15" s="188">
        <f>+INDEX(DataEx!$1:$1048576,MATCH('2019'!$A15,DataEx!$D:$D,0),MATCH('2019'!N$6,DataEx!$7:$7,0))</f>
        <v>0</v>
      </c>
      <c r="O15" s="188">
        <f>+INDEX(DataEx!$1:$1048576,MATCH('2019'!$A15,DataEx!$D:$D,0),MATCH('2019'!O$6,DataEx!$7:$7,0))</f>
        <v>0</v>
      </c>
      <c r="P15" s="188">
        <f>+INDEX(DataEx!$1:$1048576,MATCH('2019'!$A15,DataEx!$D:$D,0),MATCH('2019'!P$6,DataEx!$7:$7,0))</f>
        <v>0</v>
      </c>
      <c r="Q15" s="188">
        <f>+INDEX(DataEx!$1:$1048576,MATCH('2019'!$A15,DataEx!$D:$D,0),MATCH('2019'!Q$6,DataEx!$7:$7,0))</f>
        <v>0</v>
      </c>
      <c r="R15" s="188">
        <f>+INDEX(DataEx!$1:$1048576,MATCH('2019'!$A15,DataEx!$D:$D,0),MATCH('2019'!R$6,DataEx!$7:$7,0))</f>
        <v>0</v>
      </c>
      <c r="S15" s="269">
        <f t="shared" si="3"/>
        <v>88805588.579999998</v>
      </c>
      <c r="T15" s="270">
        <f t="shared" si="4"/>
        <v>1.8545209159253225E-2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f>+INDEX(DataEx!$1:$1048576,MATCH('2019'!$A16,DataEx!$D:$D,0),MATCH('2019'!G$6,DataEx!$7:$7,0))</f>
        <v>15141217.210000001</v>
      </c>
      <c r="H16" s="188">
        <f>+INDEX(DataEx!$1:$1048576,MATCH('2019'!$A16,DataEx!$D:$D,0),MATCH('2019'!H$6,DataEx!$7:$7,0))</f>
        <v>13186126.23</v>
      </c>
      <c r="I16" s="188">
        <f>+INDEX(DataEx!$1:$1048576,MATCH('2019'!$A16,DataEx!$D:$D,0),MATCH('2019'!I$6,DataEx!$7:$7,0))</f>
        <v>0</v>
      </c>
      <c r="J16" s="188">
        <f>+INDEX(DataEx!$1:$1048576,MATCH('2019'!$A16,DataEx!$D:$D,0),MATCH('2019'!J$6,DataEx!$7:$7,0))</f>
        <v>0</v>
      </c>
      <c r="K16" s="188">
        <f>+INDEX(DataEx!$1:$1048576,MATCH('2019'!$A16,DataEx!$D:$D,0),MATCH('2019'!K$6,DataEx!$7:$7,0))</f>
        <v>0</v>
      </c>
      <c r="L16" s="188">
        <f>+INDEX(DataEx!$1:$1048576,MATCH('2019'!$A16,DataEx!$D:$D,0),MATCH('2019'!L$6,DataEx!$7:$7,0))</f>
        <v>0</v>
      </c>
      <c r="M16" s="188">
        <f>+INDEX(DataEx!$1:$1048576,MATCH('2019'!$A16,DataEx!$D:$D,0),MATCH('2019'!M$6,DataEx!$7:$7,0))</f>
        <v>0</v>
      </c>
      <c r="N16" s="188">
        <f>+INDEX(DataEx!$1:$1048576,MATCH('2019'!$A16,DataEx!$D:$D,0),MATCH('2019'!N$6,DataEx!$7:$7,0))</f>
        <v>0</v>
      </c>
      <c r="O16" s="188">
        <f>+INDEX(DataEx!$1:$1048576,MATCH('2019'!$A16,DataEx!$D:$D,0),MATCH('2019'!O$6,DataEx!$7:$7,0))</f>
        <v>0</v>
      </c>
      <c r="P16" s="188">
        <f>+INDEX(DataEx!$1:$1048576,MATCH('2019'!$A16,DataEx!$D:$D,0),MATCH('2019'!P$6,DataEx!$7:$7,0))</f>
        <v>0</v>
      </c>
      <c r="Q16" s="188">
        <f>+INDEX(DataEx!$1:$1048576,MATCH('2019'!$A16,DataEx!$D:$D,0),MATCH('2019'!Q$6,DataEx!$7:$7,0))</f>
        <v>0</v>
      </c>
      <c r="R16" s="188">
        <f>+INDEX(DataEx!$1:$1048576,MATCH('2019'!$A16,DataEx!$D:$D,0),MATCH('2019'!R$6,DataEx!$7:$7,0))</f>
        <v>0</v>
      </c>
      <c r="S16" s="269">
        <f t="shared" si="3"/>
        <v>28327343.440000001</v>
      </c>
      <c r="T16" s="270">
        <f t="shared" si="4"/>
        <v>5.9155793843712152E-3</v>
      </c>
    </row>
    <row r="17" spans="1:25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f>+INDEX(DataEx!$1:$1048576,MATCH('2019'!$A17,DataEx!$D:$D,0),MATCH('2019'!G$6,DataEx!$7:$7,0))</f>
        <v>1424968.68</v>
      </c>
      <c r="H17" s="188">
        <f>+INDEX(DataEx!$1:$1048576,MATCH('2019'!$A17,DataEx!$D:$D,0),MATCH('2019'!H$6,DataEx!$7:$7,0))</f>
        <v>1733788.33</v>
      </c>
      <c r="I17" s="188">
        <f>+INDEX(DataEx!$1:$1048576,MATCH('2019'!$A17,DataEx!$D:$D,0),MATCH('2019'!I$6,DataEx!$7:$7,0))</f>
        <v>0</v>
      </c>
      <c r="J17" s="188">
        <f>+INDEX(DataEx!$1:$1048576,MATCH('2019'!$A17,DataEx!$D:$D,0),MATCH('2019'!J$6,DataEx!$7:$7,0))</f>
        <v>0</v>
      </c>
      <c r="K17" s="188">
        <f>+INDEX(DataEx!$1:$1048576,MATCH('2019'!$A17,DataEx!$D:$D,0),MATCH('2019'!K$6,DataEx!$7:$7,0))</f>
        <v>0</v>
      </c>
      <c r="L17" s="188">
        <f>+INDEX(DataEx!$1:$1048576,MATCH('2019'!$A17,DataEx!$D:$D,0),MATCH('2019'!L$6,DataEx!$7:$7,0))</f>
        <v>0</v>
      </c>
      <c r="M17" s="188">
        <f>+INDEX(DataEx!$1:$1048576,MATCH('2019'!$A17,DataEx!$D:$D,0),MATCH('2019'!M$6,DataEx!$7:$7,0))</f>
        <v>0</v>
      </c>
      <c r="N17" s="188">
        <f>+INDEX(DataEx!$1:$1048576,MATCH('2019'!$A17,DataEx!$D:$D,0),MATCH('2019'!N$6,DataEx!$7:$7,0))</f>
        <v>0</v>
      </c>
      <c r="O17" s="188">
        <f>+INDEX(DataEx!$1:$1048576,MATCH('2019'!$A17,DataEx!$D:$D,0),MATCH('2019'!O$6,DataEx!$7:$7,0))</f>
        <v>0</v>
      </c>
      <c r="P17" s="188">
        <f>+INDEX(DataEx!$1:$1048576,MATCH('2019'!$A17,DataEx!$D:$D,0),MATCH('2019'!P$6,DataEx!$7:$7,0))</f>
        <v>0</v>
      </c>
      <c r="Q17" s="188">
        <f>+INDEX(DataEx!$1:$1048576,MATCH('2019'!$A17,DataEx!$D:$D,0),MATCH('2019'!Q$6,DataEx!$7:$7,0))</f>
        <v>0</v>
      </c>
      <c r="R17" s="188">
        <f>+INDEX(DataEx!$1:$1048576,MATCH('2019'!$A17,DataEx!$D:$D,0),MATCH('2019'!R$6,DataEx!$7:$7,0))</f>
        <v>0</v>
      </c>
      <c r="S17" s="269">
        <f t="shared" si="3"/>
        <v>3158757.01</v>
      </c>
      <c r="T17" s="270">
        <f t="shared" si="4"/>
        <v>6.596410245165601E-4</v>
      </c>
    </row>
    <row r="18" spans="1:25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f>+INDEX(DataEx!$1:$1048576,MATCH('2019'!$A18,DataEx!$D:$D,0),MATCH('2019'!G$6,DataEx!$7:$7,0))</f>
        <v>720320.96</v>
      </c>
      <c r="H18" s="188">
        <f>+INDEX(DataEx!$1:$1048576,MATCH('2019'!$A18,DataEx!$D:$D,0),MATCH('2019'!H$6,DataEx!$7:$7,0))</f>
        <v>3098848.85</v>
      </c>
      <c r="I18" s="188">
        <f>+INDEX(DataEx!$1:$1048576,MATCH('2019'!$A18,DataEx!$D:$D,0),MATCH('2019'!I$6,DataEx!$7:$7,0))</f>
        <v>0</v>
      </c>
      <c r="J18" s="188">
        <f>+INDEX(DataEx!$1:$1048576,MATCH('2019'!$A18,DataEx!$D:$D,0),MATCH('2019'!J$6,DataEx!$7:$7,0))</f>
        <v>0</v>
      </c>
      <c r="K18" s="188">
        <f>+INDEX(DataEx!$1:$1048576,MATCH('2019'!$A18,DataEx!$D:$D,0),MATCH('2019'!K$6,DataEx!$7:$7,0))</f>
        <v>0</v>
      </c>
      <c r="L18" s="188">
        <f>+INDEX(DataEx!$1:$1048576,MATCH('2019'!$A18,DataEx!$D:$D,0),MATCH('2019'!L$6,DataEx!$7:$7,0))</f>
        <v>0</v>
      </c>
      <c r="M18" s="188">
        <f>+INDEX(DataEx!$1:$1048576,MATCH('2019'!$A18,DataEx!$D:$D,0),MATCH('2019'!M$6,DataEx!$7:$7,0))</f>
        <v>0</v>
      </c>
      <c r="N18" s="188">
        <f>+INDEX(DataEx!$1:$1048576,MATCH('2019'!$A18,DataEx!$D:$D,0),MATCH('2019'!N$6,DataEx!$7:$7,0))</f>
        <v>0</v>
      </c>
      <c r="O18" s="188">
        <f>+INDEX(DataEx!$1:$1048576,MATCH('2019'!$A18,DataEx!$D:$D,0),MATCH('2019'!O$6,DataEx!$7:$7,0))</f>
        <v>0</v>
      </c>
      <c r="P18" s="188">
        <f>+INDEX(DataEx!$1:$1048576,MATCH('2019'!$A18,DataEx!$D:$D,0),MATCH('2019'!P$6,DataEx!$7:$7,0))</f>
        <v>0</v>
      </c>
      <c r="Q18" s="188">
        <f>+INDEX(DataEx!$1:$1048576,MATCH('2019'!$A18,DataEx!$D:$D,0),MATCH('2019'!Q$6,DataEx!$7:$7,0))</f>
        <v>0</v>
      </c>
      <c r="R18" s="188">
        <f>+INDEX(DataEx!$1:$1048576,MATCH('2019'!$A18,DataEx!$D:$D,0),MATCH('2019'!R$6,DataEx!$7:$7,0))</f>
        <v>0</v>
      </c>
      <c r="S18" s="269">
        <f t="shared" si="3"/>
        <v>3819169.81</v>
      </c>
      <c r="T18" s="270">
        <f t="shared" si="4"/>
        <v>7.9755456918514803E-4</v>
      </c>
    </row>
    <row r="19" spans="1:25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+INDEX(DataEx!$1:$1048576,MATCH('2019'!$A19,DataEx!$D:$D,0),MATCH('2019'!G$6,DataEx!$7:$7,0))</f>
        <v>16498881.48</v>
      </c>
      <c r="H19" s="194">
        <f>+INDEX(DataEx!$1:$1048576,MATCH('2019'!$A19,DataEx!$D:$D,0),MATCH('2019'!H$6,DataEx!$7:$7,0))</f>
        <v>41912269.380000003</v>
      </c>
      <c r="I19" s="194">
        <f>+INDEX(DataEx!$1:$1048576,MATCH('2019'!$A19,DataEx!$D:$D,0),MATCH('2019'!I$6,DataEx!$7:$7,0))</f>
        <v>0</v>
      </c>
      <c r="J19" s="194">
        <f>+INDEX(DataEx!$1:$1048576,MATCH('2019'!$A19,DataEx!$D:$D,0),MATCH('2019'!J$6,DataEx!$7:$7,0))</f>
        <v>0</v>
      </c>
      <c r="K19" s="194">
        <f>+INDEX(DataEx!$1:$1048576,MATCH('2019'!$A19,DataEx!$D:$D,0),MATCH('2019'!K$6,DataEx!$7:$7,0))</f>
        <v>0</v>
      </c>
      <c r="L19" s="194">
        <f>+INDEX(DataEx!$1:$1048576,MATCH('2019'!$A19,DataEx!$D:$D,0),MATCH('2019'!L$6,DataEx!$7:$7,0))</f>
        <v>0</v>
      </c>
      <c r="M19" s="194">
        <f>+INDEX(DataEx!$1:$1048576,MATCH('2019'!$A19,DataEx!$D:$D,0),MATCH('2019'!M$6,DataEx!$7:$7,0))</f>
        <v>0</v>
      </c>
      <c r="N19" s="194">
        <f>+INDEX(DataEx!$1:$1048576,MATCH('2019'!$A19,DataEx!$D:$D,0),MATCH('2019'!N$6,DataEx!$7:$7,0))</f>
        <v>0</v>
      </c>
      <c r="O19" s="194">
        <f>+INDEX(DataEx!$1:$1048576,MATCH('2019'!$A19,DataEx!$D:$D,0),MATCH('2019'!O$6,DataEx!$7:$7,0))</f>
        <v>0</v>
      </c>
      <c r="P19" s="194">
        <f>+INDEX(DataEx!$1:$1048576,MATCH('2019'!$A19,DataEx!$D:$D,0),MATCH('2019'!P$6,DataEx!$7:$7,0))</f>
        <v>0</v>
      </c>
      <c r="Q19" s="194">
        <f>+INDEX(DataEx!$1:$1048576,MATCH('2019'!$A19,DataEx!$D:$D,0),MATCH('2019'!Q$6,DataEx!$7:$7,0))</f>
        <v>0</v>
      </c>
      <c r="R19" s="194">
        <f>+INDEX(DataEx!$1:$1048576,MATCH('2019'!$A19,DataEx!$D:$D,0),MATCH('2019'!R$6,DataEx!$7:$7,0))</f>
        <v>0</v>
      </c>
      <c r="S19" s="272">
        <f t="shared" si="3"/>
        <v>58411150.859999999</v>
      </c>
      <c r="T19" s="273">
        <f t="shared" si="4"/>
        <v>1.2197959917303595E-2</v>
      </c>
    </row>
    <row r="20" spans="1:25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f>+INDEX(DataEx!$1:$1048576,MATCH('2019'!$A20,DataEx!$D:$D,0),MATCH('2019'!G$6,DataEx!$7:$7,0))</f>
        <v>9695765.5800000001</v>
      </c>
      <c r="H20" s="188">
        <f>+INDEX(DataEx!$1:$1048576,MATCH('2019'!$A20,DataEx!$D:$D,0),MATCH('2019'!H$6,DataEx!$7:$7,0))</f>
        <v>24593790.260000002</v>
      </c>
      <c r="I20" s="188">
        <f>+INDEX(DataEx!$1:$1048576,MATCH('2019'!$A20,DataEx!$D:$D,0),MATCH('2019'!I$6,DataEx!$7:$7,0))</f>
        <v>0</v>
      </c>
      <c r="J20" s="188">
        <f>+INDEX(DataEx!$1:$1048576,MATCH('2019'!$A20,DataEx!$D:$D,0),MATCH('2019'!J$6,DataEx!$7:$7,0))</f>
        <v>0</v>
      </c>
      <c r="K20" s="188">
        <f>+INDEX(DataEx!$1:$1048576,MATCH('2019'!$A20,DataEx!$D:$D,0),MATCH('2019'!K$6,DataEx!$7:$7,0))</f>
        <v>0</v>
      </c>
      <c r="L20" s="188">
        <f>+INDEX(DataEx!$1:$1048576,MATCH('2019'!$A20,DataEx!$D:$D,0),MATCH('2019'!L$6,DataEx!$7:$7,0))</f>
        <v>0</v>
      </c>
      <c r="M20" s="188">
        <f>+INDEX(DataEx!$1:$1048576,MATCH('2019'!$A20,DataEx!$D:$D,0),MATCH('2019'!M$6,DataEx!$7:$7,0))</f>
        <v>0</v>
      </c>
      <c r="N20" s="188">
        <f>+INDEX(DataEx!$1:$1048576,MATCH('2019'!$A20,DataEx!$D:$D,0),MATCH('2019'!N$6,DataEx!$7:$7,0))</f>
        <v>0</v>
      </c>
      <c r="O20" s="188">
        <f>+INDEX(DataEx!$1:$1048576,MATCH('2019'!$A20,DataEx!$D:$D,0),MATCH('2019'!O$6,DataEx!$7:$7,0))</f>
        <v>0</v>
      </c>
      <c r="P20" s="188">
        <f>+INDEX(DataEx!$1:$1048576,MATCH('2019'!$A20,DataEx!$D:$D,0),MATCH('2019'!P$6,DataEx!$7:$7,0))</f>
        <v>0</v>
      </c>
      <c r="Q20" s="188">
        <f>+INDEX(DataEx!$1:$1048576,MATCH('2019'!$A20,DataEx!$D:$D,0),MATCH('2019'!Q$6,DataEx!$7:$7,0))</f>
        <v>0</v>
      </c>
      <c r="R20" s="188">
        <f>+INDEX(DataEx!$1:$1048576,MATCH('2019'!$A20,DataEx!$D:$D,0),MATCH('2019'!R$6,DataEx!$7:$7,0))</f>
        <v>0</v>
      </c>
      <c r="S20" s="269">
        <f t="shared" si="3"/>
        <v>34289555.840000004</v>
      </c>
      <c r="T20" s="270">
        <f t="shared" si="4"/>
        <v>7.1606640437706223E-3</v>
      </c>
    </row>
    <row r="21" spans="1:25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f>+INDEX(DataEx!$1:$1048576,MATCH('2019'!$A21,DataEx!$D:$D,0),MATCH('2019'!G$6,DataEx!$7:$7,0))</f>
        <v>5963049.2000000002</v>
      </c>
      <c r="H21" s="188">
        <f>+INDEX(DataEx!$1:$1048576,MATCH('2019'!$A21,DataEx!$D:$D,0),MATCH('2019'!H$6,DataEx!$7:$7,0))</f>
        <v>15122476.890000001</v>
      </c>
      <c r="I21" s="188">
        <f>+INDEX(DataEx!$1:$1048576,MATCH('2019'!$A21,DataEx!$D:$D,0),MATCH('2019'!I$6,DataEx!$7:$7,0))</f>
        <v>0</v>
      </c>
      <c r="J21" s="188">
        <f>+INDEX(DataEx!$1:$1048576,MATCH('2019'!$A21,DataEx!$D:$D,0),MATCH('2019'!J$6,DataEx!$7:$7,0))</f>
        <v>0</v>
      </c>
      <c r="K21" s="188">
        <f>+INDEX(DataEx!$1:$1048576,MATCH('2019'!$A21,DataEx!$D:$D,0),MATCH('2019'!K$6,DataEx!$7:$7,0))</f>
        <v>0</v>
      </c>
      <c r="L21" s="188">
        <f>+INDEX(DataEx!$1:$1048576,MATCH('2019'!$A21,DataEx!$D:$D,0),MATCH('2019'!L$6,DataEx!$7:$7,0))</f>
        <v>0</v>
      </c>
      <c r="M21" s="188">
        <f>+INDEX(DataEx!$1:$1048576,MATCH('2019'!$A21,DataEx!$D:$D,0),MATCH('2019'!M$6,DataEx!$7:$7,0))</f>
        <v>0</v>
      </c>
      <c r="N21" s="188">
        <f>+INDEX(DataEx!$1:$1048576,MATCH('2019'!$A21,DataEx!$D:$D,0),MATCH('2019'!N$6,DataEx!$7:$7,0))</f>
        <v>0</v>
      </c>
      <c r="O21" s="188">
        <f>+INDEX(DataEx!$1:$1048576,MATCH('2019'!$A21,DataEx!$D:$D,0),MATCH('2019'!O$6,DataEx!$7:$7,0))</f>
        <v>0</v>
      </c>
      <c r="P21" s="188">
        <f>+INDEX(DataEx!$1:$1048576,MATCH('2019'!$A21,DataEx!$D:$D,0),MATCH('2019'!P$6,DataEx!$7:$7,0))</f>
        <v>0</v>
      </c>
      <c r="Q21" s="188">
        <f>+INDEX(DataEx!$1:$1048576,MATCH('2019'!$A21,DataEx!$D:$D,0),MATCH('2019'!Q$6,DataEx!$7:$7,0))</f>
        <v>0</v>
      </c>
      <c r="R21" s="188">
        <f>+INDEX(DataEx!$1:$1048576,MATCH('2019'!$A21,DataEx!$D:$D,0),MATCH('2019'!R$6,DataEx!$7:$7,0))</f>
        <v>0</v>
      </c>
      <c r="S21" s="269">
        <f t="shared" si="3"/>
        <v>21085526.09</v>
      </c>
      <c r="T21" s="270">
        <f t="shared" si="4"/>
        <v>4.4032757152403625E-3</v>
      </c>
    </row>
    <row r="22" spans="1:25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f>+INDEX(DataEx!$1:$1048576,MATCH('2019'!$A22,DataEx!$D:$D,0),MATCH('2019'!G$6,DataEx!$7:$7,0))</f>
        <v>459881.42</v>
      </c>
      <c r="H22" s="188">
        <f>+INDEX(DataEx!$1:$1048576,MATCH('2019'!$A22,DataEx!$D:$D,0),MATCH('2019'!H$6,DataEx!$7:$7,0))</f>
        <v>1160315.8500000001</v>
      </c>
      <c r="I22" s="188">
        <f>+INDEX(DataEx!$1:$1048576,MATCH('2019'!$A22,DataEx!$D:$D,0),MATCH('2019'!I$6,DataEx!$7:$7,0))</f>
        <v>0</v>
      </c>
      <c r="J22" s="188">
        <f>+INDEX(DataEx!$1:$1048576,MATCH('2019'!$A22,DataEx!$D:$D,0),MATCH('2019'!J$6,DataEx!$7:$7,0))</f>
        <v>0</v>
      </c>
      <c r="K22" s="188">
        <f>+INDEX(DataEx!$1:$1048576,MATCH('2019'!$A22,DataEx!$D:$D,0),MATCH('2019'!K$6,DataEx!$7:$7,0))</f>
        <v>0</v>
      </c>
      <c r="L22" s="188">
        <f>+INDEX(DataEx!$1:$1048576,MATCH('2019'!$A22,DataEx!$D:$D,0),MATCH('2019'!L$6,DataEx!$7:$7,0))</f>
        <v>0</v>
      </c>
      <c r="M22" s="188">
        <f>+INDEX(DataEx!$1:$1048576,MATCH('2019'!$A22,DataEx!$D:$D,0),MATCH('2019'!M$6,DataEx!$7:$7,0))</f>
        <v>0</v>
      </c>
      <c r="N22" s="188">
        <f>+INDEX(DataEx!$1:$1048576,MATCH('2019'!$A22,DataEx!$D:$D,0),MATCH('2019'!N$6,DataEx!$7:$7,0))</f>
        <v>0</v>
      </c>
      <c r="O22" s="188">
        <f>+INDEX(DataEx!$1:$1048576,MATCH('2019'!$A22,DataEx!$D:$D,0),MATCH('2019'!O$6,DataEx!$7:$7,0))</f>
        <v>0</v>
      </c>
      <c r="P22" s="188">
        <f>+INDEX(DataEx!$1:$1048576,MATCH('2019'!$A22,DataEx!$D:$D,0),MATCH('2019'!P$6,DataEx!$7:$7,0))</f>
        <v>0</v>
      </c>
      <c r="Q22" s="188">
        <f>+INDEX(DataEx!$1:$1048576,MATCH('2019'!$A22,DataEx!$D:$D,0),MATCH('2019'!Q$6,DataEx!$7:$7,0))</f>
        <v>0</v>
      </c>
      <c r="R22" s="188">
        <f>+INDEX(DataEx!$1:$1048576,MATCH('2019'!$A22,DataEx!$D:$D,0),MATCH('2019'!R$6,DataEx!$7:$7,0))</f>
        <v>0</v>
      </c>
      <c r="S22" s="269">
        <f t="shared" si="3"/>
        <v>1620197.27</v>
      </c>
      <c r="T22" s="270">
        <f t="shared" si="4"/>
        <v>3.3834466649960325E-4</v>
      </c>
    </row>
    <row r="23" spans="1:25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f>+INDEX(DataEx!$1:$1048576,MATCH('2019'!$A23,DataEx!$D:$D,0),MATCH('2019'!G$6,DataEx!$7:$7,0))</f>
        <v>380185.28</v>
      </c>
      <c r="H23" s="188">
        <f>+INDEX(DataEx!$1:$1048576,MATCH('2019'!$A23,DataEx!$D:$D,0),MATCH('2019'!H$6,DataEx!$7:$7,0))</f>
        <v>1035686.38</v>
      </c>
      <c r="I23" s="188">
        <f>+INDEX(DataEx!$1:$1048576,MATCH('2019'!$A23,DataEx!$D:$D,0),MATCH('2019'!I$6,DataEx!$7:$7,0))</f>
        <v>0</v>
      </c>
      <c r="J23" s="188">
        <f>+INDEX(DataEx!$1:$1048576,MATCH('2019'!$A23,DataEx!$D:$D,0),MATCH('2019'!J$6,DataEx!$7:$7,0))</f>
        <v>0</v>
      </c>
      <c r="K23" s="188">
        <f>+INDEX(DataEx!$1:$1048576,MATCH('2019'!$A23,DataEx!$D:$D,0),MATCH('2019'!K$6,DataEx!$7:$7,0))</f>
        <v>0</v>
      </c>
      <c r="L23" s="188">
        <f>+INDEX(DataEx!$1:$1048576,MATCH('2019'!$A23,DataEx!$D:$D,0),MATCH('2019'!L$6,DataEx!$7:$7,0))</f>
        <v>0</v>
      </c>
      <c r="M23" s="188">
        <f>+INDEX(DataEx!$1:$1048576,MATCH('2019'!$A23,DataEx!$D:$D,0),MATCH('2019'!M$6,DataEx!$7:$7,0))</f>
        <v>0</v>
      </c>
      <c r="N23" s="188">
        <f>+INDEX(DataEx!$1:$1048576,MATCH('2019'!$A23,DataEx!$D:$D,0),MATCH('2019'!N$6,DataEx!$7:$7,0))</f>
        <v>0</v>
      </c>
      <c r="O23" s="188">
        <f>+INDEX(DataEx!$1:$1048576,MATCH('2019'!$A23,DataEx!$D:$D,0),MATCH('2019'!O$6,DataEx!$7:$7,0))</f>
        <v>0</v>
      </c>
      <c r="P23" s="188">
        <f>+INDEX(DataEx!$1:$1048576,MATCH('2019'!$A23,DataEx!$D:$D,0),MATCH('2019'!P$6,DataEx!$7:$7,0))</f>
        <v>0</v>
      </c>
      <c r="Q23" s="188">
        <f>+INDEX(DataEx!$1:$1048576,MATCH('2019'!$A23,DataEx!$D:$D,0),MATCH('2019'!Q$6,DataEx!$7:$7,0))</f>
        <v>0</v>
      </c>
      <c r="R23" s="188">
        <f>+INDEX(DataEx!$1:$1048576,MATCH('2019'!$A23,DataEx!$D:$D,0),MATCH('2019'!R$6,DataEx!$7:$7,0))</f>
        <v>0</v>
      </c>
      <c r="S23" s="269">
        <f t="shared" si="3"/>
        <v>1415871.6600000001</v>
      </c>
      <c r="T23" s="270">
        <f t="shared" si="4"/>
        <v>2.9567549179300841E-4</v>
      </c>
      <c r="Y23" s="379"/>
    </row>
    <row r="24" spans="1:25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f>+INDEX(DataEx!$1:$1048576,MATCH('2019'!$A24,DataEx!$D:$D,0),MATCH('2019'!G$6,DataEx!$7:$7,0))</f>
        <v>803704.72</v>
      </c>
      <c r="H24" s="200">
        <f>+INDEX(DataEx!$1:$1048576,MATCH('2019'!$A24,DataEx!$D:$D,0),MATCH('2019'!H$6,DataEx!$7:$7,0))</f>
        <v>967294.73</v>
      </c>
      <c r="I24" s="200">
        <f>+INDEX(DataEx!$1:$1048576,MATCH('2019'!$A24,DataEx!$D:$D,0),MATCH('2019'!I$6,DataEx!$7:$7,0))</f>
        <v>0</v>
      </c>
      <c r="J24" s="200">
        <f>+INDEX(DataEx!$1:$1048576,MATCH('2019'!$A24,DataEx!$D:$D,0),MATCH('2019'!J$6,DataEx!$7:$7,0))</f>
        <v>0</v>
      </c>
      <c r="K24" s="200">
        <f>+INDEX(DataEx!$1:$1048576,MATCH('2019'!$A24,DataEx!$D:$D,0),MATCH('2019'!K$6,DataEx!$7:$7,0))</f>
        <v>0</v>
      </c>
      <c r="L24" s="200">
        <f>+INDEX(DataEx!$1:$1048576,MATCH('2019'!$A24,DataEx!$D:$D,0),MATCH('2019'!L$6,DataEx!$7:$7,0))</f>
        <v>0</v>
      </c>
      <c r="M24" s="200">
        <f>+INDEX(DataEx!$1:$1048576,MATCH('2019'!$A24,DataEx!$D:$D,0),MATCH('2019'!M$6,DataEx!$7:$7,0))</f>
        <v>0</v>
      </c>
      <c r="N24" s="200">
        <f>+INDEX(DataEx!$1:$1048576,MATCH('2019'!$A24,DataEx!$D:$D,0),MATCH('2019'!N$6,DataEx!$7:$7,0))</f>
        <v>0</v>
      </c>
      <c r="O24" s="200">
        <f>+INDEX(DataEx!$1:$1048576,MATCH('2019'!$A24,DataEx!$D:$D,0),MATCH('2019'!O$6,DataEx!$7:$7,0))</f>
        <v>0</v>
      </c>
      <c r="P24" s="200">
        <f>+INDEX(DataEx!$1:$1048576,MATCH('2019'!$A24,DataEx!$D:$D,0),MATCH('2019'!P$6,DataEx!$7:$7,0))</f>
        <v>0</v>
      </c>
      <c r="Q24" s="200">
        <f>+INDEX(DataEx!$1:$1048576,MATCH('2019'!$A24,DataEx!$D:$D,0),MATCH('2019'!Q$6,DataEx!$7:$7,0))</f>
        <v>0</v>
      </c>
      <c r="R24" s="274">
        <f>+INDEX(DataEx!$1:$1048576,MATCH('2019'!$A24,DataEx!$D:$D,0),MATCH('2019'!R$6,DataEx!$7:$7,0))</f>
        <v>0</v>
      </c>
      <c r="S24" s="272">
        <f t="shared" si="3"/>
        <v>1770999.45</v>
      </c>
      <c r="T24" s="273">
        <f t="shared" si="4"/>
        <v>3.6983658062899385E-4</v>
      </c>
      <c r="Y24" s="379"/>
    </row>
    <row r="25" spans="1:25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f>+INDEX(DataEx!$1:$1048576,MATCH('2019'!$A25,DataEx!$D:$D,0),MATCH('2019'!G$6,DataEx!$7:$7,0))</f>
        <v>2315003.25</v>
      </c>
      <c r="H25" s="200">
        <f>+INDEX(DataEx!$1:$1048576,MATCH('2019'!$A25,DataEx!$D:$D,0),MATCH('2019'!H$6,DataEx!$7:$7,0))</f>
        <v>1541397.86</v>
      </c>
      <c r="I25" s="200">
        <f>+INDEX(DataEx!$1:$1048576,MATCH('2019'!$A25,DataEx!$D:$D,0),MATCH('2019'!I$6,DataEx!$7:$7,0))</f>
        <v>0</v>
      </c>
      <c r="J25" s="200">
        <f>+INDEX(DataEx!$1:$1048576,MATCH('2019'!$A25,DataEx!$D:$D,0),MATCH('2019'!J$6,DataEx!$7:$7,0))</f>
        <v>0</v>
      </c>
      <c r="K25" s="200">
        <f>+INDEX(DataEx!$1:$1048576,MATCH('2019'!$A25,DataEx!$D:$D,0),MATCH('2019'!K$6,DataEx!$7:$7,0))</f>
        <v>0</v>
      </c>
      <c r="L25" s="200">
        <f>+INDEX(DataEx!$1:$1048576,MATCH('2019'!$A25,DataEx!$D:$D,0),MATCH('2019'!L$6,DataEx!$7:$7,0))</f>
        <v>0</v>
      </c>
      <c r="M25" s="200">
        <f>+INDEX(DataEx!$1:$1048576,MATCH('2019'!$A25,DataEx!$D:$D,0),MATCH('2019'!M$6,DataEx!$7:$7,0))</f>
        <v>0</v>
      </c>
      <c r="N25" s="200">
        <f>+INDEX(DataEx!$1:$1048576,MATCH('2019'!$A25,DataEx!$D:$D,0),MATCH('2019'!N$6,DataEx!$7:$7,0))</f>
        <v>0</v>
      </c>
      <c r="O25" s="200">
        <f>+INDEX(DataEx!$1:$1048576,MATCH('2019'!$A25,DataEx!$D:$D,0),MATCH('2019'!O$6,DataEx!$7:$7,0))</f>
        <v>0</v>
      </c>
      <c r="P25" s="200">
        <f>+INDEX(DataEx!$1:$1048576,MATCH('2019'!$A25,DataEx!$D:$D,0),MATCH('2019'!P$6,DataEx!$7:$7,0))</f>
        <v>0</v>
      </c>
      <c r="Q25" s="200">
        <f>+INDEX(DataEx!$1:$1048576,MATCH('2019'!$A25,DataEx!$D:$D,0),MATCH('2019'!Q$6,DataEx!$7:$7,0))</f>
        <v>0</v>
      </c>
      <c r="R25" s="274">
        <f>+INDEX(DataEx!$1:$1048576,MATCH('2019'!$A25,DataEx!$D:$D,0),MATCH('2019'!R$6,DataEx!$7:$7,0))</f>
        <v>0</v>
      </c>
      <c r="S25" s="272">
        <f t="shared" si="3"/>
        <v>3856401.1100000003</v>
      </c>
      <c r="T25" s="273">
        <f t="shared" si="4"/>
        <v>8.0532955561124346E-4</v>
      </c>
      <c r="W25" s="366"/>
    </row>
    <row r="26" spans="1:25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f>+INDEX(DataEx!$1:$1048576,MATCH('2019'!$A26,DataEx!$D:$D,0),MATCH('2019'!G$6,DataEx!$7:$7,0))</f>
        <v>1513907.86</v>
      </c>
      <c r="H26" s="200">
        <f>+INDEX(DataEx!$1:$1048576,MATCH('2019'!$A26,DataEx!$D:$D,0),MATCH('2019'!H$6,DataEx!$7:$7,0))</f>
        <v>2139132.87</v>
      </c>
      <c r="I26" s="200">
        <f>+INDEX(DataEx!$1:$1048576,MATCH('2019'!$A26,DataEx!$D:$D,0),MATCH('2019'!I$6,DataEx!$7:$7,0))</f>
        <v>0</v>
      </c>
      <c r="J26" s="200">
        <f>+INDEX(DataEx!$1:$1048576,MATCH('2019'!$A26,DataEx!$D:$D,0),MATCH('2019'!J$6,DataEx!$7:$7,0))</f>
        <v>0</v>
      </c>
      <c r="K26" s="200">
        <f>+INDEX(DataEx!$1:$1048576,MATCH('2019'!$A26,DataEx!$D:$D,0),MATCH('2019'!K$6,DataEx!$7:$7,0))</f>
        <v>0</v>
      </c>
      <c r="L26" s="200">
        <f>+INDEX(DataEx!$1:$1048576,MATCH('2019'!$A26,DataEx!$D:$D,0),MATCH('2019'!L$6,DataEx!$7:$7,0))</f>
        <v>0</v>
      </c>
      <c r="M26" s="200">
        <f>+INDEX(DataEx!$1:$1048576,MATCH('2019'!$A26,DataEx!$D:$D,0),MATCH('2019'!M$6,DataEx!$7:$7,0))</f>
        <v>0</v>
      </c>
      <c r="N26" s="200">
        <f>+INDEX(DataEx!$1:$1048576,MATCH('2019'!$A26,DataEx!$D:$D,0),MATCH('2019'!N$6,DataEx!$7:$7,0))</f>
        <v>0</v>
      </c>
      <c r="O26" s="200">
        <f>+INDEX(DataEx!$1:$1048576,MATCH('2019'!$A26,DataEx!$D:$D,0),MATCH('2019'!O$6,DataEx!$7:$7,0))</f>
        <v>0</v>
      </c>
      <c r="P26" s="200">
        <f>+INDEX(DataEx!$1:$1048576,MATCH('2019'!$A26,DataEx!$D:$D,0),MATCH('2019'!P$6,DataEx!$7:$7,0))</f>
        <v>0</v>
      </c>
      <c r="Q26" s="200">
        <f>+INDEX(DataEx!$1:$1048576,MATCH('2019'!$A26,DataEx!$D:$D,0),MATCH('2019'!Q$6,DataEx!$7:$7,0))</f>
        <v>0</v>
      </c>
      <c r="R26" s="274">
        <f>+INDEX(DataEx!$1:$1048576,MATCH('2019'!$A26,DataEx!$D:$D,0),MATCH('2019'!R$6,DataEx!$7:$7,0))</f>
        <v>0</v>
      </c>
      <c r="S26" s="272">
        <f t="shared" si="3"/>
        <v>3653040.7300000004</v>
      </c>
      <c r="T26" s="273">
        <f t="shared" si="4"/>
        <v>7.6286194921271362E-4</v>
      </c>
    </row>
    <row r="27" spans="1:25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f>+INDEX(DataEx!$1:$1048576,MATCH('2019'!$A27,DataEx!$D:$D,0),MATCH('2019'!G$6,DataEx!$7:$7,0))</f>
        <v>69158.880000000005</v>
      </c>
      <c r="H27" s="200">
        <f>+INDEX(DataEx!$1:$1048576,MATCH('2019'!$A27,DataEx!$D:$D,0),MATCH('2019'!H$6,DataEx!$7:$7,0))</f>
        <v>375609.72</v>
      </c>
      <c r="I27" s="200">
        <f>+INDEX(DataEx!$1:$1048576,MATCH('2019'!$A27,DataEx!$D:$D,0),MATCH('2019'!I$6,DataEx!$7:$7,0))</f>
        <v>0</v>
      </c>
      <c r="J27" s="200">
        <f>+INDEX(DataEx!$1:$1048576,MATCH('2019'!$A27,DataEx!$D:$D,0),MATCH('2019'!J$6,DataEx!$7:$7,0))</f>
        <v>0</v>
      </c>
      <c r="K27" s="200">
        <f>+INDEX(DataEx!$1:$1048576,MATCH('2019'!$A27,DataEx!$D:$D,0),MATCH('2019'!K$6,DataEx!$7:$7,0))</f>
        <v>0</v>
      </c>
      <c r="L27" s="200">
        <f>+INDEX(DataEx!$1:$1048576,MATCH('2019'!$A27,DataEx!$D:$D,0),MATCH('2019'!L$6,DataEx!$7:$7,0))</f>
        <v>0</v>
      </c>
      <c r="M27" s="200">
        <f>+INDEX(DataEx!$1:$1048576,MATCH('2019'!$A27,DataEx!$D:$D,0),MATCH('2019'!M$6,DataEx!$7:$7,0))</f>
        <v>0</v>
      </c>
      <c r="N27" s="200">
        <f>+INDEX(DataEx!$1:$1048576,MATCH('2019'!$A27,DataEx!$D:$D,0),MATCH('2019'!N$6,DataEx!$7:$7,0))</f>
        <v>0</v>
      </c>
      <c r="O27" s="200">
        <f>+INDEX(DataEx!$1:$1048576,MATCH('2019'!$A27,DataEx!$D:$D,0),MATCH('2019'!O$6,DataEx!$7:$7,0))</f>
        <v>0</v>
      </c>
      <c r="P27" s="200">
        <f>+INDEX(DataEx!$1:$1048576,MATCH('2019'!$A27,DataEx!$D:$D,0),MATCH('2019'!P$6,DataEx!$7:$7,0))</f>
        <v>0</v>
      </c>
      <c r="Q27" s="200">
        <f>+INDEX(DataEx!$1:$1048576,MATCH('2019'!$A27,DataEx!$D:$D,0),MATCH('2019'!Q$6,DataEx!$7:$7,0))</f>
        <v>0</v>
      </c>
      <c r="R27" s="274">
        <f>+INDEX(DataEx!$1:$1048576,MATCH('2019'!$A27,DataEx!$D:$D,0),MATCH('2019'!R$6,DataEx!$7:$7,0))</f>
        <v>0</v>
      </c>
      <c r="S27" s="272">
        <f t="shared" si="3"/>
        <v>444768.6</v>
      </c>
      <c r="T27" s="273">
        <f t="shared" si="4"/>
        <v>9.2880716702167644E-5</v>
      </c>
    </row>
    <row r="28" spans="1:25" ht="13.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f>+INDEX(DataEx!$1:$1048576,MATCH('2019'!$A28,DataEx!$D:$D,0),MATCH('2019'!G$6,DataEx!$7:$7,0))</f>
        <v>13518225.6</v>
      </c>
      <c r="H28" s="200">
        <f>+INDEX(DataEx!$1:$1048576,MATCH('2019'!$A28,DataEx!$D:$D,0),MATCH('2019'!H$6,DataEx!$7:$7,0))</f>
        <v>998602.95</v>
      </c>
      <c r="I28" s="200">
        <f>+INDEX(DataEx!$1:$1048576,MATCH('2019'!$A28,DataEx!$D:$D,0),MATCH('2019'!I$6,DataEx!$7:$7,0))</f>
        <v>0</v>
      </c>
      <c r="J28" s="200">
        <f>+INDEX(DataEx!$1:$1048576,MATCH('2019'!$A28,DataEx!$D:$D,0),MATCH('2019'!J$6,DataEx!$7:$7,0))</f>
        <v>0</v>
      </c>
      <c r="K28" s="200">
        <f>+INDEX(DataEx!$1:$1048576,MATCH('2019'!$A28,DataEx!$D:$D,0),MATCH('2019'!K$6,DataEx!$7:$7,0))</f>
        <v>0</v>
      </c>
      <c r="L28" s="200">
        <f>+INDEX(DataEx!$1:$1048576,MATCH('2019'!$A28,DataEx!$D:$D,0),MATCH('2019'!L$6,DataEx!$7:$7,0))</f>
        <v>0</v>
      </c>
      <c r="M28" s="200">
        <f>+INDEX(DataEx!$1:$1048576,MATCH('2019'!$A28,DataEx!$D:$D,0),MATCH('2019'!M$6,DataEx!$7:$7,0))</f>
        <v>0</v>
      </c>
      <c r="N28" s="200">
        <f>+INDEX(DataEx!$1:$1048576,MATCH('2019'!$A28,DataEx!$D:$D,0),MATCH('2019'!N$6,DataEx!$7:$7,0))</f>
        <v>0</v>
      </c>
      <c r="O28" s="200">
        <f>+INDEX(DataEx!$1:$1048576,MATCH('2019'!$A28,DataEx!$D:$D,0),MATCH('2019'!O$6,DataEx!$7:$7,0))</f>
        <v>0</v>
      </c>
      <c r="P28" s="200">
        <f>+INDEX(DataEx!$1:$1048576,MATCH('2019'!$A28,DataEx!$D:$D,0),MATCH('2019'!P$6,DataEx!$7:$7,0))</f>
        <v>0</v>
      </c>
      <c r="Q28" s="200">
        <f>+INDEX(DataEx!$1:$1048576,MATCH('2019'!$A28,DataEx!$D:$D,0),MATCH('2019'!Q$6,DataEx!$7:$7,0))</f>
        <v>0</v>
      </c>
      <c r="R28" s="274">
        <f>+INDEX(DataEx!$1:$1048576,MATCH('2019'!$A28,DataEx!$D:$D,0),MATCH('2019'!R$6,DataEx!$7:$7,0))</f>
        <v>0</v>
      </c>
      <c r="S28" s="272">
        <f t="shared" si="3"/>
        <v>14516828.549999999</v>
      </c>
      <c r="T28" s="276">
        <f t="shared" si="4"/>
        <v>3.031539186818694E-3</v>
      </c>
    </row>
    <row r="29" spans="1:25" ht="13.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>+G31+G42+G48+SUM(G49:G53)</f>
        <v>139568451.43000004</v>
      </c>
      <c r="H29" s="176">
        <f t="shared" ref="H29:R29" si="5">+H31+H42+H48+SUM(H49:H53)</f>
        <v>127591222.05000001</v>
      </c>
      <c r="I29" s="176">
        <f t="shared" si="5"/>
        <v>0</v>
      </c>
      <c r="J29" s="176">
        <f t="shared" si="5"/>
        <v>0</v>
      </c>
      <c r="K29" s="176">
        <f t="shared" si="5"/>
        <v>0</v>
      </c>
      <c r="L29" s="176">
        <f t="shared" si="5"/>
        <v>0</v>
      </c>
      <c r="M29" s="176">
        <f t="shared" si="5"/>
        <v>0</v>
      </c>
      <c r="N29" s="176">
        <f t="shared" si="5"/>
        <v>0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267159673.48000005</v>
      </c>
      <c r="T29" s="278">
        <f t="shared" si="4"/>
        <v>5.5790768383243546E-2</v>
      </c>
    </row>
    <row r="30" spans="1:25" ht="13.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206">
        <f>+G29-G49</f>
        <v>112740096.48000003</v>
      </c>
      <c r="H30" s="206">
        <f t="shared" ref="H30:R30" si="6">+H29-H49</f>
        <v>123001844.57000001</v>
      </c>
      <c r="I30" s="206">
        <f t="shared" si="6"/>
        <v>0</v>
      </c>
      <c r="J30" s="206">
        <f t="shared" si="6"/>
        <v>0</v>
      </c>
      <c r="K30" s="206">
        <f t="shared" si="6"/>
        <v>0</v>
      </c>
      <c r="L30" s="206">
        <f t="shared" si="6"/>
        <v>0</v>
      </c>
      <c r="M30" s="206">
        <f t="shared" si="6"/>
        <v>0</v>
      </c>
      <c r="N30" s="206">
        <f t="shared" si="6"/>
        <v>0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31">
        <f t="shared" si="3"/>
        <v>235741941.05000004</v>
      </c>
      <c r="T30" s="280">
        <f t="shared" si="4"/>
        <v>4.9229825220314924E-2</v>
      </c>
    </row>
    <row r="31" spans="1:25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212">
        <f>+SUM(G32:G41)</f>
        <v>50977591.340000011</v>
      </c>
      <c r="H31" s="212">
        <f t="shared" ref="H31:R31" si="7">+SUM(H32:H41)</f>
        <v>54968505.24000001</v>
      </c>
      <c r="I31" s="212">
        <f t="shared" si="7"/>
        <v>0</v>
      </c>
      <c r="J31" s="212">
        <f t="shared" si="7"/>
        <v>0</v>
      </c>
      <c r="K31" s="212">
        <f t="shared" si="7"/>
        <v>0</v>
      </c>
      <c r="L31" s="212">
        <f t="shared" si="7"/>
        <v>0</v>
      </c>
      <c r="M31" s="212">
        <f t="shared" si="7"/>
        <v>0</v>
      </c>
      <c r="N31" s="212">
        <f t="shared" si="7"/>
        <v>0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32">
        <f t="shared" si="3"/>
        <v>105946096.58000001</v>
      </c>
      <c r="T31" s="268">
        <f t="shared" si="4"/>
        <v>2.2124649496721382E-2</v>
      </c>
    </row>
    <row r="32" spans="1:25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f>+INDEX(DataEx!$1:$1048576,MATCH('2019'!$A32,DataEx!$D:$D,0),MATCH('2019'!G$6,DataEx!$7:$7,0))</f>
        <v>38898745.609999999</v>
      </c>
      <c r="H32" s="188">
        <f>+INDEX(DataEx!$1:$1048576,MATCH('2019'!$A32,DataEx!$D:$D,0),MATCH('2019'!H$6,DataEx!$7:$7,0))</f>
        <v>38576856.590000004</v>
      </c>
      <c r="I32" s="188">
        <f>+INDEX(DataEx!$1:$1048576,MATCH('2019'!$A32,DataEx!$D:$D,0),MATCH('2019'!I$6,DataEx!$7:$7,0))</f>
        <v>0</v>
      </c>
      <c r="J32" s="188">
        <f>+INDEX(DataEx!$1:$1048576,MATCH('2019'!$A32,DataEx!$D:$D,0),MATCH('2019'!J$6,DataEx!$7:$7,0))</f>
        <v>0</v>
      </c>
      <c r="K32" s="188">
        <f>+INDEX(DataEx!$1:$1048576,MATCH('2019'!$A32,DataEx!$D:$D,0),MATCH('2019'!K$6,DataEx!$7:$7,0))</f>
        <v>0</v>
      </c>
      <c r="L32" s="188">
        <f>+INDEX(DataEx!$1:$1048576,MATCH('2019'!$A32,DataEx!$D:$D,0),MATCH('2019'!L$6,DataEx!$7:$7,0))</f>
        <v>0</v>
      </c>
      <c r="M32" s="188">
        <f>+INDEX(DataEx!$1:$1048576,MATCH('2019'!$A32,DataEx!$D:$D,0),MATCH('2019'!M$6,DataEx!$7:$7,0))</f>
        <v>0</v>
      </c>
      <c r="N32" s="188">
        <f>+INDEX(DataEx!$1:$1048576,MATCH('2019'!$A32,DataEx!$D:$D,0),MATCH('2019'!N$6,DataEx!$7:$7,0))</f>
        <v>0</v>
      </c>
      <c r="O32" s="188">
        <f>+INDEX(DataEx!$1:$1048576,MATCH('2019'!$A32,DataEx!$D:$D,0),MATCH('2019'!O$6,DataEx!$7:$7,0))</f>
        <v>0</v>
      </c>
      <c r="P32" s="188">
        <f>+INDEX(DataEx!$1:$1048576,MATCH('2019'!$A32,DataEx!$D:$D,0),MATCH('2019'!P$6,DataEx!$7:$7,0))</f>
        <v>0</v>
      </c>
      <c r="Q32" s="188">
        <f>+INDEX(DataEx!$1:$1048576,MATCH('2019'!$A32,DataEx!$D:$D,0),MATCH('2019'!Q$6,DataEx!$7:$7,0))</f>
        <v>0</v>
      </c>
      <c r="R32" s="188">
        <f>+INDEX(DataEx!$1:$1048576,MATCH('2019'!$A32,DataEx!$D:$D,0),MATCH('2019'!R$6,DataEx!$7:$7,0))</f>
        <v>0</v>
      </c>
      <c r="S32" s="269">
        <f t="shared" si="3"/>
        <v>77475602.200000003</v>
      </c>
      <c r="T32" s="270">
        <f t="shared" si="4"/>
        <v>1.6179176001336507E-2</v>
      </c>
    </row>
    <row r="33" spans="1:22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f>+INDEX(DataEx!$1:$1048576,MATCH('2019'!$A33,DataEx!$D:$D,0),MATCH('2019'!G$6,DataEx!$7:$7,0))</f>
        <v>432717.77</v>
      </c>
      <c r="H33" s="188">
        <f>+INDEX(DataEx!$1:$1048576,MATCH('2019'!$A33,DataEx!$D:$D,0),MATCH('2019'!H$6,DataEx!$7:$7,0))</f>
        <v>1037317.51</v>
      </c>
      <c r="I33" s="188">
        <f>+INDEX(DataEx!$1:$1048576,MATCH('2019'!$A33,DataEx!$D:$D,0),MATCH('2019'!I$6,DataEx!$7:$7,0))</f>
        <v>0</v>
      </c>
      <c r="J33" s="188">
        <f>+INDEX(DataEx!$1:$1048576,MATCH('2019'!$A33,DataEx!$D:$D,0),MATCH('2019'!J$6,DataEx!$7:$7,0))</f>
        <v>0</v>
      </c>
      <c r="K33" s="188">
        <f>+INDEX(DataEx!$1:$1048576,MATCH('2019'!$A33,DataEx!$D:$D,0),MATCH('2019'!K$6,DataEx!$7:$7,0))</f>
        <v>0</v>
      </c>
      <c r="L33" s="188">
        <f>+INDEX(DataEx!$1:$1048576,MATCH('2019'!$A33,DataEx!$D:$D,0),MATCH('2019'!L$6,DataEx!$7:$7,0))</f>
        <v>0</v>
      </c>
      <c r="M33" s="188">
        <f>+INDEX(DataEx!$1:$1048576,MATCH('2019'!$A33,DataEx!$D:$D,0),MATCH('2019'!M$6,DataEx!$7:$7,0))</f>
        <v>0</v>
      </c>
      <c r="N33" s="188">
        <f>+INDEX(DataEx!$1:$1048576,MATCH('2019'!$A33,DataEx!$D:$D,0),MATCH('2019'!N$6,DataEx!$7:$7,0))</f>
        <v>0</v>
      </c>
      <c r="O33" s="188">
        <f>+INDEX(DataEx!$1:$1048576,MATCH('2019'!$A33,DataEx!$D:$D,0),MATCH('2019'!O$6,DataEx!$7:$7,0))</f>
        <v>0</v>
      </c>
      <c r="P33" s="188">
        <f>+INDEX(DataEx!$1:$1048576,MATCH('2019'!$A33,DataEx!$D:$D,0),MATCH('2019'!P$6,DataEx!$7:$7,0))</f>
        <v>0</v>
      </c>
      <c r="Q33" s="188">
        <f>+INDEX(DataEx!$1:$1048576,MATCH('2019'!$A33,DataEx!$D:$D,0),MATCH('2019'!Q$6,DataEx!$7:$7,0))</f>
        <v>0</v>
      </c>
      <c r="R33" s="188">
        <f>+INDEX(DataEx!$1:$1048576,MATCH('2019'!$A33,DataEx!$D:$D,0),MATCH('2019'!R$6,DataEx!$7:$7,0))</f>
        <v>0</v>
      </c>
      <c r="S33" s="269">
        <f t="shared" si="3"/>
        <v>1470035.28</v>
      </c>
      <c r="T33" s="270">
        <f t="shared" si="4"/>
        <v>3.0698644280165394E-4</v>
      </c>
      <c r="U33" s="367"/>
    </row>
    <row r="34" spans="1:22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f>+INDEX(DataEx!$1:$1048576,MATCH('2019'!$A34,DataEx!$D:$D,0),MATCH('2019'!G$6,DataEx!$7:$7,0))</f>
        <v>854167.64</v>
      </c>
      <c r="H34" s="188">
        <f>+INDEX(DataEx!$1:$1048576,MATCH('2019'!$A34,DataEx!$D:$D,0),MATCH('2019'!H$6,DataEx!$7:$7,0))</f>
        <v>2492370.9900000002</v>
      </c>
      <c r="I34" s="188">
        <f>+INDEX(DataEx!$1:$1048576,MATCH('2019'!$A34,DataEx!$D:$D,0),MATCH('2019'!I$6,DataEx!$7:$7,0))</f>
        <v>0</v>
      </c>
      <c r="J34" s="188">
        <f>+INDEX(DataEx!$1:$1048576,MATCH('2019'!$A34,DataEx!$D:$D,0),MATCH('2019'!J$6,DataEx!$7:$7,0))</f>
        <v>0</v>
      </c>
      <c r="K34" s="188">
        <f>+INDEX(DataEx!$1:$1048576,MATCH('2019'!$A34,DataEx!$D:$D,0),MATCH('2019'!K$6,DataEx!$7:$7,0))</f>
        <v>0</v>
      </c>
      <c r="L34" s="188">
        <f>+INDEX(DataEx!$1:$1048576,MATCH('2019'!$A34,DataEx!$D:$D,0),MATCH('2019'!L$6,DataEx!$7:$7,0))</f>
        <v>0</v>
      </c>
      <c r="M34" s="188">
        <f>+INDEX(DataEx!$1:$1048576,MATCH('2019'!$A34,DataEx!$D:$D,0),MATCH('2019'!M$6,DataEx!$7:$7,0))</f>
        <v>0</v>
      </c>
      <c r="N34" s="188">
        <f>+INDEX(DataEx!$1:$1048576,MATCH('2019'!$A34,DataEx!$D:$D,0),MATCH('2019'!N$6,DataEx!$7:$7,0))</f>
        <v>0</v>
      </c>
      <c r="O34" s="188">
        <f>+INDEX(DataEx!$1:$1048576,MATCH('2019'!$A34,DataEx!$D:$D,0),MATCH('2019'!O$6,DataEx!$7:$7,0))</f>
        <v>0</v>
      </c>
      <c r="P34" s="188">
        <f>+INDEX(DataEx!$1:$1048576,MATCH('2019'!$A34,DataEx!$D:$D,0),MATCH('2019'!P$6,DataEx!$7:$7,0))</f>
        <v>0</v>
      </c>
      <c r="Q34" s="188">
        <f>+INDEX(DataEx!$1:$1048576,MATCH('2019'!$A34,DataEx!$D:$D,0),MATCH('2019'!Q$6,DataEx!$7:$7,0))</f>
        <v>0</v>
      </c>
      <c r="R34" s="188">
        <f>+INDEX(DataEx!$1:$1048576,MATCH('2019'!$A34,DataEx!$D:$D,0),MATCH('2019'!R$6,DataEx!$7:$7,0))</f>
        <v>0</v>
      </c>
      <c r="S34" s="269">
        <f t="shared" si="3"/>
        <v>3346538.6300000004</v>
      </c>
      <c r="T34" s="270">
        <f t="shared" si="4"/>
        <v>6.9885532932381081E-4</v>
      </c>
      <c r="U34" s="385"/>
      <c r="V34" s="365"/>
    </row>
    <row r="35" spans="1:22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f>+INDEX(DataEx!$1:$1048576,MATCH('2019'!$A35,DataEx!$D:$D,0),MATCH('2019'!G$6,DataEx!$7:$7,0))</f>
        <v>2813388.82</v>
      </c>
      <c r="H35" s="188">
        <f>+INDEX(DataEx!$1:$1048576,MATCH('2019'!$A35,DataEx!$D:$D,0),MATCH('2019'!H$6,DataEx!$7:$7,0))</f>
        <v>4275265.79</v>
      </c>
      <c r="I35" s="188">
        <f>+INDEX(DataEx!$1:$1048576,MATCH('2019'!$A35,DataEx!$D:$D,0),MATCH('2019'!I$6,DataEx!$7:$7,0))</f>
        <v>0</v>
      </c>
      <c r="J35" s="188">
        <f>+INDEX(DataEx!$1:$1048576,MATCH('2019'!$A35,DataEx!$D:$D,0),MATCH('2019'!J$6,DataEx!$7:$7,0))</f>
        <v>0</v>
      </c>
      <c r="K35" s="188">
        <f>+INDEX(DataEx!$1:$1048576,MATCH('2019'!$A35,DataEx!$D:$D,0),MATCH('2019'!K$6,DataEx!$7:$7,0))</f>
        <v>0</v>
      </c>
      <c r="L35" s="188">
        <f>+INDEX(DataEx!$1:$1048576,MATCH('2019'!$A35,DataEx!$D:$D,0),MATCH('2019'!L$6,DataEx!$7:$7,0))</f>
        <v>0</v>
      </c>
      <c r="M35" s="188">
        <f>+INDEX(DataEx!$1:$1048576,MATCH('2019'!$A35,DataEx!$D:$D,0),MATCH('2019'!M$6,DataEx!$7:$7,0))</f>
        <v>0</v>
      </c>
      <c r="N35" s="188">
        <f>+INDEX(DataEx!$1:$1048576,MATCH('2019'!$A35,DataEx!$D:$D,0),MATCH('2019'!N$6,DataEx!$7:$7,0))</f>
        <v>0</v>
      </c>
      <c r="O35" s="188">
        <f>+INDEX(DataEx!$1:$1048576,MATCH('2019'!$A35,DataEx!$D:$D,0),MATCH('2019'!O$6,DataEx!$7:$7,0))</f>
        <v>0</v>
      </c>
      <c r="P35" s="188">
        <f>+INDEX(DataEx!$1:$1048576,MATCH('2019'!$A35,DataEx!$D:$D,0),MATCH('2019'!P$6,DataEx!$7:$7,0))</f>
        <v>0</v>
      </c>
      <c r="Q35" s="188">
        <f>+INDEX(DataEx!$1:$1048576,MATCH('2019'!$A35,DataEx!$D:$D,0),MATCH('2019'!Q$6,DataEx!$7:$7,0))</f>
        <v>0</v>
      </c>
      <c r="R35" s="188">
        <f>+INDEX(DataEx!$1:$1048576,MATCH('2019'!$A35,DataEx!$D:$D,0),MATCH('2019'!R$6,DataEx!$7:$7,0))</f>
        <v>0</v>
      </c>
      <c r="S35" s="269">
        <f t="shared" si="3"/>
        <v>7088654.6099999994</v>
      </c>
      <c r="T35" s="270">
        <f t="shared" si="4"/>
        <v>1.4803188009021426E-3</v>
      </c>
    </row>
    <row r="36" spans="1:22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f>+INDEX(DataEx!$1:$1048576,MATCH('2019'!$A36,DataEx!$D:$D,0),MATCH('2019'!G$6,DataEx!$7:$7,0))</f>
        <v>109483.07</v>
      </c>
      <c r="H36" s="188">
        <f>+INDEX(DataEx!$1:$1048576,MATCH('2019'!$A36,DataEx!$D:$D,0),MATCH('2019'!H$6,DataEx!$7:$7,0))</f>
        <v>1534108.39</v>
      </c>
      <c r="I36" s="188">
        <f>+INDEX(DataEx!$1:$1048576,MATCH('2019'!$A36,DataEx!$D:$D,0),MATCH('2019'!I$6,DataEx!$7:$7,0))</f>
        <v>0</v>
      </c>
      <c r="J36" s="188">
        <f>+INDEX(DataEx!$1:$1048576,MATCH('2019'!$A36,DataEx!$D:$D,0),MATCH('2019'!J$6,DataEx!$7:$7,0))</f>
        <v>0</v>
      </c>
      <c r="K36" s="188">
        <f>+INDEX(DataEx!$1:$1048576,MATCH('2019'!$A36,DataEx!$D:$D,0),MATCH('2019'!K$6,DataEx!$7:$7,0))</f>
        <v>0</v>
      </c>
      <c r="L36" s="188">
        <f>+INDEX(DataEx!$1:$1048576,MATCH('2019'!$A36,DataEx!$D:$D,0),MATCH('2019'!L$6,DataEx!$7:$7,0))</f>
        <v>0</v>
      </c>
      <c r="M36" s="188">
        <f>+INDEX(DataEx!$1:$1048576,MATCH('2019'!$A36,DataEx!$D:$D,0),MATCH('2019'!M$6,DataEx!$7:$7,0))</f>
        <v>0</v>
      </c>
      <c r="N36" s="188">
        <f>+INDEX(DataEx!$1:$1048576,MATCH('2019'!$A36,DataEx!$D:$D,0),MATCH('2019'!N$6,DataEx!$7:$7,0))</f>
        <v>0</v>
      </c>
      <c r="O36" s="188">
        <f>+INDEX(DataEx!$1:$1048576,MATCH('2019'!$A36,DataEx!$D:$D,0),MATCH('2019'!O$6,DataEx!$7:$7,0))</f>
        <v>0</v>
      </c>
      <c r="P36" s="188">
        <f>+INDEX(DataEx!$1:$1048576,MATCH('2019'!$A36,DataEx!$D:$D,0),MATCH('2019'!P$6,DataEx!$7:$7,0))</f>
        <v>0</v>
      </c>
      <c r="Q36" s="188">
        <f>+INDEX(DataEx!$1:$1048576,MATCH('2019'!$A36,DataEx!$D:$D,0),MATCH('2019'!Q$6,DataEx!$7:$7,0))</f>
        <v>0</v>
      </c>
      <c r="R36" s="188">
        <f>+INDEX(DataEx!$1:$1048576,MATCH('2019'!$A36,DataEx!$D:$D,0),MATCH('2019'!R$6,DataEx!$7:$7,0))</f>
        <v>0</v>
      </c>
      <c r="S36" s="269">
        <f t="shared" si="3"/>
        <v>1643591.46</v>
      </c>
      <c r="T36" s="270">
        <f t="shared" si="4"/>
        <v>3.432300588898634E-4</v>
      </c>
    </row>
    <row r="37" spans="1:22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f>+INDEX(DataEx!$1:$1048576,MATCH('2019'!$A37,DataEx!$D:$D,0),MATCH('2019'!G$6,DataEx!$7:$7,0))</f>
        <v>6133054.0599999996</v>
      </c>
      <c r="H37" s="188">
        <f>+INDEX(DataEx!$1:$1048576,MATCH('2019'!$A37,DataEx!$D:$D,0),MATCH('2019'!H$6,DataEx!$7:$7,0))</f>
        <v>822328.63</v>
      </c>
      <c r="I37" s="188">
        <f>+INDEX(DataEx!$1:$1048576,MATCH('2019'!$A37,DataEx!$D:$D,0),MATCH('2019'!I$6,DataEx!$7:$7,0))</f>
        <v>0</v>
      </c>
      <c r="J37" s="188">
        <f>+INDEX(DataEx!$1:$1048576,MATCH('2019'!$A37,DataEx!$D:$D,0),MATCH('2019'!J$6,DataEx!$7:$7,0))</f>
        <v>0</v>
      </c>
      <c r="K37" s="188">
        <f>+INDEX(DataEx!$1:$1048576,MATCH('2019'!$A37,DataEx!$D:$D,0),MATCH('2019'!K$6,DataEx!$7:$7,0))</f>
        <v>0</v>
      </c>
      <c r="L37" s="188">
        <f>+INDEX(DataEx!$1:$1048576,MATCH('2019'!$A37,DataEx!$D:$D,0),MATCH('2019'!L$6,DataEx!$7:$7,0))</f>
        <v>0</v>
      </c>
      <c r="M37" s="188">
        <f>+INDEX(DataEx!$1:$1048576,MATCH('2019'!$A37,DataEx!$D:$D,0),MATCH('2019'!M$6,DataEx!$7:$7,0))</f>
        <v>0</v>
      </c>
      <c r="N37" s="188">
        <f>+INDEX(DataEx!$1:$1048576,MATCH('2019'!$A37,DataEx!$D:$D,0),MATCH('2019'!N$6,DataEx!$7:$7,0))</f>
        <v>0</v>
      </c>
      <c r="O37" s="188">
        <f>+INDEX(DataEx!$1:$1048576,MATCH('2019'!$A37,DataEx!$D:$D,0),MATCH('2019'!O$6,DataEx!$7:$7,0))</f>
        <v>0</v>
      </c>
      <c r="P37" s="188">
        <f>+INDEX(DataEx!$1:$1048576,MATCH('2019'!$A37,DataEx!$D:$D,0),MATCH('2019'!P$6,DataEx!$7:$7,0))</f>
        <v>0</v>
      </c>
      <c r="Q37" s="188">
        <f>+INDEX(DataEx!$1:$1048576,MATCH('2019'!$A37,DataEx!$D:$D,0),MATCH('2019'!Q$6,DataEx!$7:$7,0))</f>
        <v>0</v>
      </c>
      <c r="R37" s="188">
        <f>+INDEX(DataEx!$1:$1048576,MATCH('2019'!$A37,DataEx!$D:$D,0),MATCH('2019'!R$6,DataEx!$7:$7,0))</f>
        <v>0</v>
      </c>
      <c r="S37" s="269">
        <f>+SUM(G37:R37)</f>
        <v>6955382.6899999995</v>
      </c>
      <c r="T37" s="270">
        <f t="shared" si="4"/>
        <v>1.4524877187486948E-3</v>
      </c>
    </row>
    <row r="38" spans="1:22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f>+INDEX(DataEx!$1:$1048576,MATCH('2019'!$A38,DataEx!$D:$D,0),MATCH('2019'!G$6,DataEx!$7:$7,0))</f>
        <v>220526.46</v>
      </c>
      <c r="H38" s="188">
        <f>+INDEX(DataEx!$1:$1048576,MATCH('2019'!$A38,DataEx!$D:$D,0),MATCH('2019'!H$6,DataEx!$7:$7,0))</f>
        <v>779733.65</v>
      </c>
      <c r="I38" s="188">
        <f>+INDEX(DataEx!$1:$1048576,MATCH('2019'!$A38,DataEx!$D:$D,0),MATCH('2019'!I$6,DataEx!$7:$7,0))</f>
        <v>0</v>
      </c>
      <c r="J38" s="188">
        <f>+INDEX(DataEx!$1:$1048576,MATCH('2019'!$A38,DataEx!$D:$D,0),MATCH('2019'!J$6,DataEx!$7:$7,0))</f>
        <v>0</v>
      </c>
      <c r="K38" s="188">
        <f>+INDEX(DataEx!$1:$1048576,MATCH('2019'!$A38,DataEx!$D:$D,0),MATCH('2019'!K$6,DataEx!$7:$7,0))</f>
        <v>0</v>
      </c>
      <c r="L38" s="188">
        <f>+INDEX(DataEx!$1:$1048576,MATCH('2019'!$A38,DataEx!$D:$D,0),MATCH('2019'!L$6,DataEx!$7:$7,0))</f>
        <v>0</v>
      </c>
      <c r="M38" s="188">
        <f>+INDEX(DataEx!$1:$1048576,MATCH('2019'!$A38,DataEx!$D:$D,0),MATCH('2019'!M$6,DataEx!$7:$7,0))</f>
        <v>0</v>
      </c>
      <c r="N38" s="188">
        <f>+INDEX(DataEx!$1:$1048576,MATCH('2019'!$A38,DataEx!$D:$D,0),MATCH('2019'!N$6,DataEx!$7:$7,0))</f>
        <v>0</v>
      </c>
      <c r="O38" s="188">
        <f>+INDEX(DataEx!$1:$1048576,MATCH('2019'!$A38,DataEx!$D:$D,0),MATCH('2019'!O$6,DataEx!$7:$7,0))</f>
        <v>0</v>
      </c>
      <c r="P38" s="188">
        <f>+INDEX(DataEx!$1:$1048576,MATCH('2019'!$A38,DataEx!$D:$D,0),MATCH('2019'!P$6,DataEx!$7:$7,0))</f>
        <v>0</v>
      </c>
      <c r="Q38" s="188">
        <f>+INDEX(DataEx!$1:$1048576,MATCH('2019'!$A38,DataEx!$D:$D,0),MATCH('2019'!Q$6,DataEx!$7:$7,0))</f>
        <v>0</v>
      </c>
      <c r="R38" s="188">
        <f>+INDEX(DataEx!$1:$1048576,MATCH('2019'!$A38,DataEx!$D:$D,0),MATCH('2019'!R$6,DataEx!$7:$7,0))</f>
        <v>0</v>
      </c>
      <c r="S38" s="269">
        <f t="shared" si="3"/>
        <v>1000260.11</v>
      </c>
      <c r="T38" s="270">
        <f t="shared" si="4"/>
        <v>2.0888362151777137E-4</v>
      </c>
    </row>
    <row r="39" spans="1:22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f>+INDEX(DataEx!$1:$1048576,MATCH('2019'!$A39,DataEx!$D:$D,0),MATCH('2019'!G$6,DataEx!$7:$7,0))</f>
        <v>99006.6</v>
      </c>
      <c r="H39" s="188">
        <f>+INDEX(DataEx!$1:$1048576,MATCH('2019'!$A39,DataEx!$D:$D,0),MATCH('2019'!H$6,DataEx!$7:$7,0))</f>
        <v>1819632.21</v>
      </c>
      <c r="I39" s="188">
        <f>+INDEX(DataEx!$1:$1048576,MATCH('2019'!$A39,DataEx!$D:$D,0),MATCH('2019'!I$6,DataEx!$7:$7,0))</f>
        <v>0</v>
      </c>
      <c r="J39" s="188">
        <f>+INDEX(DataEx!$1:$1048576,MATCH('2019'!$A39,DataEx!$D:$D,0),MATCH('2019'!J$6,DataEx!$7:$7,0))</f>
        <v>0</v>
      </c>
      <c r="K39" s="188">
        <f>+INDEX(DataEx!$1:$1048576,MATCH('2019'!$A39,DataEx!$D:$D,0),MATCH('2019'!K$6,DataEx!$7:$7,0))</f>
        <v>0</v>
      </c>
      <c r="L39" s="188">
        <f>+INDEX(DataEx!$1:$1048576,MATCH('2019'!$A39,DataEx!$D:$D,0),MATCH('2019'!L$6,DataEx!$7:$7,0))</f>
        <v>0</v>
      </c>
      <c r="M39" s="188">
        <f>+INDEX(DataEx!$1:$1048576,MATCH('2019'!$A39,DataEx!$D:$D,0),MATCH('2019'!M$6,DataEx!$7:$7,0))</f>
        <v>0</v>
      </c>
      <c r="N39" s="188">
        <f>+INDEX(DataEx!$1:$1048576,MATCH('2019'!$A39,DataEx!$D:$D,0),MATCH('2019'!N$6,DataEx!$7:$7,0))</f>
        <v>0</v>
      </c>
      <c r="O39" s="188">
        <f>+INDEX(DataEx!$1:$1048576,MATCH('2019'!$A39,DataEx!$D:$D,0),MATCH('2019'!O$6,DataEx!$7:$7,0))</f>
        <v>0</v>
      </c>
      <c r="P39" s="188">
        <f>+INDEX(DataEx!$1:$1048576,MATCH('2019'!$A39,DataEx!$D:$D,0),MATCH('2019'!P$6,DataEx!$7:$7,0))</f>
        <v>0</v>
      </c>
      <c r="Q39" s="188">
        <f>+INDEX(DataEx!$1:$1048576,MATCH('2019'!$A39,DataEx!$D:$D,0),MATCH('2019'!Q$6,DataEx!$7:$7,0))</f>
        <v>0</v>
      </c>
      <c r="R39" s="188">
        <f>+INDEX(DataEx!$1:$1048576,MATCH('2019'!$A39,DataEx!$D:$D,0),MATCH('2019'!R$6,DataEx!$7:$7,0))</f>
        <v>0</v>
      </c>
      <c r="S39" s="269">
        <f t="shared" si="3"/>
        <v>1918638.81</v>
      </c>
      <c r="T39" s="270">
        <f t="shared" si="4"/>
        <v>4.0066800526249847E-4</v>
      </c>
    </row>
    <row r="40" spans="1:22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f>+INDEX(DataEx!$1:$1048576,MATCH('2019'!$A40,DataEx!$D:$D,0),MATCH('2019'!G$6,DataEx!$7:$7,0))</f>
        <v>695586.92</v>
      </c>
      <c r="H40" s="188">
        <f>+INDEX(DataEx!$1:$1048576,MATCH('2019'!$A40,DataEx!$D:$D,0),MATCH('2019'!H$6,DataEx!$7:$7,0))</f>
        <v>3360581.13</v>
      </c>
      <c r="I40" s="188">
        <f>+INDEX(DataEx!$1:$1048576,MATCH('2019'!$A40,DataEx!$D:$D,0),MATCH('2019'!I$6,DataEx!$7:$7,0))</f>
        <v>0</v>
      </c>
      <c r="J40" s="188">
        <f>+INDEX(DataEx!$1:$1048576,MATCH('2019'!$A40,DataEx!$D:$D,0),MATCH('2019'!J$6,DataEx!$7:$7,0))</f>
        <v>0</v>
      </c>
      <c r="K40" s="188">
        <f>+INDEX(DataEx!$1:$1048576,MATCH('2019'!$A40,DataEx!$D:$D,0),MATCH('2019'!K$6,DataEx!$7:$7,0))</f>
        <v>0</v>
      </c>
      <c r="L40" s="188">
        <f>+INDEX(DataEx!$1:$1048576,MATCH('2019'!$A40,DataEx!$D:$D,0),MATCH('2019'!L$6,DataEx!$7:$7,0))</f>
        <v>0</v>
      </c>
      <c r="M40" s="188">
        <f>+INDEX(DataEx!$1:$1048576,MATCH('2019'!$A40,DataEx!$D:$D,0),MATCH('2019'!M$6,DataEx!$7:$7,0))</f>
        <v>0</v>
      </c>
      <c r="N40" s="188">
        <f>+INDEX(DataEx!$1:$1048576,MATCH('2019'!$A40,DataEx!$D:$D,0),MATCH('2019'!N$6,DataEx!$7:$7,0))</f>
        <v>0</v>
      </c>
      <c r="O40" s="188">
        <f>+INDEX(DataEx!$1:$1048576,MATCH('2019'!$A40,DataEx!$D:$D,0),MATCH('2019'!O$6,DataEx!$7:$7,0))</f>
        <v>0</v>
      </c>
      <c r="P40" s="188">
        <f>+INDEX(DataEx!$1:$1048576,MATCH('2019'!$A40,DataEx!$D:$D,0),MATCH('2019'!P$6,DataEx!$7:$7,0))</f>
        <v>0</v>
      </c>
      <c r="Q40" s="188">
        <f>+INDEX(DataEx!$1:$1048576,MATCH('2019'!$A40,DataEx!$D:$D,0),MATCH('2019'!Q$6,DataEx!$7:$7,0))</f>
        <v>0</v>
      </c>
      <c r="R40" s="188">
        <f>+INDEX(DataEx!$1:$1048576,MATCH('2019'!$A40,DataEx!$D:$D,0),MATCH('2019'!R$6,DataEx!$7:$7,0))</f>
        <v>0</v>
      </c>
      <c r="S40" s="269">
        <f t="shared" si="3"/>
        <v>4056168.05</v>
      </c>
      <c r="T40" s="270">
        <f t="shared" si="4"/>
        <v>8.4704674643946033E-4</v>
      </c>
    </row>
    <row r="41" spans="1:22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f>+INDEX(DataEx!$1:$1048576,MATCH('2019'!$A41,DataEx!$D:$D,0),MATCH('2019'!G$6,DataEx!$7:$7,0))</f>
        <v>720914.39</v>
      </c>
      <c r="H41" s="188">
        <f>+INDEX(DataEx!$1:$1048576,MATCH('2019'!$A41,DataEx!$D:$D,0),MATCH('2019'!H$6,DataEx!$7:$7,0))</f>
        <v>270310.34999999998</v>
      </c>
      <c r="I41" s="188">
        <f>+INDEX(DataEx!$1:$1048576,MATCH('2019'!$A41,DataEx!$D:$D,0),MATCH('2019'!I$6,DataEx!$7:$7,0))</f>
        <v>0</v>
      </c>
      <c r="J41" s="188">
        <f>+INDEX(DataEx!$1:$1048576,MATCH('2019'!$A41,DataEx!$D:$D,0),MATCH('2019'!J$6,DataEx!$7:$7,0))</f>
        <v>0</v>
      </c>
      <c r="K41" s="188">
        <f>+INDEX(DataEx!$1:$1048576,MATCH('2019'!$A41,DataEx!$D:$D,0),MATCH('2019'!K$6,DataEx!$7:$7,0))</f>
        <v>0</v>
      </c>
      <c r="L41" s="188">
        <f>+INDEX(DataEx!$1:$1048576,MATCH('2019'!$A41,DataEx!$D:$D,0),MATCH('2019'!L$6,DataEx!$7:$7,0))</f>
        <v>0</v>
      </c>
      <c r="M41" s="188">
        <f>+INDEX(DataEx!$1:$1048576,MATCH('2019'!$A41,DataEx!$D:$D,0),MATCH('2019'!M$6,DataEx!$7:$7,0))</f>
        <v>0</v>
      </c>
      <c r="N41" s="188">
        <f>+INDEX(DataEx!$1:$1048576,MATCH('2019'!$A41,DataEx!$D:$D,0),MATCH('2019'!N$6,DataEx!$7:$7,0))</f>
        <v>0</v>
      </c>
      <c r="O41" s="188">
        <f>+INDEX(DataEx!$1:$1048576,MATCH('2019'!$A41,DataEx!$D:$D,0),MATCH('2019'!O$6,DataEx!$7:$7,0))</f>
        <v>0</v>
      </c>
      <c r="P41" s="188">
        <f>+INDEX(DataEx!$1:$1048576,MATCH('2019'!$A41,DataEx!$D:$D,0),MATCH('2019'!P$6,DataEx!$7:$7,0))</f>
        <v>0</v>
      </c>
      <c r="Q41" s="188">
        <f>+INDEX(DataEx!$1:$1048576,MATCH('2019'!$A41,DataEx!$D:$D,0),MATCH('2019'!Q$6,DataEx!$7:$7,0))</f>
        <v>0</v>
      </c>
      <c r="R41" s="188">
        <f>+INDEX(DataEx!$1:$1048576,MATCH('2019'!$A41,DataEx!$D:$D,0),MATCH('2019'!R$6,DataEx!$7:$7,0))</f>
        <v>0</v>
      </c>
      <c r="S41" s="269">
        <f t="shared" si="3"/>
        <v>991224.74</v>
      </c>
      <c r="T41" s="270">
        <f t="shared" si="4"/>
        <v>2.0699677149897675E-4</v>
      </c>
    </row>
    <row r="42" spans="1:22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18">
        <f>+SUM(G43:G47)</f>
        <v>42563180.95000001</v>
      </c>
      <c r="H42" s="218">
        <f t="shared" ref="H42:R42" si="8">+SUM(H43:H47)</f>
        <v>46595802.07</v>
      </c>
      <c r="I42" s="218">
        <f t="shared" si="8"/>
        <v>0</v>
      </c>
      <c r="J42" s="200">
        <f t="shared" si="8"/>
        <v>0</v>
      </c>
      <c r="K42" s="218">
        <f t="shared" si="8"/>
        <v>0</v>
      </c>
      <c r="L42" s="218">
        <f t="shared" si="8"/>
        <v>0</v>
      </c>
      <c r="M42" s="218">
        <f t="shared" si="8"/>
        <v>0</v>
      </c>
      <c r="N42" s="218">
        <f t="shared" si="8"/>
        <v>0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89158983.020000011</v>
      </c>
      <c r="T42" s="273">
        <f t="shared" si="4"/>
        <v>1.8619008273816986E-2</v>
      </c>
    </row>
    <row r="43" spans="1:22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+INDEX(DataEx!$1:$1048576,MATCH('2019'!$A43,DataEx!$D:$D,0),MATCH('2019'!G$6,DataEx!$7:$7,0))</f>
        <v>5984394.8399999999</v>
      </c>
      <c r="H43" s="188">
        <f>+INDEX(DataEx!$1:$1048576,MATCH('2019'!$A43,DataEx!$D:$D,0),MATCH('2019'!H$6,DataEx!$7:$7,0))</f>
        <v>6928715.1699999999</v>
      </c>
      <c r="I43" s="188">
        <f>+INDEX(DataEx!$1:$1048576,MATCH('2019'!$A43,DataEx!$D:$D,0),MATCH('2019'!I$6,DataEx!$7:$7,0))</f>
        <v>0</v>
      </c>
      <c r="J43" s="188">
        <f>+INDEX(DataEx!$1:$1048576,MATCH('2019'!$A43,DataEx!$D:$D,0),MATCH('2019'!J$6,DataEx!$7:$7,0))</f>
        <v>0</v>
      </c>
      <c r="K43" s="188">
        <f>+INDEX(DataEx!$1:$1048576,MATCH('2019'!$A43,DataEx!$D:$D,0),MATCH('2019'!K$6,DataEx!$7:$7,0))</f>
        <v>0</v>
      </c>
      <c r="L43" s="188">
        <f>+INDEX(DataEx!$1:$1048576,MATCH('2019'!$A43,DataEx!$D:$D,0),MATCH('2019'!L$6,DataEx!$7:$7,0))</f>
        <v>0</v>
      </c>
      <c r="M43" s="188">
        <f>+INDEX(DataEx!$1:$1048576,MATCH('2019'!$A43,DataEx!$D:$D,0),MATCH('2019'!M$6,DataEx!$7:$7,0))</f>
        <v>0</v>
      </c>
      <c r="N43" s="188">
        <f>+INDEX(DataEx!$1:$1048576,MATCH('2019'!$A43,DataEx!$D:$D,0),MATCH('2019'!N$6,DataEx!$7:$7,0))</f>
        <v>0</v>
      </c>
      <c r="O43" s="188">
        <f>+INDEX(DataEx!$1:$1048576,MATCH('2019'!$A43,DataEx!$D:$D,0),MATCH('2019'!O$6,DataEx!$7:$7,0))</f>
        <v>0</v>
      </c>
      <c r="P43" s="188">
        <f>+INDEX(DataEx!$1:$1048576,MATCH('2019'!$A43,DataEx!$D:$D,0),MATCH('2019'!P$6,DataEx!$7:$7,0))</f>
        <v>0</v>
      </c>
      <c r="Q43" s="188">
        <f>+INDEX(DataEx!$1:$1048576,MATCH('2019'!$A43,DataEx!$D:$D,0),MATCH('2019'!Q$6,DataEx!$7:$7,0))</f>
        <v>0</v>
      </c>
      <c r="R43" s="188">
        <f>+INDEX(DataEx!$1:$1048576,MATCH('2019'!$A43,DataEx!$D:$D,0),MATCH('2019'!R$6,DataEx!$7:$7,0))</f>
        <v>0</v>
      </c>
      <c r="S43" s="269">
        <f t="shared" si="3"/>
        <v>12913110.01</v>
      </c>
      <c r="T43" s="270">
        <f t="shared" si="4"/>
        <v>2.6966357620181263E-3</v>
      </c>
    </row>
    <row r="44" spans="1:22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+INDEX(DataEx!$1:$1048576,MATCH('2019'!$A44,DataEx!$D:$D,0),MATCH('2019'!G$6,DataEx!$7:$7,0))</f>
        <v>43800</v>
      </c>
      <c r="H44" s="188">
        <f>+INDEX(DataEx!$1:$1048576,MATCH('2019'!$A44,DataEx!$D:$D,0),MATCH('2019'!H$6,DataEx!$7:$7,0))</f>
        <v>1198874.72</v>
      </c>
      <c r="I44" s="188">
        <f>+INDEX(DataEx!$1:$1048576,MATCH('2019'!$A44,DataEx!$D:$D,0),MATCH('2019'!I$6,DataEx!$7:$7,0))</f>
        <v>0</v>
      </c>
      <c r="J44" s="188">
        <f>+INDEX(DataEx!$1:$1048576,MATCH('2019'!$A44,DataEx!$D:$D,0),MATCH('2019'!J$6,DataEx!$7:$7,0))</f>
        <v>0</v>
      </c>
      <c r="K44" s="188">
        <f>+INDEX(DataEx!$1:$1048576,MATCH('2019'!$A44,DataEx!$D:$D,0),MATCH('2019'!K$6,DataEx!$7:$7,0))</f>
        <v>0</v>
      </c>
      <c r="L44" s="188">
        <f>+INDEX(DataEx!$1:$1048576,MATCH('2019'!$A44,DataEx!$D:$D,0),MATCH('2019'!L$6,DataEx!$7:$7,0))</f>
        <v>0</v>
      </c>
      <c r="M44" s="188">
        <f>+INDEX(DataEx!$1:$1048576,MATCH('2019'!$A44,DataEx!$D:$D,0),MATCH('2019'!M$6,DataEx!$7:$7,0))</f>
        <v>0</v>
      </c>
      <c r="N44" s="188">
        <f>+INDEX(DataEx!$1:$1048576,MATCH('2019'!$A44,DataEx!$D:$D,0),MATCH('2019'!N$6,DataEx!$7:$7,0))</f>
        <v>0</v>
      </c>
      <c r="O44" s="188">
        <f>+INDEX(DataEx!$1:$1048576,MATCH('2019'!$A44,DataEx!$D:$D,0),MATCH('2019'!O$6,DataEx!$7:$7,0))</f>
        <v>0</v>
      </c>
      <c r="P44" s="188">
        <f>+INDEX(DataEx!$1:$1048576,MATCH('2019'!$A44,DataEx!$D:$D,0),MATCH('2019'!P$6,DataEx!$7:$7,0))</f>
        <v>0</v>
      </c>
      <c r="Q44" s="188">
        <f>+INDEX(DataEx!$1:$1048576,MATCH('2019'!$A44,DataEx!$D:$D,0),MATCH('2019'!Q$6,DataEx!$7:$7,0))</f>
        <v>0</v>
      </c>
      <c r="R44" s="188">
        <f>+INDEX(DataEx!$1:$1048576,MATCH('2019'!$A44,DataEx!$D:$D,0),MATCH('2019'!R$6,DataEx!$7:$7,0))</f>
        <v>0</v>
      </c>
      <c r="S44" s="269">
        <f t="shared" si="3"/>
        <v>1242674.72</v>
      </c>
      <c r="T44" s="270">
        <f t="shared" si="4"/>
        <v>2.5950689554358266E-4</v>
      </c>
    </row>
    <row r="45" spans="1:22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+INDEX(DataEx!$1:$1048576,MATCH('2019'!$A45,DataEx!$D:$D,0),MATCH('2019'!G$6,DataEx!$7:$7,0))</f>
        <v>34463250.560000002</v>
      </c>
      <c r="H45" s="188">
        <f>+INDEX(DataEx!$1:$1048576,MATCH('2019'!$A45,DataEx!$D:$D,0),MATCH('2019'!H$6,DataEx!$7:$7,0))</f>
        <v>35530168.719999999</v>
      </c>
      <c r="I45" s="188">
        <f>+INDEX(DataEx!$1:$1048576,MATCH('2019'!$A45,DataEx!$D:$D,0),MATCH('2019'!I$6,DataEx!$7:$7,0))</f>
        <v>0</v>
      </c>
      <c r="J45" s="188">
        <f>+INDEX(DataEx!$1:$1048576,MATCH('2019'!$A45,DataEx!$D:$D,0),MATCH('2019'!J$6,DataEx!$7:$7,0))</f>
        <v>0</v>
      </c>
      <c r="K45" s="188">
        <f>+INDEX(DataEx!$1:$1048576,MATCH('2019'!$A45,DataEx!$D:$D,0),MATCH('2019'!K$6,DataEx!$7:$7,0))</f>
        <v>0</v>
      </c>
      <c r="L45" s="188">
        <f>+INDEX(DataEx!$1:$1048576,MATCH('2019'!$A45,DataEx!$D:$D,0),MATCH('2019'!L$6,DataEx!$7:$7,0))</f>
        <v>0</v>
      </c>
      <c r="M45" s="188">
        <f>+INDEX(DataEx!$1:$1048576,MATCH('2019'!$A45,DataEx!$D:$D,0),MATCH('2019'!M$6,DataEx!$7:$7,0))</f>
        <v>0</v>
      </c>
      <c r="N45" s="188">
        <f>+INDEX(DataEx!$1:$1048576,MATCH('2019'!$A45,DataEx!$D:$D,0),MATCH('2019'!N$6,DataEx!$7:$7,0))</f>
        <v>0</v>
      </c>
      <c r="O45" s="188">
        <f>+INDEX(DataEx!$1:$1048576,MATCH('2019'!$A45,DataEx!$D:$D,0),MATCH('2019'!O$6,DataEx!$7:$7,0))</f>
        <v>0</v>
      </c>
      <c r="P45" s="188">
        <f>+INDEX(DataEx!$1:$1048576,MATCH('2019'!$A45,DataEx!$D:$D,0),MATCH('2019'!P$6,DataEx!$7:$7,0))</f>
        <v>0</v>
      </c>
      <c r="Q45" s="188">
        <f>+INDEX(DataEx!$1:$1048576,MATCH('2019'!$A45,DataEx!$D:$D,0),MATCH('2019'!Q$6,DataEx!$7:$7,0))</f>
        <v>0</v>
      </c>
      <c r="R45" s="188">
        <f>+INDEX(DataEx!$1:$1048576,MATCH('2019'!$A45,DataEx!$D:$D,0),MATCH('2019'!R$6,DataEx!$7:$7,0))</f>
        <v>0</v>
      </c>
      <c r="S45" s="269">
        <f t="shared" si="3"/>
        <v>69993419.280000001</v>
      </c>
      <c r="T45" s="270">
        <f t="shared" si="4"/>
        <v>1.4616676957774716E-2</v>
      </c>
    </row>
    <row r="46" spans="1:22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+INDEX(DataEx!$1:$1048576,MATCH('2019'!$A46,DataEx!$D:$D,0),MATCH('2019'!G$6,DataEx!$7:$7,0))</f>
        <v>1579079.63</v>
      </c>
      <c r="H46" s="188">
        <f>+INDEX(DataEx!$1:$1048576,MATCH('2019'!$A46,DataEx!$D:$D,0),MATCH('2019'!H$6,DataEx!$7:$7,0))</f>
        <v>1855950.15</v>
      </c>
      <c r="I46" s="188">
        <f>+INDEX(DataEx!$1:$1048576,MATCH('2019'!$A46,DataEx!$D:$D,0),MATCH('2019'!I$6,DataEx!$7:$7,0))</f>
        <v>0</v>
      </c>
      <c r="J46" s="188">
        <f>+INDEX(DataEx!$1:$1048576,MATCH('2019'!$A46,DataEx!$D:$D,0),MATCH('2019'!J$6,DataEx!$7:$7,0))</f>
        <v>0</v>
      </c>
      <c r="K46" s="188">
        <f>+INDEX(DataEx!$1:$1048576,MATCH('2019'!$A46,DataEx!$D:$D,0),MATCH('2019'!K$6,DataEx!$7:$7,0))</f>
        <v>0</v>
      </c>
      <c r="L46" s="188">
        <f>+INDEX(DataEx!$1:$1048576,MATCH('2019'!$A46,DataEx!$D:$D,0),MATCH('2019'!L$6,DataEx!$7:$7,0))</f>
        <v>0</v>
      </c>
      <c r="M46" s="188">
        <f>+INDEX(DataEx!$1:$1048576,MATCH('2019'!$A46,DataEx!$D:$D,0),MATCH('2019'!M$6,DataEx!$7:$7,0))</f>
        <v>0</v>
      </c>
      <c r="N46" s="188">
        <f>+INDEX(DataEx!$1:$1048576,MATCH('2019'!$A46,DataEx!$D:$D,0),MATCH('2019'!N$6,DataEx!$7:$7,0))</f>
        <v>0</v>
      </c>
      <c r="O46" s="188">
        <f>+INDEX(DataEx!$1:$1048576,MATCH('2019'!$A46,DataEx!$D:$D,0),MATCH('2019'!O$6,DataEx!$7:$7,0))</f>
        <v>0</v>
      </c>
      <c r="P46" s="188">
        <f>+INDEX(DataEx!$1:$1048576,MATCH('2019'!$A46,DataEx!$D:$D,0),MATCH('2019'!P$6,DataEx!$7:$7,0))</f>
        <v>0</v>
      </c>
      <c r="Q46" s="188">
        <f>+INDEX(DataEx!$1:$1048576,MATCH('2019'!$A46,DataEx!$D:$D,0),MATCH('2019'!Q$6,DataEx!$7:$7,0))</f>
        <v>0</v>
      </c>
      <c r="R46" s="188">
        <f>+INDEX(DataEx!$1:$1048576,MATCH('2019'!$A46,DataEx!$D:$D,0),MATCH('2019'!R$6,DataEx!$7:$7,0))</f>
        <v>0</v>
      </c>
      <c r="S46" s="269">
        <f t="shared" si="3"/>
        <v>3435029.78</v>
      </c>
      <c r="T46" s="270">
        <f t="shared" si="4"/>
        <v>7.173348744935889E-4</v>
      </c>
    </row>
    <row r="47" spans="1:22">
      <c r="A47" s="175">
        <v>425</v>
      </c>
      <c r="B47" s="551" t="str">
        <f>+VLOOKUP($A47,Master!$D$27:$G$225,4,FALSE)</f>
        <v>Ostala prava iz zdravstvenog osiguranja</v>
      </c>
      <c r="C47" s="552"/>
      <c r="D47" s="552"/>
      <c r="E47" s="552"/>
      <c r="F47" s="552"/>
      <c r="G47" s="188">
        <f>+INDEX(DataEx!$1:$1048576,MATCH('2019'!$A47,DataEx!$D:$D,0),MATCH('2019'!G$6,DataEx!$7:$7,0))</f>
        <v>492655.92</v>
      </c>
      <c r="H47" s="188">
        <f>+INDEX(DataEx!$1:$1048576,MATCH('2019'!$A47,DataEx!$D:$D,0),MATCH('2019'!H$6,DataEx!$7:$7,0))</f>
        <v>1082093.31</v>
      </c>
      <c r="I47" s="188">
        <f>+INDEX(DataEx!$1:$1048576,MATCH('2019'!$A47,DataEx!$D:$D,0),MATCH('2019'!I$6,DataEx!$7:$7,0))</f>
        <v>0</v>
      </c>
      <c r="J47" s="188">
        <f>+INDEX(DataEx!$1:$1048576,MATCH('2019'!$A47,DataEx!$D:$D,0),MATCH('2019'!J$6,DataEx!$7:$7,0))</f>
        <v>0</v>
      </c>
      <c r="K47" s="188">
        <f>+INDEX(DataEx!$1:$1048576,MATCH('2019'!$A47,DataEx!$D:$D,0),MATCH('2019'!K$6,DataEx!$7:$7,0))</f>
        <v>0</v>
      </c>
      <c r="L47" s="188">
        <f>+INDEX(DataEx!$1:$1048576,MATCH('2019'!$A47,DataEx!$D:$D,0),MATCH('2019'!L$6,DataEx!$7:$7,0))</f>
        <v>0</v>
      </c>
      <c r="M47" s="188">
        <f>+INDEX(DataEx!$1:$1048576,MATCH('2019'!$A47,DataEx!$D:$D,0),MATCH('2019'!M$6,DataEx!$7:$7,0))</f>
        <v>0</v>
      </c>
      <c r="N47" s="188">
        <f>+INDEX(DataEx!$1:$1048576,MATCH('2019'!$A47,DataEx!$D:$D,0),MATCH('2019'!N$6,DataEx!$7:$7,0))</f>
        <v>0</v>
      </c>
      <c r="O47" s="188">
        <f>+INDEX(DataEx!$1:$1048576,MATCH('2019'!$A47,DataEx!$D:$D,0),MATCH('2019'!O$6,DataEx!$7:$7,0))</f>
        <v>0</v>
      </c>
      <c r="P47" s="188">
        <f>+INDEX(DataEx!$1:$1048576,MATCH('2019'!$A47,DataEx!$D:$D,0),MATCH('2019'!P$6,DataEx!$7:$7,0))</f>
        <v>0</v>
      </c>
      <c r="Q47" s="188">
        <f>+INDEX(DataEx!$1:$1048576,MATCH('2019'!$A47,DataEx!$D:$D,0),MATCH('2019'!Q$6,DataEx!$7:$7,0))</f>
        <v>0</v>
      </c>
      <c r="R47" s="188">
        <f>+INDEX(DataEx!$1:$1048576,MATCH('2019'!$A47,DataEx!$D:$D,0),MATCH('2019'!R$6,DataEx!$7:$7,0))</f>
        <v>0</v>
      </c>
      <c r="S47" s="269">
        <f t="shared" si="3"/>
        <v>1574749.23</v>
      </c>
      <c r="T47" s="270">
        <f t="shared" si="4"/>
        <v>3.2885378398696903E-4</v>
      </c>
    </row>
    <row r="48" spans="1:22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f>+INDEX(DataEx!$1:$1048576,MATCH('2019'!$A48,DataEx!$D:$D,0),MATCH('2019'!G$6,DataEx!$7:$7,0))</f>
        <v>15740550.810000001</v>
      </c>
      <c r="H48" s="200">
        <f>+INDEX(DataEx!$1:$1048576,MATCH('2019'!$A48,DataEx!$D:$D,0),MATCH('2019'!H$6,DataEx!$7:$7,0))</f>
        <v>18630588.73</v>
      </c>
      <c r="I48" s="200">
        <f>+INDEX(DataEx!$1:$1048576,MATCH('2019'!$A48,DataEx!$D:$D,0),MATCH('2019'!I$6,DataEx!$7:$7,0))</f>
        <v>0</v>
      </c>
      <c r="J48" s="200">
        <f>+INDEX(DataEx!$1:$1048576,MATCH('2019'!$A48,DataEx!$D:$D,0),MATCH('2019'!J$6,DataEx!$7:$7,0))</f>
        <v>0</v>
      </c>
      <c r="K48" s="200">
        <f>+INDEX(DataEx!$1:$1048576,MATCH('2019'!$A48,DataEx!$D:$D,0),MATCH('2019'!K$6,DataEx!$7:$7,0))</f>
        <v>0</v>
      </c>
      <c r="L48" s="200">
        <f>+INDEX(DataEx!$1:$1048576,MATCH('2019'!$A48,DataEx!$D:$D,0),MATCH('2019'!L$6,DataEx!$7:$7,0))</f>
        <v>0</v>
      </c>
      <c r="M48" s="200">
        <f>+INDEX(DataEx!$1:$1048576,MATCH('2019'!$A48,DataEx!$D:$D,0),MATCH('2019'!M$6,DataEx!$7:$7,0))</f>
        <v>0</v>
      </c>
      <c r="N48" s="200">
        <f>+INDEX(DataEx!$1:$1048576,MATCH('2019'!$A48,DataEx!$D:$D,0),MATCH('2019'!N$6,DataEx!$7:$7,0))</f>
        <v>0</v>
      </c>
      <c r="O48" s="200">
        <f>+INDEX(DataEx!$1:$1048576,MATCH('2019'!$A48,DataEx!$D:$D,0),MATCH('2019'!O$6,DataEx!$7:$7,0))</f>
        <v>0</v>
      </c>
      <c r="P48" s="200">
        <f>+INDEX(DataEx!$1:$1048576,MATCH('2019'!$A48,DataEx!$D:$D,0),MATCH('2019'!P$6,DataEx!$7:$7,0))</f>
        <v>0</v>
      </c>
      <c r="Q48" s="200">
        <f>+INDEX(DataEx!$1:$1048576,MATCH('2019'!$A48,DataEx!$D:$D,0),MATCH('2019'!Q$6,DataEx!$7:$7,0))</f>
        <v>0</v>
      </c>
      <c r="R48" s="274">
        <f>+INDEX(DataEx!$1:$1048576,MATCH('2019'!$A48,DataEx!$D:$D,0),MATCH('2019'!R$6,DataEx!$7:$7,0))</f>
        <v>0</v>
      </c>
      <c r="S48" s="272">
        <f t="shared" si="3"/>
        <v>34371139.539999999</v>
      </c>
      <c r="T48" s="273">
        <f t="shared" si="4"/>
        <v>7.1777011109718913E-3</v>
      </c>
    </row>
    <row r="49" spans="1:22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f>+INDEX(DataEx!$1:$1048576,MATCH('2019'!$A49,DataEx!$D:$D,0),MATCH('2019'!G$6,DataEx!$7:$7,0))</f>
        <v>26828354.949999999</v>
      </c>
      <c r="H49" s="200">
        <f>+INDEX(DataEx!$1:$1048576,MATCH('2019'!$A49,DataEx!$D:$D,0),MATCH('2019'!H$6,DataEx!$7:$7,0))</f>
        <v>4589377.4800000004</v>
      </c>
      <c r="I49" s="200">
        <f>+INDEX(DataEx!$1:$1048576,MATCH('2019'!$A49,DataEx!$D:$D,0),MATCH('2019'!I$6,DataEx!$7:$7,0))</f>
        <v>0</v>
      </c>
      <c r="J49" s="200">
        <f>+INDEX(DataEx!$1:$1048576,MATCH('2019'!$A49,DataEx!$D:$D,0),MATCH('2019'!J$6,DataEx!$7:$7,0))</f>
        <v>0</v>
      </c>
      <c r="K49" s="200">
        <f>+INDEX(DataEx!$1:$1048576,MATCH('2019'!$A49,DataEx!$D:$D,0),MATCH('2019'!K$6,DataEx!$7:$7,0))</f>
        <v>0</v>
      </c>
      <c r="L49" s="200">
        <f>+INDEX(DataEx!$1:$1048576,MATCH('2019'!$A49,DataEx!$D:$D,0),MATCH('2019'!L$6,DataEx!$7:$7,0))</f>
        <v>0</v>
      </c>
      <c r="M49" s="200">
        <f>+INDEX(DataEx!$1:$1048576,MATCH('2019'!$A49,DataEx!$D:$D,0),MATCH('2019'!M$6,DataEx!$7:$7,0))</f>
        <v>0</v>
      </c>
      <c r="N49" s="200">
        <f>+INDEX(DataEx!$1:$1048576,MATCH('2019'!$A49,DataEx!$D:$D,0),MATCH('2019'!N$6,DataEx!$7:$7,0))</f>
        <v>0</v>
      </c>
      <c r="O49" s="200">
        <f>+INDEX(DataEx!$1:$1048576,MATCH('2019'!$A49,DataEx!$D:$D,0),MATCH('2019'!O$6,DataEx!$7:$7,0))</f>
        <v>0</v>
      </c>
      <c r="P49" s="200">
        <f>+INDEX(DataEx!$1:$1048576,MATCH('2019'!$A49,DataEx!$D:$D,0),MATCH('2019'!P$6,DataEx!$7:$7,0))</f>
        <v>0</v>
      </c>
      <c r="Q49" s="200">
        <f>+INDEX(DataEx!$1:$1048576,MATCH('2019'!$A49,DataEx!$D:$D,0),MATCH('2019'!Q$6,DataEx!$7:$7,0))</f>
        <v>0</v>
      </c>
      <c r="R49" s="200">
        <f>+INDEX(DataEx!$1:$1048576,MATCH('2019'!$A49,DataEx!$D:$D,0),MATCH('2019'!R$6,DataEx!$7:$7,0))</f>
        <v>0</v>
      </c>
      <c r="S49" s="272">
        <f t="shared" si="3"/>
        <v>31417732.43</v>
      </c>
      <c r="T49" s="273">
        <f t="shared" si="4"/>
        <v>6.5609431629286225E-3</v>
      </c>
    </row>
    <row r="50" spans="1:22">
      <c r="A50" s="175">
        <v>451</v>
      </c>
      <c r="B50" s="545" t="str">
        <f>+VLOOKUP($A50,Master!$D$27:$G$225,4,FALSE)</f>
        <v>Pozajmice i krediti</v>
      </c>
      <c r="C50" s="546"/>
      <c r="D50" s="546"/>
      <c r="E50" s="546"/>
      <c r="F50" s="546"/>
      <c r="G50" s="188">
        <f>+INDEX(DataEx!$1:$1048576,MATCH('2019'!$A50,DataEx!$D:$D,0),MATCH('2019'!G$6,DataEx!$7:$7,0))</f>
        <v>0</v>
      </c>
      <c r="H50" s="188">
        <f>+INDEX(DataEx!$1:$1048576,MATCH('2019'!$A50,DataEx!$D:$D,0),MATCH('2019'!H$6,DataEx!$7:$7,0))</f>
        <v>272323.98</v>
      </c>
      <c r="I50" s="188">
        <f>+INDEX(DataEx!$1:$1048576,MATCH('2019'!$A50,DataEx!$D:$D,0),MATCH('2019'!I$6,DataEx!$7:$7,0))</f>
        <v>0</v>
      </c>
      <c r="J50" s="236">
        <f>+INDEX(DataEx!$1:$1048576,MATCH('2019'!$A50,DataEx!$D:$D,0),MATCH('2019'!J$6,DataEx!$7:$7,0))</f>
        <v>0</v>
      </c>
      <c r="K50" s="188">
        <f>+INDEX(DataEx!$1:$1048576,MATCH('2019'!$A50,DataEx!$D:$D,0),MATCH('2019'!K$6,DataEx!$7:$7,0))</f>
        <v>0</v>
      </c>
      <c r="L50" s="188">
        <f>+INDEX(DataEx!$1:$1048576,MATCH('2019'!$A50,DataEx!$D:$D,0),MATCH('2019'!L$6,DataEx!$7:$7,0))</f>
        <v>0</v>
      </c>
      <c r="M50" s="188">
        <f>+INDEX(DataEx!$1:$1048576,MATCH('2019'!$A50,DataEx!$D:$D,0),MATCH('2019'!M$6,DataEx!$7:$7,0))</f>
        <v>0</v>
      </c>
      <c r="N50" s="188">
        <f>+INDEX(DataEx!$1:$1048576,MATCH('2019'!$A50,DataEx!$D:$D,0),MATCH('2019'!N$6,DataEx!$7:$7,0))</f>
        <v>0</v>
      </c>
      <c r="O50" s="188">
        <f>+INDEX(DataEx!$1:$1048576,MATCH('2019'!$A50,DataEx!$D:$D,0),MATCH('2019'!O$6,DataEx!$7:$7,0))</f>
        <v>0</v>
      </c>
      <c r="P50" s="188">
        <f>+INDEX(DataEx!$1:$1048576,MATCH('2019'!$A50,DataEx!$D:$D,0),MATCH('2019'!P$6,DataEx!$7:$7,0))</f>
        <v>0</v>
      </c>
      <c r="Q50" s="188">
        <f>+INDEX(DataEx!$1:$1048576,MATCH('2019'!$A50,DataEx!$D:$D,0),MATCH('2019'!Q$6,DataEx!$7:$7,0))</f>
        <v>0</v>
      </c>
      <c r="R50" s="188">
        <f>+INDEX(DataEx!$1:$1048576,MATCH('2019'!$A50,DataEx!$D:$D,0),MATCH('2019'!R$6,DataEx!$7:$7,0))</f>
        <v>0</v>
      </c>
      <c r="S50" s="269">
        <f t="shared" si="3"/>
        <v>272323.98</v>
      </c>
      <c r="T50" s="270">
        <f t="shared" si="4"/>
        <v>5.6869226913920556E-5</v>
      </c>
    </row>
    <row r="51" spans="1:22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f>+INDEX(DataEx!$1:$1048576,MATCH('2019'!$A51,DataEx!$D:$D,0),MATCH('2019'!G$6,DataEx!$7:$7,0))</f>
        <v>0</v>
      </c>
      <c r="H51" s="188">
        <f>+INDEX(DataEx!$1:$1048576,MATCH('2019'!$A51,DataEx!$D:$D,0),MATCH('2019'!H$6,DataEx!$7:$7,0))</f>
        <v>1952871.71</v>
      </c>
      <c r="I51" s="188">
        <f>+INDEX(DataEx!$1:$1048576,MATCH('2019'!$A51,DataEx!$D:$D,0),MATCH('2019'!I$6,DataEx!$7:$7,0))</f>
        <v>0</v>
      </c>
      <c r="J51" s="236">
        <f>+INDEX(DataEx!$1:$1048576,MATCH('2019'!$A51,DataEx!$D:$D,0),MATCH('2019'!J$6,DataEx!$7:$7,0))</f>
        <v>0</v>
      </c>
      <c r="K51" s="188">
        <f>+INDEX(DataEx!$1:$1048576,MATCH('2019'!$A51,DataEx!$D:$D,0),MATCH('2019'!K$6,DataEx!$7:$7,0))</f>
        <v>0</v>
      </c>
      <c r="L51" s="188">
        <f>+INDEX(DataEx!$1:$1048576,MATCH('2019'!$A51,DataEx!$D:$D,0),MATCH('2019'!L$6,DataEx!$7:$7,0))</f>
        <v>0</v>
      </c>
      <c r="M51" s="188">
        <f>+INDEX(DataEx!$1:$1048576,MATCH('2019'!$A51,DataEx!$D:$D,0),MATCH('2019'!M$6,DataEx!$7:$7,0))</f>
        <v>0</v>
      </c>
      <c r="N51" s="188">
        <f>+INDEX(DataEx!$1:$1048576,MATCH('2019'!$A51,DataEx!$D:$D,0),MATCH('2019'!N$6,DataEx!$7:$7,0))</f>
        <v>0</v>
      </c>
      <c r="O51" s="188">
        <f>+INDEX(DataEx!$1:$1048576,MATCH('2019'!$A51,DataEx!$D:$D,0),MATCH('2019'!O$6,DataEx!$7:$7,0))</f>
        <v>0</v>
      </c>
      <c r="P51" s="188">
        <f>+INDEX(DataEx!$1:$1048576,MATCH('2019'!$A51,DataEx!$D:$D,0),MATCH('2019'!P$6,DataEx!$7:$7,0))</f>
        <v>0</v>
      </c>
      <c r="Q51" s="188">
        <f>+INDEX(DataEx!$1:$1048576,MATCH('2019'!$A51,DataEx!$D:$D,0),MATCH('2019'!Q$6,DataEx!$7:$7,0))</f>
        <v>0</v>
      </c>
      <c r="R51" s="188">
        <f>+INDEX(DataEx!$1:$1048576,MATCH('2019'!$A51,DataEx!$D:$D,0),MATCH('2019'!R$6,DataEx!$7:$7,0))</f>
        <v>0</v>
      </c>
      <c r="S51" s="269">
        <f t="shared" si="3"/>
        <v>1952871.71</v>
      </c>
      <c r="T51" s="270">
        <f t="shared" si="4"/>
        <v>4.0781683790669506E-4</v>
      </c>
    </row>
    <row r="52" spans="1:22" ht="13.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224">
        <f>+INDEX(DataEx!$1:$1048576,MATCH('2019'!$A52,DataEx!$D:$D,0),MATCH('2019'!G$6,DataEx!$7:$7,0))</f>
        <v>2253720.0299999998</v>
      </c>
      <c r="H52" s="224">
        <f>+INDEX(DataEx!$1:$1048576,MATCH('2019'!$A52,DataEx!$D:$D,0),MATCH('2019'!H$6,DataEx!$7:$7,0))</f>
        <v>494.04</v>
      </c>
      <c r="I52" s="224">
        <f>+INDEX(DataEx!$1:$1048576,MATCH('2019'!$A52,DataEx!$D:$D,0),MATCH('2019'!I$6,DataEx!$7:$7,0))</f>
        <v>0</v>
      </c>
      <c r="J52" s="224">
        <f>+INDEX(DataEx!$1:$1048576,MATCH('2019'!$A52,DataEx!$D:$D,0),MATCH('2019'!J$6,DataEx!$7:$7,0))</f>
        <v>0</v>
      </c>
      <c r="K52" s="224">
        <f>+INDEX(DataEx!$1:$1048576,MATCH('2019'!$A52,DataEx!$D:$D,0),MATCH('2019'!K$6,DataEx!$7:$7,0))</f>
        <v>0</v>
      </c>
      <c r="L52" s="224">
        <f>+INDEX(DataEx!$1:$1048576,MATCH('2019'!$A52,DataEx!$D:$D,0),MATCH('2019'!L$6,DataEx!$7:$7,0))</f>
        <v>0</v>
      </c>
      <c r="M52" s="224">
        <f>+INDEX(DataEx!$1:$1048576,MATCH('2019'!$A52,DataEx!$D:$D,0),MATCH('2019'!M$6,DataEx!$7:$7,0))</f>
        <v>0</v>
      </c>
      <c r="N52" s="224">
        <f>+INDEX(DataEx!$1:$1048576,MATCH('2019'!$A52,DataEx!$D:$D,0),MATCH('2019'!N$6,DataEx!$7:$7,0))</f>
        <v>0</v>
      </c>
      <c r="O52" s="224">
        <f>+INDEX(DataEx!$1:$1048576,MATCH('2019'!$A52,DataEx!$D:$D,0),MATCH('2019'!O$6,DataEx!$7:$7,0))</f>
        <v>0</v>
      </c>
      <c r="P52" s="224">
        <f>+INDEX(DataEx!$1:$1048576,MATCH('2019'!$A52,DataEx!$D:$D,0),MATCH('2019'!P$6,DataEx!$7:$7,0))</f>
        <v>0</v>
      </c>
      <c r="Q52" s="224">
        <f>+INDEX(DataEx!$1:$1048576,MATCH('2019'!$A52,DataEx!$D:$D,0),MATCH('2019'!Q$6,DataEx!$7:$7,0))</f>
        <v>0</v>
      </c>
      <c r="R52" s="224">
        <f>+INDEX(DataEx!$1:$1048576,MATCH('2019'!$A52,DataEx!$D:$D,0),MATCH('2019'!R$6,DataEx!$7:$7,0))</f>
        <v>0</v>
      </c>
      <c r="S52" s="269">
        <f t="shared" si="3"/>
        <v>2254214.0699999998</v>
      </c>
      <c r="T52" s="284">
        <f t="shared" si="4"/>
        <v>4.7074595288810925E-4</v>
      </c>
      <c r="U52" s="366"/>
    </row>
    <row r="53" spans="1:22" ht="13.5" thickBot="1">
      <c r="A53" s="169">
        <v>4630</v>
      </c>
      <c r="B53" s="547" t="str">
        <f>+VLOOKUP($A53,Master!$D$27:$G$225,4,TRUE)</f>
        <v>Otplata obaveza iz prethodnih godina</v>
      </c>
      <c r="C53" s="548"/>
      <c r="D53" s="548"/>
      <c r="E53" s="548"/>
      <c r="F53" s="548"/>
      <c r="G53" s="224">
        <f>+INDEX(DataEx!$1:$1048576,MATCH('2019'!$A53,DataEx!$D:$D,0),MATCH('2019'!G$6,DataEx!$7:$7,0))</f>
        <v>1205053.3500000001</v>
      </c>
      <c r="H53" s="224">
        <f>+INDEX(DataEx!$1:$1048576,MATCH('2019'!$A53,DataEx!$D:$D,0),MATCH('2019'!H$6,DataEx!$7:$7,0))</f>
        <v>581258.80000000005</v>
      </c>
      <c r="I53" s="224">
        <f>+INDEX(DataEx!$1:$1048576,MATCH('2019'!$A53,DataEx!$D:$D,0),MATCH('2019'!I$6,DataEx!$7:$7,0))</f>
        <v>0</v>
      </c>
      <c r="J53" s="224">
        <f>+INDEX(DataEx!$1:$1048576,MATCH('2019'!$A53,DataEx!$D:$D,0),MATCH('2019'!J$6,DataEx!$7:$7,0))</f>
        <v>0</v>
      </c>
      <c r="K53" s="224">
        <f>+INDEX(DataEx!$1:$1048576,MATCH('2019'!$A53,DataEx!$D:$D,0),MATCH('2019'!K$6,DataEx!$7:$7,0))</f>
        <v>0</v>
      </c>
      <c r="L53" s="224">
        <f>+INDEX(DataEx!$1:$1048576,MATCH('2019'!$A53,DataEx!$D:$D,0),MATCH('2019'!L$6,DataEx!$7:$7,0))</f>
        <v>0</v>
      </c>
      <c r="M53" s="224">
        <f>+INDEX(DataEx!$1:$1048576,MATCH('2019'!$A53,DataEx!$D:$D,0),MATCH('2019'!M$6,DataEx!$7:$7,0))</f>
        <v>0</v>
      </c>
      <c r="N53" s="224">
        <f>+INDEX(DataEx!$1:$1048576,MATCH('2019'!$A53,DataEx!$D:$D,0),MATCH('2019'!N$6,DataEx!$7:$7,0))</f>
        <v>0</v>
      </c>
      <c r="O53" s="224">
        <f>+INDEX(DataEx!$1:$1048576,MATCH('2019'!$A53,DataEx!$D:$D,0),MATCH('2019'!O$6,DataEx!$7:$7,0))</f>
        <v>0</v>
      </c>
      <c r="P53" s="224">
        <f>+INDEX(DataEx!$1:$1048576,MATCH('2019'!$A53,DataEx!$D:$D,0),MATCH('2019'!P$6,DataEx!$7:$7,0))</f>
        <v>0</v>
      </c>
      <c r="Q53" s="224">
        <f>+INDEX(DataEx!$1:$1048576,MATCH('2019'!$A53,DataEx!$D:$D,0),MATCH('2019'!Q$6,DataEx!$7:$7,0))</f>
        <v>0</v>
      </c>
      <c r="R53" s="224">
        <f>+INDEX(DataEx!$1:$1048576,MATCH('2019'!$A53,DataEx!$D:$D,0),MATCH('2019'!R$6,DataEx!$7:$7,0))</f>
        <v>0</v>
      </c>
      <c r="S53" s="433">
        <f>+SUM(G53:R53)</f>
        <v>1786312.1500000001</v>
      </c>
      <c r="T53" s="284">
        <f>+S53/$T$7</f>
        <v>3.730343210959362E-4</v>
      </c>
    </row>
    <row r="54" spans="1:22" ht="13.5" thickBot="1">
      <c r="A54" s="71">
        <v>1005</v>
      </c>
      <c r="B54" s="549" t="str">
        <f>+VLOOKUP($A54,Master!$D$27:$G$227,4,FALSE)</f>
        <v>Neto povećanje obaveza</v>
      </c>
      <c r="C54" s="550"/>
      <c r="D54" s="550"/>
      <c r="E54" s="550"/>
      <c r="F54" s="550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236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4" t="str">
        <f>+VLOOKUP($A55,Master!$D$27:$G$225,4,FALSE)</f>
        <v>Suficit / deficit</v>
      </c>
      <c r="C55" s="475"/>
      <c r="D55" s="475"/>
      <c r="E55" s="475"/>
      <c r="F55" s="475"/>
      <c r="G55" s="176">
        <f t="shared" ref="G55:R55" si="9">+G10-G29</f>
        <v>-32419839.220000029</v>
      </c>
      <c r="H55" s="176">
        <f t="shared" si="9"/>
        <v>-11186006.100000024</v>
      </c>
      <c r="I55" s="176">
        <f t="shared" si="9"/>
        <v>0</v>
      </c>
      <c r="J55" s="176">
        <f t="shared" si="9"/>
        <v>0</v>
      </c>
      <c r="K55" s="176">
        <f t="shared" si="9"/>
        <v>0</v>
      </c>
      <c r="L55" s="176">
        <f t="shared" si="9"/>
        <v>0</v>
      </c>
      <c r="M55" s="176">
        <f t="shared" si="9"/>
        <v>0</v>
      </c>
      <c r="N55" s="176">
        <f t="shared" si="9"/>
        <v>0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-43605845.320000052</v>
      </c>
      <c r="T55" s="286">
        <f t="shared" si="4"/>
        <v>-9.1061782817525062E-3</v>
      </c>
    </row>
    <row r="56" spans="1:22" ht="13.5" thickBot="1">
      <c r="A56" s="169">
        <v>1001</v>
      </c>
      <c r="B56" s="476" t="str">
        <f>+VLOOKUP($A56,Master!$D$27:$G$225,4,FALSE)</f>
        <v>Primarni bilans</v>
      </c>
      <c r="C56" s="477"/>
      <c r="D56" s="477"/>
      <c r="E56" s="477"/>
      <c r="F56" s="477"/>
      <c r="G56" s="230">
        <f>+G55+G37</f>
        <v>-26286785.16000003</v>
      </c>
      <c r="H56" s="230">
        <f t="shared" ref="H56:R56" si="10">+H55+H37</f>
        <v>-10363677.470000023</v>
      </c>
      <c r="I56" s="230">
        <f t="shared" si="10"/>
        <v>0</v>
      </c>
      <c r="J56" s="230">
        <f t="shared" si="10"/>
        <v>0</v>
      </c>
      <c r="K56" s="230">
        <f t="shared" si="10"/>
        <v>0</v>
      </c>
      <c r="L56" s="230">
        <f t="shared" si="10"/>
        <v>0</v>
      </c>
      <c r="M56" s="230">
        <f t="shared" si="10"/>
        <v>0</v>
      </c>
      <c r="N56" s="230">
        <f t="shared" si="10"/>
        <v>0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-36650462.630000055</v>
      </c>
      <c r="T56" s="286">
        <f t="shared" si="4"/>
        <v>-7.6536905630038123E-3</v>
      </c>
    </row>
    <row r="57" spans="1:22">
      <c r="A57" s="169">
        <v>46</v>
      </c>
      <c r="B57" s="543" t="str">
        <f>+VLOOKUP($A57,Master!$D$27:$G$225,4,FALSE)</f>
        <v>Otplata dugova</v>
      </c>
      <c r="C57" s="544"/>
      <c r="D57" s="544"/>
      <c r="E57" s="544"/>
      <c r="F57" s="544"/>
      <c r="G57" s="218">
        <f t="shared" ref="G57:R57" si="11">+SUM(G58:G59)</f>
        <v>19518367.399999999</v>
      </c>
      <c r="H57" s="218">
        <f t="shared" si="11"/>
        <v>67365423.120000005</v>
      </c>
      <c r="I57" s="218">
        <f t="shared" si="11"/>
        <v>0</v>
      </c>
      <c r="J57" s="200">
        <f t="shared" si="11"/>
        <v>0</v>
      </c>
      <c r="K57" s="218">
        <f t="shared" si="11"/>
        <v>0</v>
      </c>
      <c r="L57" s="218">
        <f t="shared" si="11"/>
        <v>0</v>
      </c>
      <c r="M57" s="218">
        <f t="shared" si="11"/>
        <v>0</v>
      </c>
      <c r="N57" s="218">
        <f t="shared" si="11"/>
        <v>0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86883790.520000011</v>
      </c>
      <c r="T57" s="288">
        <f t="shared" si="4"/>
        <v>1.8143881410015456E-2</v>
      </c>
      <c r="V57" s="383"/>
    </row>
    <row r="58" spans="1:22">
      <c r="A58" s="169">
        <v>4611</v>
      </c>
      <c r="B58" s="466" t="str">
        <f>+VLOOKUP($A58,Master!$D$27:$G$225,4,FALSE)</f>
        <v>Otplata hartija od vrijednosti i kredita rezidentima</v>
      </c>
      <c r="C58" s="467"/>
      <c r="D58" s="467"/>
      <c r="E58" s="467"/>
      <c r="F58" s="467"/>
      <c r="G58" s="236">
        <f>+INDEX(DataEx!$1:$1048576,MATCH('2019'!$A58,DataEx!$D:$D,0),MATCH('2019'!G$6,DataEx!$7:$7,0))</f>
        <v>18084948.579999998</v>
      </c>
      <c r="H58" s="236">
        <f>+INDEX(DataEx!$1:$1048576,MATCH('2019'!$A58,DataEx!$D:$D,0),MATCH('2019'!H$6,DataEx!$7:$7,0))</f>
        <v>64835364.859999999</v>
      </c>
      <c r="I58" s="236">
        <f>+INDEX(DataEx!$1:$1048576,MATCH('2019'!$A58,DataEx!$D:$D,0),MATCH('2019'!I$6,DataEx!$7:$7,0))</f>
        <v>0</v>
      </c>
      <c r="J58" s="236">
        <f>+INDEX(DataEx!$1:$1048576,MATCH('2019'!$A58,DataEx!$D:$D,0),MATCH('2019'!J$6,DataEx!$7:$7,0))</f>
        <v>0</v>
      </c>
      <c r="K58" s="236">
        <f>+INDEX(DataEx!$1:$1048576,MATCH('2019'!$A58,DataEx!$D:$D,0),MATCH('2019'!K$6,DataEx!$7:$7,0))</f>
        <v>0</v>
      </c>
      <c r="L58" s="236">
        <f>+INDEX(DataEx!$1:$1048576,MATCH('2019'!$A58,DataEx!$D:$D,0),MATCH('2019'!L$6,DataEx!$7:$7,0))</f>
        <v>0</v>
      </c>
      <c r="M58" s="236">
        <f>+INDEX(DataEx!$1:$1048576,MATCH('2019'!$A58,DataEx!$D:$D,0),MATCH('2019'!M$6,DataEx!$7:$7,0))</f>
        <v>0</v>
      </c>
      <c r="N58" s="236">
        <f>+INDEX(DataEx!$1:$1048576,MATCH('2019'!$A58,DataEx!$D:$D,0),MATCH('2019'!N$6,DataEx!$7:$7,0))</f>
        <v>0</v>
      </c>
      <c r="O58" s="236">
        <f>+INDEX(DataEx!$1:$1048576,MATCH('2019'!$A58,DataEx!$D:$D,0),MATCH('2019'!O$6,DataEx!$7:$7,0))</f>
        <v>0</v>
      </c>
      <c r="P58" s="236">
        <f>+INDEX(DataEx!$1:$1048576,MATCH('2019'!$A58,DataEx!$D:$D,0),MATCH('2019'!P$6,DataEx!$7:$7,0))</f>
        <v>0</v>
      </c>
      <c r="Q58" s="236">
        <f>+INDEX(DataEx!$1:$1048576,MATCH('2019'!$A58,DataEx!$D:$D,0),MATCH('2019'!Q$6,DataEx!$7:$7,0))</f>
        <v>0</v>
      </c>
      <c r="R58" s="236">
        <f>+INDEX(DataEx!$1:$1048576,MATCH('2019'!$A58,DataEx!$D:$D,0),MATCH('2019'!R$6,DataEx!$7:$7,0))</f>
        <v>0</v>
      </c>
      <c r="S58" s="289">
        <f t="shared" si="3"/>
        <v>82920313.439999998</v>
      </c>
      <c r="T58" s="290">
        <f t="shared" si="4"/>
        <v>1.7316191254228792E-2</v>
      </c>
    </row>
    <row r="59" spans="1:22" ht="13.5" thickBot="1">
      <c r="A59" s="169">
        <v>4612</v>
      </c>
      <c r="B59" s="450" t="str">
        <f>+VLOOKUP($A59,Master!$D$27:$G$225,4,FALSE)</f>
        <v>Otplata hartija od vrijednosti i kredita nerezidentima</v>
      </c>
      <c r="C59" s="451"/>
      <c r="D59" s="451"/>
      <c r="E59" s="451"/>
      <c r="F59" s="451"/>
      <c r="G59" s="236">
        <f>+INDEX(DataEx!$1:$1048576,MATCH('2019'!$A59,DataEx!$D:$D,0),MATCH('2019'!G$6,DataEx!$7:$7,0))</f>
        <v>1433418.82</v>
      </c>
      <c r="H59" s="236">
        <f>+INDEX(DataEx!$1:$1048576,MATCH('2019'!$A59,DataEx!$D:$D,0),MATCH('2019'!H$6,DataEx!$7:$7,0))</f>
        <v>2530058.2599999998</v>
      </c>
      <c r="I59" s="236">
        <f>+INDEX(DataEx!$1:$1048576,MATCH('2019'!$A59,DataEx!$D:$D,0),MATCH('2019'!I$6,DataEx!$7:$7,0))</f>
        <v>0</v>
      </c>
      <c r="J59" s="236">
        <f>+INDEX(DataEx!$1:$1048576,MATCH('2019'!$A59,DataEx!$D:$D,0),MATCH('2019'!J$6,DataEx!$7:$7,0))</f>
        <v>0</v>
      </c>
      <c r="K59" s="236">
        <f>+INDEX(DataEx!$1:$1048576,MATCH('2019'!$A59,DataEx!$D:$D,0),MATCH('2019'!K$6,DataEx!$7:$7,0))</f>
        <v>0</v>
      </c>
      <c r="L59" s="236">
        <f>+INDEX(DataEx!$1:$1048576,MATCH('2019'!$A59,DataEx!$D:$D,0),MATCH('2019'!L$6,DataEx!$7:$7,0))</f>
        <v>0</v>
      </c>
      <c r="M59" s="236">
        <f>+INDEX(DataEx!$1:$1048576,MATCH('2019'!$A59,DataEx!$D:$D,0),MATCH('2019'!M$6,DataEx!$7:$7,0))</f>
        <v>0</v>
      </c>
      <c r="N59" s="236">
        <f>+INDEX(DataEx!$1:$1048576,MATCH('2019'!$A59,DataEx!$D:$D,0),MATCH('2019'!N$6,DataEx!$7:$7,0))</f>
        <v>0</v>
      </c>
      <c r="O59" s="236">
        <f>+INDEX(DataEx!$1:$1048576,MATCH('2019'!$A59,DataEx!$D:$D,0),MATCH('2019'!O$6,DataEx!$7:$7,0))</f>
        <v>0</v>
      </c>
      <c r="P59" s="236">
        <f>+INDEX(DataEx!$1:$1048576,MATCH('2019'!$A59,DataEx!$D:$D,0),MATCH('2019'!P$6,DataEx!$7:$7,0))</f>
        <v>0</v>
      </c>
      <c r="Q59" s="236">
        <f>+INDEX(DataEx!$1:$1048576,MATCH('2019'!$A59,DataEx!$D:$D,0),MATCH('2019'!Q$6,DataEx!$7:$7,0))</f>
        <v>0</v>
      </c>
      <c r="R59" s="236">
        <f>+INDEX(DataEx!$1:$1048576,MATCH('2019'!$A59,DataEx!$D:$D,0),MATCH('2019'!R$6,DataEx!$7:$7,0))</f>
        <v>0</v>
      </c>
      <c r="S59" s="289">
        <f t="shared" si="3"/>
        <v>3963477.08</v>
      </c>
      <c r="T59" s="290">
        <f t="shared" si="4"/>
        <v>8.2769015578666001E-4</v>
      </c>
      <c r="V59" s="395"/>
    </row>
    <row r="60" spans="1:22" ht="13.5" thickBot="1">
      <c r="A60" s="169">
        <v>4418</v>
      </c>
      <c r="B60" s="486" t="s">
        <v>340</v>
      </c>
      <c r="C60" s="487"/>
      <c r="D60" s="487"/>
      <c r="E60" s="487"/>
      <c r="F60" s="487"/>
      <c r="G60" s="218">
        <f>+INDEX(DataEx!$1:$1048576,MATCH('2019'!$A60,DataEx!$D:$D,0),MATCH('2019'!G$6,DataEx!$7:$7,0))</f>
        <v>0</v>
      </c>
      <c r="H60" s="218">
        <f>+INDEX(DataEx!$1:$1048576,MATCH('2019'!$A60,DataEx!$D:$D,0),MATCH('2019'!H$6,DataEx!$7:$7,0))</f>
        <v>0</v>
      </c>
      <c r="I60" s="218">
        <f>+INDEX(DataEx!$1:$1048576,MATCH('2019'!$A60,DataEx!$D:$D,0),MATCH('2019'!I$6,DataEx!$7:$7,0))</f>
        <v>0</v>
      </c>
      <c r="J60" s="218">
        <f>+INDEX(DataEx!$1:$1048576,MATCH('2019'!$A60,DataEx!$D:$D,0),MATCH('2019'!J$6,DataEx!$7:$7,0))</f>
        <v>0</v>
      </c>
      <c r="K60" s="218">
        <f>+INDEX(DataEx!$1:$1048576,MATCH('2019'!$A60,DataEx!$D:$D,0),MATCH('2019'!K$6,DataEx!$7:$7,0))</f>
        <v>0</v>
      </c>
      <c r="L60" s="218">
        <f>+INDEX(DataEx!$1:$1048576,MATCH('2019'!$A60,DataEx!$D:$D,0),MATCH('2019'!L$6,DataEx!$7:$7,0))</f>
        <v>0</v>
      </c>
      <c r="M60" s="218">
        <f>+INDEX(DataEx!$1:$1048576,MATCH('2019'!$A60,DataEx!$D:$D,0),MATCH('2019'!M$6,DataEx!$7:$7,0))</f>
        <v>0</v>
      </c>
      <c r="N60" s="218">
        <f>+INDEX(DataEx!$1:$1048576,MATCH('2019'!$A60,DataEx!$D:$D,0),MATCH('2019'!N$6,DataEx!$7:$7,0))</f>
        <v>0</v>
      </c>
      <c r="O60" s="218">
        <f>+INDEX(DataEx!$1:$1048576,MATCH('2019'!$A60,DataEx!$D:$D,0),MATCH('2019'!O$6,DataEx!$7:$7,0))</f>
        <v>0</v>
      </c>
      <c r="P60" s="218">
        <f>+INDEX(DataEx!$1:$1048576,MATCH('2019'!$A60,DataEx!$D:$D,0),MATCH('2019'!P$6,DataEx!$7:$7,0))</f>
        <v>0</v>
      </c>
      <c r="Q60" s="218">
        <f>+INDEX(DataEx!$1:$1048576,MATCH('2019'!$A60,DataEx!$D:$D,0),MATCH('2019'!Q$6,DataEx!$7:$7,0))</f>
        <v>0</v>
      </c>
      <c r="R60" s="218">
        <f>+INDEX(DataEx!$1:$1048576,MATCH('2019'!$A60,DataEx!$D:$D,0),MATCH('2019'!R$6,DataEx!$7:$7,0))</f>
        <v>0</v>
      </c>
      <c r="S60" s="287">
        <f>SUM(G60:R60)</f>
        <v>0</v>
      </c>
      <c r="T60" s="288">
        <f>+S60/$T$7</f>
        <v>0</v>
      </c>
      <c r="V60" s="395"/>
    </row>
    <row r="61" spans="1:22" ht="13.5" thickBot="1">
      <c r="A61" s="169">
        <v>1002</v>
      </c>
      <c r="B61" s="470" t="str">
        <f>+VLOOKUP($A61,Master!$D$27:$G$225,4,FALSE)</f>
        <v>Nedostajuća sredstva</v>
      </c>
      <c r="C61" s="471"/>
      <c r="D61" s="471"/>
      <c r="E61" s="471"/>
      <c r="F61" s="471"/>
      <c r="G61" s="242">
        <f>+G55-G57-G60</f>
        <v>-51938206.620000027</v>
      </c>
      <c r="H61" s="242">
        <f t="shared" ref="H61:R61" si="12">+H55-H57-H60</f>
        <v>-78551429.220000029</v>
      </c>
      <c r="I61" s="242">
        <f t="shared" si="12"/>
        <v>0</v>
      </c>
      <c r="J61" s="242">
        <f t="shared" si="12"/>
        <v>0</v>
      </c>
      <c r="K61" s="242">
        <f t="shared" si="12"/>
        <v>0</v>
      </c>
      <c r="L61" s="242">
        <f t="shared" si="12"/>
        <v>0</v>
      </c>
      <c r="M61" s="242">
        <f t="shared" si="12"/>
        <v>0</v>
      </c>
      <c r="N61" s="242">
        <f t="shared" si="12"/>
        <v>0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>+SUM(G61:R61)</f>
        <v>-130489635.84000006</v>
      </c>
      <c r="T61" s="292">
        <f t="shared" si="4"/>
        <v>-2.7250059691767962E-2</v>
      </c>
    </row>
    <row r="62" spans="1:22" ht="13.5" thickBot="1">
      <c r="A62" s="169">
        <v>1003</v>
      </c>
      <c r="B62" s="472" t="str">
        <f>+VLOOKUP($A62,Master!$D$27:$G$225,4,FALSE)</f>
        <v>Finansiranje</v>
      </c>
      <c r="C62" s="473"/>
      <c r="D62" s="473"/>
      <c r="E62" s="473"/>
      <c r="F62" s="473"/>
      <c r="G62" s="176">
        <f>+SUM(G63:G66)</f>
        <v>51938206.620000027</v>
      </c>
      <c r="H62" s="176">
        <f t="shared" ref="H62:R62" si="13">+SUM(H63:H66)</f>
        <v>78551429.220000029</v>
      </c>
      <c r="I62" s="176">
        <f t="shared" si="13"/>
        <v>0</v>
      </c>
      <c r="J62" s="176">
        <f t="shared" si="13"/>
        <v>0</v>
      </c>
      <c r="K62" s="176">
        <f t="shared" si="13"/>
        <v>0</v>
      </c>
      <c r="L62" s="176">
        <f t="shared" si="13"/>
        <v>0</v>
      </c>
      <c r="M62" s="176">
        <f t="shared" si="13"/>
        <v>0</v>
      </c>
      <c r="N62" s="176">
        <f t="shared" si="13"/>
        <v>0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>+SUM(G62:R62)</f>
        <v>130489635.84000006</v>
      </c>
      <c r="T62" s="294">
        <f t="shared" si="4"/>
        <v>2.7250059691767962E-2</v>
      </c>
    </row>
    <row r="63" spans="1:22">
      <c r="A63" s="169">
        <v>7511</v>
      </c>
      <c r="B63" s="466" t="str">
        <f>+VLOOKUP($A63,Master!$D$27:$G$225,4,FALSE)</f>
        <v>Pozajmice i krediti od domaćih izvora</v>
      </c>
      <c r="C63" s="467"/>
      <c r="D63" s="467"/>
      <c r="E63" s="467"/>
      <c r="F63" s="467"/>
      <c r="G63" s="236">
        <f>+INDEX(DataEx!$1:$1048576,MATCH('2019'!$A63,DataEx!$D:$D,0),MATCH('2019'!G$6,DataEx!$7:$7,0))</f>
        <v>18000000</v>
      </c>
      <c r="H63" s="236">
        <f>+INDEX(DataEx!$1:$1048576,MATCH('2019'!$A63,DataEx!$D:$D,0),MATCH('2019'!H$6,DataEx!$7:$7,0))</f>
        <v>54000000</v>
      </c>
      <c r="I63" s="236">
        <f>+INDEX(DataEx!$1:$1048576,MATCH('2019'!$A63,DataEx!$D:$D,0),MATCH('2019'!I$6,DataEx!$7:$7,0))</f>
        <v>0</v>
      </c>
      <c r="J63" s="236">
        <f>+INDEX(DataEx!$1:$1048576,MATCH('2019'!$A63,DataEx!$D:$D,0),MATCH('2019'!J$6,DataEx!$7:$7,0))</f>
        <v>0</v>
      </c>
      <c r="K63" s="236">
        <f>+INDEX(DataEx!$1:$1048576,MATCH('2019'!$A63,DataEx!$D:$D,0),MATCH('2019'!K$6,DataEx!$7:$7,0))</f>
        <v>0</v>
      </c>
      <c r="L63" s="236">
        <f>+INDEX(DataEx!$1:$1048576,MATCH('2019'!$A63,DataEx!$D:$D,0),MATCH('2019'!L$6,DataEx!$7:$7,0))</f>
        <v>0</v>
      </c>
      <c r="M63" s="236">
        <f>+INDEX(DataEx!$1:$1048576,MATCH('2019'!$A63,DataEx!$D:$D,0),MATCH('2019'!M$6,DataEx!$7:$7,0))</f>
        <v>0</v>
      </c>
      <c r="N63" s="236">
        <f>+INDEX(DataEx!$1:$1048576,MATCH('2019'!$A63,DataEx!$D:$D,0),MATCH('2019'!N$6,DataEx!$7:$7,0))</f>
        <v>0</v>
      </c>
      <c r="O63" s="236">
        <f>+INDEX(DataEx!$1:$1048576,MATCH('2019'!$A63,DataEx!$D:$D,0),MATCH('2019'!O$6,DataEx!$7:$7,0))</f>
        <v>0</v>
      </c>
      <c r="P63" s="236">
        <f>+INDEX(DataEx!$1:$1048576,MATCH('2019'!$A63,DataEx!$D:$D,0),MATCH('2019'!P$6,DataEx!$7:$7,0))</f>
        <v>0</v>
      </c>
      <c r="Q63" s="236">
        <f>+INDEX(DataEx!$1:$1048576,MATCH('2019'!$A63,DataEx!$D:$D,0),MATCH('2019'!Q$6,DataEx!$7:$7,0))</f>
        <v>0</v>
      </c>
      <c r="R63" s="236">
        <f>+INDEX(DataEx!$1:$1048576,MATCH('2019'!$A63,DataEx!$D:$D,0),MATCH('2019'!R$6,DataEx!$7:$7,0))</f>
        <v>0</v>
      </c>
      <c r="S63" s="289">
        <f t="shared" si="3"/>
        <v>72000000</v>
      </c>
      <c r="T63" s="290">
        <f t="shared" si="4"/>
        <v>1.5035709810800652E-2</v>
      </c>
    </row>
    <row r="64" spans="1:22">
      <c r="A64" s="169">
        <v>7512</v>
      </c>
      <c r="B64" s="450" t="str">
        <f>+VLOOKUP($A64,Master!$D$27:$G$225,4,FALSE)</f>
        <v>Pozajmice i krediti od inostranih izvora</v>
      </c>
      <c r="C64" s="451"/>
      <c r="D64" s="451"/>
      <c r="E64" s="451"/>
      <c r="F64" s="451"/>
      <c r="G64" s="236">
        <f>+INDEX(DataEx!$1:$1048576,MATCH('2019'!$A64,DataEx!$D:$D,0),MATCH('2019'!G$6,DataEx!$7:$7,0))</f>
        <v>25745826.41</v>
      </c>
      <c r="H64" s="236">
        <f>+INDEX(DataEx!$1:$1048576,MATCH('2019'!$A64,DataEx!$D:$D,0),MATCH('2019'!H$6,DataEx!$7:$7,0))</f>
        <v>1491277.56</v>
      </c>
      <c r="I64" s="236">
        <f>+INDEX(DataEx!$1:$1048576,MATCH('2019'!$A64,DataEx!$D:$D,0),MATCH('2019'!I$6,DataEx!$7:$7,0))</f>
        <v>0</v>
      </c>
      <c r="J64" s="236">
        <f>+INDEX(DataEx!$1:$1048576,MATCH('2019'!$A64,DataEx!$D:$D,0),MATCH('2019'!J$6,DataEx!$7:$7,0))</f>
        <v>0</v>
      </c>
      <c r="K64" s="236">
        <f>+INDEX(DataEx!$1:$1048576,MATCH('2019'!$A64,DataEx!$D:$D,0),MATCH('2019'!K$6,DataEx!$7:$7,0))</f>
        <v>0</v>
      </c>
      <c r="L64" s="236">
        <f>+INDEX(DataEx!$1:$1048576,MATCH('2019'!$A64,DataEx!$D:$D,0),MATCH('2019'!L$6,DataEx!$7:$7,0))</f>
        <v>0</v>
      </c>
      <c r="M64" s="236">
        <f>+INDEX(DataEx!$1:$1048576,MATCH('2019'!$A64,DataEx!$D:$D,0),MATCH('2019'!M$6,DataEx!$7:$7,0))</f>
        <v>0</v>
      </c>
      <c r="N64" s="236">
        <f>+INDEX(DataEx!$1:$1048576,MATCH('2019'!$A64,DataEx!$D:$D,0),MATCH('2019'!N$6,DataEx!$7:$7,0))</f>
        <v>0</v>
      </c>
      <c r="O64" s="236">
        <f>+INDEX(DataEx!$1:$1048576,MATCH('2019'!$A64,DataEx!$D:$D,0),MATCH('2019'!O$6,DataEx!$7:$7,0))</f>
        <v>0</v>
      </c>
      <c r="P64" s="236">
        <f>+INDEX(DataEx!$1:$1048576,MATCH('2019'!$A64,DataEx!$D:$D,0),MATCH('2019'!P$6,DataEx!$7:$7,0))</f>
        <v>0</v>
      </c>
      <c r="Q64" s="236">
        <f>+INDEX(DataEx!$1:$1048576,MATCH('2019'!$A64,DataEx!$D:$D,0),MATCH('2019'!Q$6,DataEx!$7:$7,0))</f>
        <v>0</v>
      </c>
      <c r="R64" s="236">
        <f>+INDEX(DataEx!$1:$1048576,MATCH('2019'!$A64,DataEx!$D:$D,0),MATCH('2019'!R$6,DataEx!$7:$7,0))</f>
        <v>0</v>
      </c>
      <c r="S64" s="289">
        <f t="shared" si="3"/>
        <v>27237103.969999999</v>
      </c>
      <c r="T64" s="290">
        <f t="shared" si="4"/>
        <v>5.6879054358267549E-3</v>
      </c>
    </row>
    <row r="65" spans="1:20">
      <c r="A65" s="169">
        <v>72</v>
      </c>
      <c r="B65" s="450" t="str">
        <f>+VLOOKUP($A65,Master!$D$27:$G$225,4,FALSE)</f>
        <v>Primici od prodaje imovine</v>
      </c>
      <c r="C65" s="451"/>
      <c r="D65" s="451"/>
      <c r="E65" s="451"/>
      <c r="F65" s="451"/>
      <c r="G65" s="236">
        <f>+INDEX(DataEx!$1:$1048576,MATCH('2019'!$A65,DataEx!$D:$D,0),MATCH('2019'!G$6,DataEx!$7:$7,0))</f>
        <v>26594.13</v>
      </c>
      <c r="H65" s="236">
        <f>+INDEX(DataEx!$1:$1048576,MATCH('2019'!$A65,DataEx!$D:$D,0),MATCH('2019'!H$6,DataEx!$7:$7,0))</f>
        <v>177395.91</v>
      </c>
      <c r="I65" s="236">
        <f>+INDEX(DataEx!$1:$1048576,MATCH('2019'!$A65,DataEx!$D:$D,0),MATCH('2019'!I$6,DataEx!$7:$7,0))</f>
        <v>0</v>
      </c>
      <c r="J65" s="236">
        <f>+INDEX(DataEx!$1:$1048576,MATCH('2019'!$A65,DataEx!$D:$D,0),MATCH('2019'!J$6,DataEx!$7:$7,0))</f>
        <v>0</v>
      </c>
      <c r="K65" s="236">
        <f>+INDEX(DataEx!$1:$1048576,MATCH('2019'!$A65,DataEx!$D:$D,0),MATCH('2019'!K$6,DataEx!$7:$7,0))</f>
        <v>0</v>
      </c>
      <c r="L65" s="236">
        <f>+INDEX(DataEx!$1:$1048576,MATCH('2019'!$A65,DataEx!$D:$D,0),MATCH('2019'!L$6,DataEx!$7:$7,0))</f>
        <v>0</v>
      </c>
      <c r="M65" s="236">
        <f>+INDEX(DataEx!$1:$1048576,MATCH('2019'!$A65,DataEx!$D:$D,0),MATCH('2019'!M$6,DataEx!$7:$7,0))</f>
        <v>0</v>
      </c>
      <c r="N65" s="236">
        <f>+INDEX(DataEx!$1:$1048576,MATCH('2019'!$A65,DataEx!$D:$D,0),MATCH('2019'!N$6,DataEx!$7:$7,0))</f>
        <v>0</v>
      </c>
      <c r="O65" s="236">
        <f>+INDEX(DataEx!$1:$1048576,MATCH('2019'!$A65,DataEx!$D:$D,0),MATCH('2019'!O$6,DataEx!$7:$7,0))</f>
        <v>0</v>
      </c>
      <c r="P65" s="236">
        <f>+INDEX(DataEx!$1:$1048576,MATCH('2019'!$A65,DataEx!$D:$D,0),MATCH('2019'!P$6,DataEx!$7:$7,0))</f>
        <v>0</v>
      </c>
      <c r="Q65" s="236">
        <f>+INDEX(DataEx!$1:$1048576,MATCH('2019'!$A65,DataEx!$D:$D,0),MATCH('2019'!Q$6,DataEx!$7:$7,0))</f>
        <v>0</v>
      </c>
      <c r="R65" s="236">
        <f>+INDEX(DataEx!$1:$1048576,MATCH('2019'!$A65,DataEx!$D:$D,0),MATCH('2019'!R$6,DataEx!$7:$7,0))</f>
        <v>0</v>
      </c>
      <c r="S65" s="289">
        <f t="shared" si="3"/>
        <v>203990.04</v>
      </c>
      <c r="T65" s="290">
        <f t="shared" si="4"/>
        <v>4.2599097857411353E-5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8165786.080000028</v>
      </c>
      <c r="H66" s="250">
        <f t="shared" ref="H66:R66" si="14">-H61-SUM(H63:H65)</f>
        <v>22882755.75000003</v>
      </c>
      <c r="I66" s="250">
        <f t="shared" si="14"/>
        <v>0</v>
      </c>
      <c r="J66" s="250">
        <f t="shared" si="14"/>
        <v>0</v>
      </c>
      <c r="K66" s="250">
        <f t="shared" si="14"/>
        <v>0</v>
      </c>
      <c r="L66" s="250">
        <f t="shared" si="14"/>
        <v>0</v>
      </c>
      <c r="M66" s="250">
        <f t="shared" si="14"/>
        <v>0</v>
      </c>
      <c r="N66" s="250">
        <f t="shared" si="14"/>
        <v>0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31048541.830000058</v>
      </c>
      <c r="T66" s="296">
        <f t="shared" si="4"/>
        <v>6.4838453472831426E-3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35" t="str">
        <f>+Master!G252</f>
        <v>Plan ostvarenja budžeta</v>
      </c>
      <c r="C102" s="536"/>
      <c r="D102" s="536"/>
      <c r="E102" s="536"/>
      <c r="F102" s="536"/>
      <c r="G102" s="528">
        <v>2019</v>
      </c>
      <c r="H102" s="529"/>
      <c r="I102" s="529"/>
      <c r="J102" s="529"/>
      <c r="K102" s="529"/>
      <c r="L102" s="529"/>
      <c r="M102" s="529"/>
      <c r="N102" s="529"/>
      <c r="O102" s="529"/>
      <c r="P102" s="529"/>
      <c r="Q102" s="529"/>
      <c r="R102" s="530"/>
      <c r="S102" s="115" t="str">
        <f>+S7</f>
        <v>BDP</v>
      </c>
      <c r="T102" s="116">
        <f>+T7</f>
        <v>4788600000</v>
      </c>
    </row>
    <row r="103" spans="1:21" ht="15.75" customHeight="1">
      <c r="B103" s="537"/>
      <c r="C103" s="538"/>
      <c r="D103" s="538"/>
      <c r="E103" s="538"/>
      <c r="F103" s="539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28" t="str">
        <f>+Master!G246</f>
        <v>Jan - Dec</v>
      </c>
      <c r="T103" s="530">
        <f>+T8</f>
        <v>0</v>
      </c>
    </row>
    <row r="104" spans="1:21" ht="13.5" thickBot="1">
      <c r="B104" s="540"/>
      <c r="C104" s="541"/>
      <c r="D104" s="541"/>
      <c r="E104" s="541"/>
      <c r="F104" s="542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1" t="str">
        <f>+VLOOKUP(LEFT($A105,LEN(A105)-1)*1,Master!$D$27:$G$225,4,FALSE)</f>
        <v>Prihodi budžeta</v>
      </c>
      <c r="C105" s="532"/>
      <c r="D105" s="532"/>
      <c r="E105" s="532"/>
      <c r="F105" s="532"/>
      <c r="G105" s="97">
        <f t="shared" ref="G105:R105" si="18">+G106+G114+SUM(G119:G123)</f>
        <v>100142622.19594875</v>
      </c>
      <c r="H105" s="97">
        <f t="shared" si="18"/>
        <v>110204101.45187533</v>
      </c>
      <c r="I105" s="97">
        <f t="shared" si="18"/>
        <v>144311801.06094447</v>
      </c>
      <c r="J105" s="97">
        <f t="shared" si="18"/>
        <v>156434731.13342205</v>
      </c>
      <c r="K105" s="97">
        <f t="shared" si="18"/>
        <v>144927392.41019922</v>
      </c>
      <c r="L105" s="97">
        <f t="shared" si="18"/>
        <v>147228422.67922965</v>
      </c>
      <c r="M105" s="97">
        <f t="shared" si="18"/>
        <v>204006894.58941606</v>
      </c>
      <c r="N105" s="97">
        <f t="shared" si="18"/>
        <v>169407883.70021766</v>
      </c>
      <c r="O105" s="97">
        <f t="shared" si="18"/>
        <v>154956630.51127648</v>
      </c>
      <c r="P105" s="97">
        <f t="shared" si="18"/>
        <v>152916058.81443799</v>
      </c>
      <c r="Q105" s="97">
        <f t="shared" si="18"/>
        <v>150982642.31226081</v>
      </c>
      <c r="R105" s="97">
        <f t="shared" si="18"/>
        <v>192484329.23588553</v>
      </c>
      <c r="S105" s="121">
        <f>+SUM(G105:R105)</f>
        <v>1828003510.095114</v>
      </c>
      <c r="T105" s="122">
        <f>+S105/$T$7</f>
        <v>0.38174069876271016</v>
      </c>
    </row>
    <row r="106" spans="1:21">
      <c r="A106" s="137" t="str">
        <f t="shared" si="17"/>
        <v>711p</v>
      </c>
      <c r="B106" s="533" t="str">
        <f>+VLOOKUP(LEFT($A106,LEN(A106)-1)*1,Master!$D$27:$G$225,4,FALSE)</f>
        <v>Porezi</v>
      </c>
      <c r="C106" s="534"/>
      <c r="D106" s="534"/>
      <c r="E106" s="534"/>
      <c r="F106" s="534"/>
      <c r="G106" s="81">
        <f t="shared" ref="G106:R106" si="19">+SUM(G107:G113)</f>
        <v>66350952.18828921</v>
      </c>
      <c r="H106" s="81">
        <f t="shared" si="19"/>
        <v>66472981.942397669</v>
      </c>
      <c r="I106" s="81">
        <f t="shared" si="19"/>
        <v>93002932.070390105</v>
      </c>
      <c r="J106" s="81">
        <f t="shared" si="19"/>
        <v>102239095.0183354</v>
      </c>
      <c r="K106" s="81">
        <f t="shared" si="19"/>
        <v>94699693.448994264</v>
      </c>
      <c r="L106" s="81">
        <f t="shared" si="19"/>
        <v>91492613.061199591</v>
      </c>
      <c r="M106" s="81">
        <f t="shared" si="19"/>
        <v>112923554.20062464</v>
      </c>
      <c r="N106" s="81">
        <f t="shared" si="19"/>
        <v>113143297.77609694</v>
      </c>
      <c r="O106" s="81">
        <f t="shared" si="19"/>
        <v>103026361.00846727</v>
      </c>
      <c r="P106" s="81">
        <f t="shared" si="19"/>
        <v>93606542.740928665</v>
      </c>
      <c r="Q106" s="81">
        <f t="shared" si="19"/>
        <v>84962600.741949648</v>
      </c>
      <c r="R106" s="82">
        <f t="shared" si="19"/>
        <v>93740018.517628297</v>
      </c>
      <c r="S106" s="123">
        <f t="shared" ref="S106:S161" si="20">+SUM(G106:R106)</f>
        <v>1115660642.7153018</v>
      </c>
      <c r="T106" s="124">
        <f t="shared" ref="T106:T161" si="21">+S106/$T$7</f>
        <v>0.23298263432220309</v>
      </c>
      <c r="U106" s="302"/>
    </row>
    <row r="107" spans="1:21">
      <c r="A107" s="137" t="str">
        <f t="shared" si="17"/>
        <v>7111p</v>
      </c>
      <c r="B107" s="514" t="str">
        <f>+VLOOKUP(LEFT($A107,LEN(A107)-1)*1,Master!$D$27:$G$225,4,FALSE)</f>
        <v>Porez na dohodak fizičkih lica</v>
      </c>
      <c r="C107" s="515"/>
      <c r="D107" s="515"/>
      <c r="E107" s="515"/>
      <c r="F107" s="515"/>
      <c r="G107" s="91">
        <f>+SUM(DataEx!FF220)</f>
        <v>3652899.4658571309</v>
      </c>
      <c r="H107" s="91">
        <f>+SUM(DataEx!FG220)</f>
        <v>8022759.2428831048</v>
      </c>
      <c r="I107" s="91">
        <f>+SUM(DataEx!FH220)</f>
        <v>9018350.9541227892</v>
      </c>
      <c r="J107" s="91">
        <f>+SUM(DataEx!FI220)</f>
        <v>8926461.2777662594</v>
      </c>
      <c r="K107" s="91">
        <f>+SUM(DataEx!FJ220)</f>
        <v>9315147.433583051</v>
      </c>
      <c r="L107" s="91">
        <f>+SUM(DataEx!FK220)</f>
        <v>9445633.2450224012</v>
      </c>
      <c r="M107" s="91">
        <f>+SUM(DataEx!FL220)</f>
        <v>10205937.595552938</v>
      </c>
      <c r="N107" s="91">
        <f>+SUM(DataEx!FM220)</f>
        <v>10123433.296484467</v>
      </c>
      <c r="O107" s="91">
        <f>+SUM(DataEx!FN220)</f>
        <v>8654681.0736119766</v>
      </c>
      <c r="P107" s="91">
        <f>+SUM(DataEx!FO220)</f>
        <v>9265743.8443470914</v>
      </c>
      <c r="Q107" s="91">
        <f>+SUM(DataEx!FP220)</f>
        <v>9472310.2676257156</v>
      </c>
      <c r="R107" s="91">
        <f>+SUM(DataEx!FQ220)</f>
        <v>16517258.248203963</v>
      </c>
      <c r="S107" s="125">
        <f t="shared" si="20"/>
        <v>112620615.94506088</v>
      </c>
      <c r="T107" s="126">
        <f t="shared" si="21"/>
        <v>2.3518484723105058E-2</v>
      </c>
    </row>
    <row r="108" spans="1:21">
      <c r="A108" s="137" t="str">
        <f t="shared" si="17"/>
        <v>7112p</v>
      </c>
      <c r="B108" s="514" t="str">
        <f>+VLOOKUP(LEFT($A108,LEN(A108)-1)*1,Master!$D$27:$G$225,4,FALSE)</f>
        <v>Porez na dobit pravnih lica</v>
      </c>
      <c r="C108" s="515"/>
      <c r="D108" s="515"/>
      <c r="E108" s="515"/>
      <c r="F108" s="515"/>
      <c r="G108" s="91">
        <f>+SUM(DataEx!FF221)</f>
        <v>500908.59191930544</v>
      </c>
      <c r="H108" s="91">
        <f>+SUM(DataEx!FG221)</f>
        <v>1728915.0269937462</v>
      </c>
      <c r="I108" s="91">
        <f>+SUM(DataEx!FH221)</f>
        <v>23447142.113813326</v>
      </c>
      <c r="J108" s="91">
        <f>+SUM(DataEx!FI221)</f>
        <v>19058662.940981645</v>
      </c>
      <c r="K108" s="91">
        <f>+SUM(DataEx!FJ221)</f>
        <v>3928923.943707631</v>
      </c>
      <c r="L108" s="91">
        <f>+SUM(DataEx!FK221)</f>
        <v>3583416.79871599</v>
      </c>
      <c r="M108" s="91">
        <f>+SUM(DataEx!FL221)</f>
        <v>9457741.7110314406</v>
      </c>
      <c r="N108" s="91">
        <f>+SUM(DataEx!FM221)</f>
        <v>3685443.6740218182</v>
      </c>
      <c r="O108" s="91">
        <f>+SUM(DataEx!FN221)</f>
        <v>2555024.3067054795</v>
      </c>
      <c r="P108" s="91">
        <f>+SUM(DataEx!FO221)</f>
        <v>1099414.7304318412</v>
      </c>
      <c r="Q108" s="91">
        <f>+SUM(DataEx!FP221)</f>
        <v>845177.9860074711</v>
      </c>
      <c r="R108" s="91">
        <f>+SUM(DataEx!FQ221)</f>
        <v>1909016.1037912499</v>
      </c>
      <c r="S108" s="125">
        <f t="shared" si="20"/>
        <v>71799787.928120941</v>
      </c>
      <c r="T108" s="126">
        <f t="shared" si="21"/>
        <v>1.4993899663392419E-2</v>
      </c>
    </row>
    <row r="109" spans="1:21">
      <c r="A109" s="137" t="str">
        <f t="shared" si="17"/>
        <v>7113p</v>
      </c>
      <c r="B109" s="514" t="str">
        <f>+VLOOKUP(LEFT($A109,LEN(A109)-1)*1,Master!$D$27:$G$225,4,FALSE)</f>
        <v>Porez na promet nepokretnosti</v>
      </c>
      <c r="C109" s="515"/>
      <c r="D109" s="515"/>
      <c r="E109" s="515"/>
      <c r="F109" s="515"/>
      <c r="G109" s="91">
        <f>+SUM(DataEx!FF222)</f>
        <v>96249.011498017411</v>
      </c>
      <c r="H109" s="91">
        <f>+SUM(DataEx!FG222)</f>
        <v>120146.26435610364</v>
      </c>
      <c r="I109" s="91">
        <f>+SUM(DataEx!FH222)</f>
        <v>209659.82846113556</v>
      </c>
      <c r="J109" s="91">
        <f>+SUM(DataEx!FI222)</f>
        <v>121004.94574649777</v>
      </c>
      <c r="K109" s="91">
        <f>+SUM(DataEx!FJ222)</f>
        <v>148306.47673758463</v>
      </c>
      <c r="L109" s="91">
        <f>+SUM(DataEx!FK222)</f>
        <v>125876.16325992151</v>
      </c>
      <c r="M109" s="91">
        <f>+SUM(DataEx!FL222)</f>
        <v>117744.05088327322</v>
      </c>
      <c r="N109" s="91">
        <f>+SUM(DataEx!FM222)</f>
        <v>225326.54561980077</v>
      </c>
      <c r="O109" s="91">
        <f>+SUM(DataEx!FN222)</f>
        <v>152871.08637766869</v>
      </c>
      <c r="P109" s="91">
        <f>+SUM(DataEx!FO222)</f>
        <v>160318.03884668328</v>
      </c>
      <c r="Q109" s="91">
        <f>+SUM(DataEx!FP222)</f>
        <v>199620.99998265412</v>
      </c>
      <c r="R109" s="91">
        <f>+SUM(DataEx!FQ222)</f>
        <v>215373.43170328165</v>
      </c>
      <c r="S109" s="125">
        <f t="shared" si="20"/>
        <v>1892496.8434726221</v>
      </c>
      <c r="T109" s="126">
        <f t="shared" si="21"/>
        <v>3.9520879661542459E-4</v>
      </c>
    </row>
    <row r="110" spans="1:21">
      <c r="A110" s="137" t="str">
        <f t="shared" si="17"/>
        <v>7114p</v>
      </c>
      <c r="B110" s="514" t="str">
        <f>+VLOOKUP(LEFT($A110,LEN(A110)-1)*1,Master!$D$27:$G$225,4,FALSE)</f>
        <v>Porez na dodatu vrijednost</v>
      </c>
      <c r="C110" s="515"/>
      <c r="D110" s="515"/>
      <c r="E110" s="515"/>
      <c r="F110" s="515"/>
      <c r="G110" s="91">
        <f>+SUM(DataEx!FF223)</f>
        <v>45311601.807667136</v>
      </c>
      <c r="H110" s="91">
        <f>+SUM(DataEx!FG223)</f>
        <v>40500051.462180994</v>
      </c>
      <c r="I110" s="91">
        <f>+SUM(DataEx!FH223)</f>
        <v>42870636.919596858</v>
      </c>
      <c r="J110" s="91">
        <f>+SUM(DataEx!FI223)</f>
        <v>53276433.401434079</v>
      </c>
      <c r="K110" s="91">
        <f>+SUM(DataEx!FJ223)</f>
        <v>56985238.833298653</v>
      </c>
      <c r="L110" s="91">
        <f>+SUM(DataEx!FK223)</f>
        <v>55167623.820050351</v>
      </c>
      <c r="M110" s="91">
        <f>+SUM(DataEx!FL223)</f>
        <v>65608697.993098289</v>
      </c>
      <c r="N110" s="91">
        <f>+SUM(DataEx!FM223)</f>
        <v>67890311.931873396</v>
      </c>
      <c r="O110" s="91">
        <f>+SUM(DataEx!FN223)</f>
        <v>60747048.514482975</v>
      </c>
      <c r="P110" s="91">
        <f>+SUM(DataEx!FO223)</f>
        <v>60046360.535818934</v>
      </c>
      <c r="Q110" s="91">
        <f>+SUM(DataEx!FP223)</f>
        <v>50598426.623042114</v>
      </c>
      <c r="R110" s="91">
        <f>+SUM(DataEx!FQ223)</f>
        <v>53857666.854387075</v>
      </c>
      <c r="S110" s="125">
        <f t="shared" si="20"/>
        <v>652860098.69693089</v>
      </c>
      <c r="T110" s="126">
        <f t="shared" si="21"/>
        <v>0.13633631932024617</v>
      </c>
    </row>
    <row r="111" spans="1:21">
      <c r="A111" s="137" t="str">
        <f t="shared" si="17"/>
        <v>7115p</v>
      </c>
      <c r="B111" s="514" t="str">
        <f>+VLOOKUP(LEFT($A111,LEN(A111)-1)*1,Master!$D$27:$G$225,4,FALSE)</f>
        <v>Akcize</v>
      </c>
      <c r="C111" s="515"/>
      <c r="D111" s="515"/>
      <c r="E111" s="515"/>
      <c r="F111" s="515"/>
      <c r="G111" s="91">
        <f>+SUM(DataEx!FF224)</f>
        <v>14802170.311350815</v>
      </c>
      <c r="H111" s="91">
        <f>+SUM(DataEx!FG224)</f>
        <v>13752359.500128729</v>
      </c>
      <c r="I111" s="91">
        <f>+SUM(DataEx!FH224)</f>
        <v>14470500.314192023</v>
      </c>
      <c r="J111" s="91">
        <f>+SUM(DataEx!FI224)</f>
        <v>17858265.727539971</v>
      </c>
      <c r="K111" s="91">
        <f>+SUM(DataEx!FJ224)</f>
        <v>20891088.570270509</v>
      </c>
      <c r="L111" s="91">
        <f>+SUM(DataEx!FK224)</f>
        <v>19831823.145692226</v>
      </c>
      <c r="M111" s="91">
        <f>+SUM(DataEx!FL224)</f>
        <v>23769815.550913561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125">
        <f t="shared" si="20"/>
        <v>239557953.70202044</v>
      </c>
      <c r="T111" s="126">
        <f t="shared" si="21"/>
        <v>5.0026720482399957E-2</v>
      </c>
    </row>
    <row r="112" spans="1:21">
      <c r="A112" s="137" t="str">
        <f t="shared" si="17"/>
        <v>7116p</v>
      </c>
      <c r="B112" s="514" t="str">
        <f>+VLOOKUP(LEFT($A112,LEN(A112)-1)*1,Master!$D$27:$G$225,4,FALSE)</f>
        <v>Porez na međunarodnu trgovinu i transakcije</v>
      </c>
      <c r="C112" s="515"/>
      <c r="D112" s="515"/>
      <c r="E112" s="515"/>
      <c r="F112" s="515"/>
      <c r="G112" s="91">
        <f>+SUM(DataEx!FF225)</f>
        <v>1250663.2131918652</v>
      </c>
      <c r="H112" s="91">
        <f>+SUM(DataEx!FG225)</f>
        <v>1722044.3795582296</v>
      </c>
      <c r="I112" s="91">
        <f>+SUM(DataEx!FH225)</f>
        <v>2286430.5633199541</v>
      </c>
      <c r="J112" s="91">
        <f>+SUM(DataEx!FI225)</f>
        <v>2249532.0000431878</v>
      </c>
      <c r="K112" s="91">
        <f>+SUM(DataEx!FJ225)</f>
        <v>2665262.8330451054</v>
      </c>
      <c r="L112" s="91">
        <f>+SUM(DataEx!FK225)</f>
        <v>2391366.8090515211</v>
      </c>
      <c r="M112" s="91">
        <f>+SUM(DataEx!FL225)</f>
        <v>2874823.7198000303</v>
      </c>
      <c r="N112" s="91">
        <f>+SUM(DataEx!FM225)</f>
        <v>2933294.0296025178</v>
      </c>
      <c r="O112" s="91">
        <f>+SUM(DataEx!FN225)</f>
        <v>2262615.8066899669</v>
      </c>
      <c r="P112" s="91">
        <f>+SUM(DataEx!FO225)</f>
        <v>2636954.7714076787</v>
      </c>
      <c r="Q112" s="91">
        <f>+SUM(DataEx!FP225)</f>
        <v>1951413.1885985387</v>
      </c>
      <c r="R112" s="91">
        <f>+SUM(DataEx!FQ225)</f>
        <v>2103744.048736285</v>
      </c>
      <c r="S112" s="125">
        <f t="shared" si="20"/>
        <v>27328145.363044884</v>
      </c>
      <c r="T112" s="126">
        <f t="shared" si="21"/>
        <v>5.7069175464738928E-3</v>
      </c>
    </row>
    <row r="113" spans="1:20">
      <c r="A113" s="137" t="str">
        <f t="shared" si="17"/>
        <v>7118p</v>
      </c>
      <c r="B113" s="514" t="str">
        <f>+VLOOKUP(LEFT($A113,LEN(A113)-1)*1,Master!$D$27:$G$225,4,FALSE)</f>
        <v>Ostali državni porezi</v>
      </c>
      <c r="C113" s="515"/>
      <c r="D113" s="515"/>
      <c r="E113" s="515"/>
      <c r="F113" s="515"/>
      <c r="G113" s="91">
        <f>+SUM(DataEx!FF227)</f>
        <v>736459.78680493729</v>
      </c>
      <c r="H113" s="91">
        <f>+SUM(DataEx!FG227)</f>
        <v>626706.06629676104</v>
      </c>
      <c r="I113" s="91">
        <f>+SUM(DataEx!FH227)</f>
        <v>700211.37688401563</v>
      </c>
      <c r="J113" s="91">
        <f>+SUM(DataEx!FI227)</f>
        <v>748734.72482375184</v>
      </c>
      <c r="K113" s="91">
        <f>+SUM(DataEx!FJ227)</f>
        <v>765725.35835171666</v>
      </c>
      <c r="L113" s="91">
        <f>+SUM(DataEx!FK227)</f>
        <v>946873.07940717612</v>
      </c>
      <c r="M113" s="91">
        <f>+SUM(DataEx!FL227)</f>
        <v>888793.57934511674</v>
      </c>
      <c r="N113" s="91">
        <f>+SUM(DataEx!FM227)</f>
        <v>870924.50475999399</v>
      </c>
      <c r="O113" s="91">
        <f>+SUM(DataEx!FN227)</f>
        <v>832973.33566279267</v>
      </c>
      <c r="P113" s="91">
        <f>+SUM(DataEx!FO227)</f>
        <v>803878.4523988833</v>
      </c>
      <c r="Q113" s="91">
        <f>+SUM(DataEx!FP227)</f>
        <v>818938.53619078756</v>
      </c>
      <c r="R113" s="91">
        <f>+SUM(DataEx!FQ227)</f>
        <v>861325.43572509091</v>
      </c>
      <c r="S113" s="125">
        <f t="shared" si="20"/>
        <v>9601544.2366510238</v>
      </c>
      <c r="T113" s="126">
        <f t="shared" si="21"/>
        <v>2.0050837899701422E-3</v>
      </c>
    </row>
    <row r="114" spans="1:20">
      <c r="A114" s="137" t="str">
        <f t="shared" si="17"/>
        <v>712p</v>
      </c>
      <c r="B114" s="526" t="str">
        <f>+VLOOKUP(LEFT($A114,LEN(A114)-1)*1,Master!$D$27:$G$225,4,FALSE)</f>
        <v>Doprinosi</v>
      </c>
      <c r="C114" s="527"/>
      <c r="D114" s="527"/>
      <c r="E114" s="527"/>
      <c r="F114" s="527"/>
      <c r="G114" s="83">
        <f>+SUM(G115:G118)</f>
        <v>14755895.780545458</v>
      </c>
      <c r="H114" s="83">
        <f t="shared" ref="H114:R114" si="22">+SUM(H115:H118)</f>
        <v>37403451.017929606</v>
      </c>
      <c r="I114" s="83">
        <f t="shared" si="22"/>
        <v>43601797.580043353</v>
      </c>
      <c r="J114" s="83">
        <f t="shared" si="22"/>
        <v>41553058.121337146</v>
      </c>
      <c r="K114" s="83">
        <f t="shared" si="22"/>
        <v>40898605.146830343</v>
      </c>
      <c r="L114" s="83">
        <f t="shared" si="22"/>
        <v>42603078.705825843</v>
      </c>
      <c r="M114" s="83">
        <f t="shared" si="22"/>
        <v>46250891.035691187</v>
      </c>
      <c r="N114" s="83">
        <f t="shared" si="22"/>
        <v>46210377.052519538</v>
      </c>
      <c r="O114" s="83">
        <f t="shared" si="22"/>
        <v>42496040.115985423</v>
      </c>
      <c r="P114" s="83">
        <f t="shared" si="22"/>
        <v>48421361.70604302</v>
      </c>
      <c r="Q114" s="83">
        <f t="shared" si="22"/>
        <v>45532452.215976171</v>
      </c>
      <c r="R114" s="84">
        <f t="shared" si="22"/>
        <v>81297365.468062162</v>
      </c>
      <c r="S114" s="127">
        <f t="shared" si="20"/>
        <v>531024373.94678932</v>
      </c>
      <c r="T114" s="128">
        <f t="shared" si="21"/>
        <v>0.11089344984897243</v>
      </c>
    </row>
    <row r="115" spans="1:20">
      <c r="A115" s="137" t="str">
        <f t="shared" si="17"/>
        <v>7121p</v>
      </c>
      <c r="B115" s="514" t="str">
        <f>+VLOOKUP(LEFT($A115,LEN(A115)-1)*1,Master!$D$27:$G$225,4,FALSE)</f>
        <v>Doprinosi za penzijsko i invalidsko osiguranje</v>
      </c>
      <c r="C115" s="515"/>
      <c r="D115" s="515"/>
      <c r="E115" s="515"/>
      <c r="F115" s="515"/>
      <c r="G115" s="91">
        <f>+SUM(DataEx!FF229)</f>
        <v>9127432.1840227619</v>
      </c>
      <c r="H115" s="91">
        <f>+SUM(DataEx!FG229)</f>
        <v>22757066.487967167</v>
      </c>
      <c r="I115" s="91">
        <f>+SUM(DataEx!FH229)</f>
        <v>26489853.50225101</v>
      </c>
      <c r="J115" s="91">
        <f>+SUM(DataEx!FI229)</f>
        <v>25260565.437348519</v>
      </c>
      <c r="K115" s="91">
        <f>+SUM(DataEx!FJ229)</f>
        <v>24837700.78348216</v>
      </c>
      <c r="L115" s="91">
        <f>+SUM(DataEx!FK229)</f>
        <v>25522109.790882807</v>
      </c>
      <c r="M115" s="91">
        <f>+SUM(DataEx!FL229)</f>
        <v>27482444.037160631</v>
      </c>
      <c r="N115" s="91">
        <f>+SUM(DataEx!FM229)</f>
        <v>27431759.977263737</v>
      </c>
      <c r="O115" s="91">
        <f>+SUM(DataEx!FN229)</f>
        <v>25758654.549990863</v>
      </c>
      <c r="P115" s="91">
        <f>+SUM(DataEx!FO229)</f>
        <v>29909297.679381389</v>
      </c>
      <c r="Q115" s="91">
        <f>+SUM(DataEx!FP229)</f>
        <v>28126522.515346657</v>
      </c>
      <c r="R115" s="91">
        <f>+SUM(DataEx!FQ229)</f>
        <v>48976990.327575065</v>
      </c>
      <c r="S115" s="125">
        <f t="shared" si="20"/>
        <v>321680397.27267283</v>
      </c>
      <c r="T115" s="126">
        <f t="shared" si="21"/>
        <v>6.7176293127985801E-2</v>
      </c>
    </row>
    <row r="116" spans="1:20">
      <c r="A116" s="137" t="str">
        <f t="shared" si="17"/>
        <v>7122p</v>
      </c>
      <c r="B116" s="514" t="str">
        <f>+VLOOKUP(LEFT($A116,LEN(A116)-1)*1,Master!$D$27:$G$225,4,FALSE)</f>
        <v>Doprinosi za zdravstveno osiguranje</v>
      </c>
      <c r="C116" s="515"/>
      <c r="D116" s="515"/>
      <c r="E116" s="515"/>
      <c r="F116" s="515"/>
      <c r="G116" s="91">
        <f>+SUM(DataEx!FF230)</f>
        <v>4949664.4366387613</v>
      </c>
      <c r="H116" s="91">
        <f>+SUM(DataEx!FG230)</f>
        <v>12811801.099004392</v>
      </c>
      <c r="I116" s="91">
        <f>+SUM(DataEx!FH230)</f>
        <v>14869363.320545932</v>
      </c>
      <c r="J116" s="91">
        <f>+SUM(DataEx!FI230)</f>
        <v>14198899.515922202</v>
      </c>
      <c r="K116" s="91">
        <f>+SUM(DataEx!FJ230)</f>
        <v>14065277.256726971</v>
      </c>
      <c r="L116" s="91">
        <f>+SUM(DataEx!FK230)</f>
        <v>15027164.196316766</v>
      </c>
      <c r="M116" s="91">
        <f>+SUM(DataEx!FL230)</f>
        <v>16394230.760278165</v>
      </c>
      <c r="N116" s="91">
        <f>+SUM(DataEx!FM230)</f>
        <v>16398511.128757462</v>
      </c>
      <c r="O116" s="91">
        <f>+SUM(DataEx!FN230)</f>
        <v>14604885.136878882</v>
      </c>
      <c r="P116" s="91">
        <f>+SUM(DataEx!FO230)</f>
        <v>16272112.902301818</v>
      </c>
      <c r="Q116" s="91">
        <f>+SUM(DataEx!FP230)</f>
        <v>15429290.637964325</v>
      </c>
      <c r="R116" s="91">
        <f>+SUM(DataEx!FQ230)</f>
        <v>28597997.946427643</v>
      </c>
      <c r="S116" s="125">
        <f t="shared" si="20"/>
        <v>183619198.33776334</v>
      </c>
      <c r="T116" s="126">
        <f t="shared" si="21"/>
        <v>3.8345069193034154E-2</v>
      </c>
    </row>
    <row r="117" spans="1:20">
      <c r="A117" s="137" t="str">
        <f t="shared" si="17"/>
        <v>7123p</v>
      </c>
      <c r="B117" s="514" t="str">
        <f>+VLOOKUP(LEFT($A117,LEN(A117)-1)*1,Master!$D$27:$G$225,4,FALSE)</f>
        <v>Doprinosi za osiguranje od nezaposlenosti</v>
      </c>
      <c r="C117" s="515"/>
      <c r="D117" s="515"/>
      <c r="E117" s="515"/>
      <c r="F117" s="515"/>
      <c r="G117" s="91">
        <f>+SUM(DataEx!FF231)</f>
        <v>351859.53156741383</v>
      </c>
      <c r="H117" s="91">
        <f>+SUM(DataEx!FG231)</f>
        <v>923569.68270678399</v>
      </c>
      <c r="I117" s="91">
        <f>+SUM(DataEx!FH231)</f>
        <v>1073402.2178698475</v>
      </c>
      <c r="J117" s="91">
        <f>+SUM(DataEx!FI231)</f>
        <v>996973.05599738541</v>
      </c>
      <c r="K117" s="91">
        <f>+SUM(DataEx!FJ231)</f>
        <v>987534.50739325164</v>
      </c>
      <c r="L117" s="91">
        <f>+SUM(DataEx!FK231)</f>
        <v>1050381.0843362929</v>
      </c>
      <c r="M117" s="91">
        <f>+SUM(DataEx!FL231)</f>
        <v>1142926.9664523243</v>
      </c>
      <c r="N117" s="91">
        <f>+SUM(DataEx!FM231)</f>
        <v>1148438.0865313176</v>
      </c>
      <c r="O117" s="91">
        <f>+SUM(DataEx!FN231)</f>
        <v>1042336.9826976907</v>
      </c>
      <c r="P117" s="91">
        <f>+SUM(DataEx!FO231)</f>
        <v>1170445.1852002153</v>
      </c>
      <c r="Q117" s="91">
        <f>+SUM(DataEx!FP231)</f>
        <v>1112642.8807910515</v>
      </c>
      <c r="R117" s="91">
        <f>+SUM(DataEx!FQ231)</f>
        <v>2066334.3255100392</v>
      </c>
      <c r="S117" s="125">
        <f t="shared" si="20"/>
        <v>13066844.507053616</v>
      </c>
      <c r="T117" s="126">
        <f t="shared" si="21"/>
        <v>2.7287400298737869E-3</v>
      </c>
    </row>
    <row r="118" spans="1:20">
      <c r="A118" s="137" t="str">
        <f t="shared" si="17"/>
        <v>7124p</v>
      </c>
      <c r="B118" s="514" t="str">
        <f>+VLOOKUP(LEFT($A118,LEN(A118)-1)*1,Master!$D$27:$G$225,4,FALSE)</f>
        <v>Ostali doprinosi</v>
      </c>
      <c r="C118" s="515"/>
      <c r="D118" s="515"/>
      <c r="E118" s="515"/>
      <c r="F118" s="515"/>
      <c r="G118" s="91">
        <f>+SUM(DataEx!FF232)</f>
        <v>326939.62831652147</v>
      </c>
      <c r="H118" s="91">
        <f>+SUM(DataEx!FG232)</f>
        <v>911013.74825126899</v>
      </c>
      <c r="I118" s="91">
        <f>+SUM(DataEx!FH232)</f>
        <v>1169178.5393765648</v>
      </c>
      <c r="J118" s="91">
        <f>+SUM(DataEx!FI232)</f>
        <v>1096620.1120690373</v>
      </c>
      <c r="K118" s="91">
        <f>+SUM(DataEx!FJ232)</f>
        <v>1008092.5992279621</v>
      </c>
      <c r="L118" s="91">
        <f>+SUM(DataEx!FK232)</f>
        <v>1003423.6342899711</v>
      </c>
      <c r="M118" s="91">
        <f>+SUM(DataEx!FL232)</f>
        <v>1231289.271800064</v>
      </c>
      <c r="N118" s="91">
        <f>+SUM(DataEx!FM232)</f>
        <v>1231667.8599670264</v>
      </c>
      <c r="O118" s="91">
        <f>+SUM(DataEx!FN232)</f>
        <v>1090163.4464179957</v>
      </c>
      <c r="P118" s="91">
        <f>+SUM(DataEx!FO232)</f>
        <v>1069505.9391595994</v>
      </c>
      <c r="Q118" s="91">
        <f>+SUM(DataEx!FP232)</f>
        <v>863996.18187413388</v>
      </c>
      <c r="R118" s="91">
        <f>+SUM(DataEx!FQ232)</f>
        <v>1656042.8685494228</v>
      </c>
      <c r="S118" s="125">
        <f t="shared" si="20"/>
        <v>12657933.829299569</v>
      </c>
      <c r="T118" s="126">
        <f t="shared" si="21"/>
        <v>2.6433474980786806E-3</v>
      </c>
    </row>
    <row r="119" spans="1:20">
      <c r="A119" s="137" t="str">
        <f t="shared" si="17"/>
        <v>713p</v>
      </c>
      <c r="B119" s="518" t="str">
        <f>+VLOOKUP(LEFT($A119,LEN(A119)-1)*1,Master!$D$27:$G$225,4,FALSE)</f>
        <v>Takse</v>
      </c>
      <c r="C119" s="519"/>
      <c r="D119" s="519"/>
      <c r="E119" s="519"/>
      <c r="F119" s="519"/>
      <c r="G119" s="85">
        <f>+SUM(DataEx!FF233)</f>
        <v>685138.90036642621</v>
      </c>
      <c r="H119" s="85">
        <f>+SUM(DataEx!FG233)</f>
        <v>871672.04535604198</v>
      </c>
      <c r="I119" s="85">
        <f>+SUM(DataEx!FH233)</f>
        <v>947520.73643311416</v>
      </c>
      <c r="J119" s="85">
        <f>+SUM(DataEx!FI233)</f>
        <v>1037067.5822273893</v>
      </c>
      <c r="K119" s="85">
        <f>+SUM(DataEx!FJ233)</f>
        <v>1197898.4298929251</v>
      </c>
      <c r="L119" s="85">
        <f>+SUM(DataEx!FK233)</f>
        <v>1410094.209853129</v>
      </c>
      <c r="M119" s="85">
        <f>+SUM(DataEx!FL233)</f>
        <v>1787620.5734576886</v>
      </c>
      <c r="N119" s="85">
        <f>+SUM(DataEx!FM233)</f>
        <v>1693345.6465282508</v>
      </c>
      <c r="O119" s="85">
        <f>+SUM(DataEx!FN233)</f>
        <v>1380625.1787412395</v>
      </c>
      <c r="P119" s="85">
        <f>+SUM(DataEx!FO233)</f>
        <v>1333417.9608404613</v>
      </c>
      <c r="Q119" s="85">
        <f>+SUM(DataEx!FP233)</f>
        <v>1126294.7115248898</v>
      </c>
      <c r="R119" s="85">
        <f>+SUM(DataEx!FQ233)</f>
        <v>1238030.6502392469</v>
      </c>
      <c r="S119" s="127">
        <f t="shared" si="20"/>
        <v>14708726.625460804</v>
      </c>
      <c r="T119" s="128">
        <f t="shared" si="21"/>
        <v>3.0716131281503579E-3</v>
      </c>
    </row>
    <row r="120" spans="1:20">
      <c r="A120" s="137" t="str">
        <f t="shared" si="17"/>
        <v>714p</v>
      </c>
      <c r="B120" s="518" t="str">
        <f>+VLOOKUP(LEFT($A120,LEN(A120)-1)*1,Master!$D$27:$G$225,4,FALSE)</f>
        <v>Naknade</v>
      </c>
      <c r="C120" s="519"/>
      <c r="D120" s="519"/>
      <c r="E120" s="519"/>
      <c r="F120" s="519"/>
      <c r="G120" s="85">
        <f>+SUM(DataEx!FF238)</f>
        <v>1855218.8805594216</v>
      </c>
      <c r="H120" s="85">
        <f>+SUM(DataEx!FG238)</f>
        <v>2208648.6574377147</v>
      </c>
      <c r="I120" s="85">
        <f>+SUM(DataEx!FH238)</f>
        <v>2160316.8249254846</v>
      </c>
      <c r="J120" s="85">
        <f>+SUM(DataEx!FI238)</f>
        <v>2520043.5685495138</v>
      </c>
      <c r="K120" s="85">
        <f>+SUM(DataEx!FJ238)</f>
        <v>1739522.6622359063</v>
      </c>
      <c r="L120" s="85">
        <f>+SUM(DataEx!FK238)</f>
        <v>4191264.8807704193</v>
      </c>
      <c r="M120" s="85">
        <f>+SUM(DataEx!FL238)</f>
        <v>4295313.9043248156</v>
      </c>
      <c r="N120" s="85">
        <f>+SUM(DataEx!FM238)</f>
        <v>3121689.7252436914</v>
      </c>
      <c r="O120" s="85">
        <f>+SUM(DataEx!FN238)</f>
        <v>3261559.5182261439</v>
      </c>
      <c r="P120" s="85">
        <f>+SUM(DataEx!FO238)</f>
        <v>3840986.6541232523</v>
      </c>
      <c r="Q120" s="85">
        <f>+SUM(DataEx!FP238)</f>
        <v>3190232.7257357854</v>
      </c>
      <c r="R120" s="85">
        <f>+SUM(DataEx!FQ238)</f>
        <v>4110831.5851102625</v>
      </c>
      <c r="S120" s="127">
        <f t="shared" si="20"/>
        <v>36495629.58724241</v>
      </c>
      <c r="T120" s="128">
        <f t="shared" si="21"/>
        <v>7.6213568866145449E-3</v>
      </c>
    </row>
    <row r="121" spans="1:20">
      <c r="A121" s="137" t="str">
        <f t="shared" si="17"/>
        <v>715p</v>
      </c>
      <c r="B121" s="518" t="str">
        <f>+VLOOKUP(LEFT($A121,LEN(A121)-1)*1,Master!$D$27:$G$225,4,FALSE)</f>
        <v>Ostali prihodi</v>
      </c>
      <c r="C121" s="519"/>
      <c r="D121" s="519"/>
      <c r="E121" s="519"/>
      <c r="F121" s="519"/>
      <c r="G121" s="85">
        <f>+SUM(DataEx!FF245)</f>
        <v>2472817.1107659615</v>
      </c>
      <c r="H121" s="85">
        <f>+SUM(DataEx!FG245)</f>
        <v>1708264.0259820949</v>
      </c>
      <c r="I121" s="85">
        <f>+SUM(DataEx!FH245)</f>
        <v>2148919.5517814872</v>
      </c>
      <c r="J121" s="85">
        <f>+SUM(DataEx!FI245)</f>
        <v>5548847.6983012091</v>
      </c>
      <c r="K121" s="85">
        <f>+SUM(DataEx!FJ245)</f>
        <v>2280721.0376326158</v>
      </c>
      <c r="L121" s="85">
        <f>+SUM(DataEx!FK245)</f>
        <v>2912728.6031032563</v>
      </c>
      <c r="M121" s="85">
        <f>+SUM(DataEx!FL245)</f>
        <v>37135630.113963775</v>
      </c>
      <c r="N121" s="85">
        <f>+SUM(DataEx!FM245)</f>
        <v>3640067.9349820986</v>
      </c>
      <c r="O121" s="85">
        <f>+SUM(DataEx!FN245)</f>
        <v>2890126.2156034028</v>
      </c>
      <c r="P121" s="85">
        <f>+SUM(DataEx!FO245)</f>
        <v>2425421.1272468185</v>
      </c>
      <c r="Q121" s="85">
        <f>+SUM(DataEx!FP245)</f>
        <v>3602398.7755843252</v>
      </c>
      <c r="R121" s="85">
        <f>+SUM(DataEx!FQ245)</f>
        <v>4081286.7718351102</v>
      </c>
      <c r="S121" s="127">
        <f t="shared" si="20"/>
        <v>70847228.966782153</v>
      </c>
      <c r="T121" s="128">
        <f t="shared" si="21"/>
        <v>1.4794977439498425E-2</v>
      </c>
    </row>
    <row r="122" spans="1:20">
      <c r="A122" s="137" t="str">
        <f t="shared" si="17"/>
        <v>73p</v>
      </c>
      <c r="B122" s="518" t="str">
        <f>+VLOOKUP(LEFT($A122,LEN(A122)-1)*1,Master!$D$27:$G$225,4,FALSE)</f>
        <v>Primici od otplate kredita i sredstva prenesena iz prethodne godine</v>
      </c>
      <c r="C122" s="519"/>
      <c r="D122" s="519"/>
      <c r="E122" s="519"/>
      <c r="F122" s="519"/>
      <c r="G122" s="85">
        <f>+SUM(DataEx!FF253)</f>
        <v>122332.2402857355</v>
      </c>
      <c r="H122" s="85">
        <f>+SUM(DataEx!FG253)</f>
        <v>56015.006608868236</v>
      </c>
      <c r="I122" s="85">
        <f>+SUM(DataEx!FH253)</f>
        <v>139149.43248455049</v>
      </c>
      <c r="J122" s="85">
        <f>+SUM(DataEx!FI253)</f>
        <v>315693.23519635049</v>
      </c>
      <c r="K122" s="85">
        <f>+SUM(DataEx!FJ253)</f>
        <v>775525.38983070524</v>
      </c>
      <c r="L122" s="85">
        <f>+SUM(DataEx!FK253)</f>
        <v>1688457.7339032646</v>
      </c>
      <c r="M122" s="85">
        <f>+SUM(DataEx!FL253)</f>
        <v>126661.80329058008</v>
      </c>
      <c r="N122" s="85">
        <f>+SUM(DataEx!FM253)</f>
        <v>104377.85625098775</v>
      </c>
      <c r="O122" s="85">
        <f>+SUM(DataEx!FN253)</f>
        <v>644991.41029727901</v>
      </c>
      <c r="P122" s="85">
        <f>+SUM(DataEx!FO253)</f>
        <v>373666.68197151314</v>
      </c>
      <c r="Q122" s="85">
        <f>+SUM(DataEx!FP253)</f>
        <v>3007848.3296865965</v>
      </c>
      <c r="R122" s="85">
        <f>+SUM(DataEx!FQ253)</f>
        <v>512189.13373121392</v>
      </c>
      <c r="S122" s="127">
        <f t="shared" si="20"/>
        <v>7866908.2535376456</v>
      </c>
      <c r="T122" s="128">
        <f t="shared" si="21"/>
        <v>1.6428409667831195E-3</v>
      </c>
    </row>
    <row r="123" spans="1:20" ht="13.5" thickBot="1">
      <c r="A123" s="137" t="str">
        <f t="shared" si="17"/>
        <v>74p</v>
      </c>
      <c r="B123" s="520" t="str">
        <f>+VLOOKUP(LEFT($A123,LEN(A123)-1)*1,Master!$D$27:$G$225,4,FALSE)</f>
        <v>Donacije i transferi</v>
      </c>
      <c r="C123" s="521"/>
      <c r="D123" s="521"/>
      <c r="E123" s="521"/>
      <c r="F123" s="521"/>
      <c r="G123" s="85">
        <f>+SUM(DataEx!FF256)</f>
        <v>13900267.095136527</v>
      </c>
      <c r="H123" s="85">
        <f>+SUM(DataEx!FG256)</f>
        <v>1483068.7561633477</v>
      </c>
      <c r="I123" s="85">
        <f>+SUM(DataEx!FH256)</f>
        <v>2311164.8648863789</v>
      </c>
      <c r="J123" s="85">
        <f>+SUM(DataEx!FI256)</f>
        <v>3220925.9094750378</v>
      </c>
      <c r="K123" s="85">
        <f>+SUM(DataEx!FJ256)</f>
        <v>3335426.2947824779</v>
      </c>
      <c r="L123" s="85">
        <f>+SUM(DataEx!FK256)</f>
        <v>2930185.4845741447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7504607.1092792293</v>
      </c>
      <c r="S123" s="129">
        <f t="shared" si="20"/>
        <v>51399999.999999993</v>
      </c>
      <c r="T123" s="130">
        <f t="shared" si="21"/>
        <v>1.0733826170488242E-2</v>
      </c>
    </row>
    <row r="124" spans="1:20" ht="13.5" thickBot="1">
      <c r="A124" s="137" t="str">
        <f t="shared" si="17"/>
        <v>4p</v>
      </c>
      <c r="B124" s="506" t="str">
        <f>+VLOOKUP(LEFT($A124,LEN(A124)-1)*1,Master!$D$27:$G$225,4,FALSE)</f>
        <v>Budžetski izdaci</v>
      </c>
      <c r="C124" s="507"/>
      <c r="D124" s="507"/>
      <c r="E124" s="507"/>
      <c r="F124" s="507"/>
      <c r="G124" s="97">
        <f>+G126+G137+G143+SUM(G144:G148)</f>
        <v>167422167.16749999</v>
      </c>
      <c r="H124" s="97">
        <f t="shared" ref="H124:R124" si="23">+H126+H137+H143+SUM(H144:H148)</f>
        <v>163118817.50749999</v>
      </c>
      <c r="I124" s="97">
        <f t="shared" si="23"/>
        <v>188570015.26749998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168321460.70750001</v>
      </c>
      <c r="N124" s="97">
        <f t="shared" si="23"/>
        <v>155123661.6575</v>
      </c>
      <c r="O124" s="97">
        <f t="shared" si="23"/>
        <v>158937205.3075</v>
      </c>
      <c r="P124" s="97">
        <f t="shared" si="23"/>
        <v>154446229.72749999</v>
      </c>
      <c r="Q124" s="97">
        <f t="shared" si="23"/>
        <v>160715930.00749999</v>
      </c>
      <c r="R124" s="97">
        <f t="shared" si="23"/>
        <v>154540887.42750004</v>
      </c>
      <c r="S124" s="131">
        <f>+SUM(G124:R124)</f>
        <v>1970196305.9899998</v>
      </c>
      <c r="T124" s="132">
        <f t="shared" si="21"/>
        <v>0.41143472121079228</v>
      </c>
    </row>
    <row r="125" spans="1:20" ht="13.5" thickBot="1">
      <c r="A125" s="137" t="str">
        <f t="shared" si="17"/>
        <v>41p</v>
      </c>
      <c r="B125" s="522" t="str">
        <f>+VLOOKUP(LEFT($A125,LEN(A125)-1)*1,Master!$D$27:$G$225,4,FALSE)</f>
        <v>Tekući izdaci</v>
      </c>
      <c r="C125" s="523"/>
      <c r="D125" s="523"/>
      <c r="E125" s="523"/>
      <c r="F125" s="523"/>
      <c r="G125" s="80">
        <f t="shared" ref="G125:R125" si="24">+G124-G144</f>
        <v>140678417.17750001</v>
      </c>
      <c r="H125" s="80">
        <f t="shared" si="24"/>
        <v>136375067.51749998</v>
      </c>
      <c r="I125" s="80">
        <f t="shared" si="24"/>
        <v>161826265.27749997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141577710.71750003</v>
      </c>
      <c r="N125" s="80">
        <f t="shared" si="24"/>
        <v>128379911.6675</v>
      </c>
      <c r="O125" s="80">
        <f t="shared" si="24"/>
        <v>132193455.31750001</v>
      </c>
      <c r="P125" s="80">
        <f t="shared" si="24"/>
        <v>127702479.7375</v>
      </c>
      <c r="Q125" s="80">
        <f t="shared" si="24"/>
        <v>133972180.0175</v>
      </c>
      <c r="R125" s="80">
        <f t="shared" si="24"/>
        <v>127797137.31750004</v>
      </c>
      <c r="S125" s="133">
        <f t="shared" si="20"/>
        <v>1649271305.9900002</v>
      </c>
      <c r="T125" s="134">
        <f t="shared" si="21"/>
        <v>0.34441617716869238</v>
      </c>
    </row>
    <row r="126" spans="1:20">
      <c r="A126" s="137" t="str">
        <f t="shared" si="17"/>
        <v>40p</v>
      </c>
      <c r="B126" s="524" t="str">
        <f>+VLOOKUP(LEFT($A126,LEN(A126)-1)*1,Master!$D$27:$G$225,4,FALSE)</f>
        <v>Tekući budžetski izdaci</v>
      </c>
      <c r="C126" s="525"/>
      <c r="D126" s="525"/>
      <c r="E126" s="525"/>
      <c r="F126" s="525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70850303.30250001</v>
      </c>
      <c r="N126" s="89">
        <f t="shared" si="25"/>
        <v>62536600.912500001</v>
      </c>
      <c r="O126" s="89">
        <f t="shared" si="25"/>
        <v>66552012.502500005</v>
      </c>
      <c r="P126" s="89">
        <f t="shared" si="25"/>
        <v>62366029.3825</v>
      </c>
      <c r="Q126" s="89">
        <f t="shared" si="25"/>
        <v>68619273.662500009</v>
      </c>
      <c r="R126" s="90">
        <f t="shared" si="25"/>
        <v>62200798.892500028</v>
      </c>
      <c r="S126" s="123">
        <f t="shared" si="20"/>
        <v>845090271.21000028</v>
      </c>
      <c r="T126" s="124">
        <f t="shared" si="21"/>
        <v>0.17647961224783867</v>
      </c>
    </row>
    <row r="127" spans="1:20">
      <c r="A127" s="137" t="str">
        <f t="shared" si="17"/>
        <v>411p</v>
      </c>
      <c r="B127" s="514" t="str">
        <f>+VLOOKUP(LEFT($A127,LEN(A127)-1)*1,Master!$D$27:$G$225,4,FALSE)</f>
        <v>Bruto zarade i doprinosi na teret poslodavca</v>
      </c>
      <c r="C127" s="515"/>
      <c r="D127" s="515"/>
      <c r="E127" s="515"/>
      <c r="F127" s="515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38863330.00166668</v>
      </c>
      <c r="S127" s="125">
        <f t="shared" si="20"/>
        <v>472059398.15000004</v>
      </c>
      <c r="T127" s="126">
        <f t="shared" si="21"/>
        <v>9.8579835056175097E-2</v>
      </c>
    </row>
    <row r="128" spans="1:20">
      <c r="A128" s="137" t="str">
        <f t="shared" si="17"/>
        <v>412p</v>
      </c>
      <c r="B128" s="514" t="str">
        <f>+VLOOKUP(LEFT($A128,LEN(A128)-1)*1,Master!$D$27:$G$225,4,FALSE)</f>
        <v>Ostala lična primanja</v>
      </c>
      <c r="C128" s="515"/>
      <c r="D128" s="515"/>
      <c r="E128" s="515"/>
      <c r="F128" s="515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1235674.3108333333</v>
      </c>
      <c r="S128" s="125">
        <f t="shared" si="20"/>
        <v>15072625.449999999</v>
      </c>
      <c r="T128" s="126">
        <f t="shared" si="21"/>
        <v>3.1476058660151189E-3</v>
      </c>
    </row>
    <row r="129" spans="1:20">
      <c r="A129" s="137" t="str">
        <f t="shared" si="17"/>
        <v>413p</v>
      </c>
      <c r="B129" s="514" t="str">
        <f>+VLOOKUP(LEFT($A129,LEN(A129)-1)*1,Master!$D$27:$G$225,4,FALSE)</f>
        <v>Rashodi za materijal</v>
      </c>
      <c r="C129" s="515"/>
      <c r="D129" s="515"/>
      <c r="E129" s="515"/>
      <c r="F129" s="515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125">
        <f t="shared" si="20"/>
        <v>36652827.660000004</v>
      </c>
      <c r="T129" s="126">
        <f t="shared" si="21"/>
        <v>7.6541844505701052E-3</v>
      </c>
    </row>
    <row r="130" spans="1:20">
      <c r="A130" s="137" t="str">
        <f t="shared" si="17"/>
        <v>414p</v>
      </c>
      <c r="B130" s="514" t="str">
        <f>+VLOOKUP(LEFT($A130,LEN(A130)-1)*1,Master!$D$27:$G$225,4,FALSE)</f>
        <v>Rashodi za usluge</v>
      </c>
      <c r="C130" s="515"/>
      <c r="D130" s="515"/>
      <c r="E130" s="515"/>
      <c r="F130" s="515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5045534.8375000004</v>
      </c>
      <c r="N130" s="91">
        <f>+SUM(DataEx!FM286)</f>
        <v>5057538.8375000004</v>
      </c>
      <c r="O130" s="91">
        <f>+SUM(DataEx!FN286)</f>
        <v>5162334.3375000004</v>
      </c>
      <c r="P130" s="91">
        <f>+SUM(DataEx!FO286)</f>
        <v>5048700.9275000002</v>
      </c>
      <c r="Q130" s="91">
        <f>+SUM(DataEx!FP286)</f>
        <v>5048329.2575000003</v>
      </c>
      <c r="R130" s="91">
        <f>+SUM(DataEx!FQ286)</f>
        <v>4986898.6075000009</v>
      </c>
      <c r="S130" s="125">
        <f t="shared" si="20"/>
        <v>63045731.57</v>
      </c>
      <c r="T130" s="126">
        <f t="shared" si="21"/>
        <v>1.3165796176335464E-2</v>
      </c>
    </row>
    <row r="131" spans="1:20">
      <c r="A131" s="137" t="str">
        <f t="shared" si="17"/>
        <v>415p</v>
      </c>
      <c r="B131" s="514" t="str">
        <f>+VLOOKUP(LEFT($A131,LEN(A131)-1)*1,Master!$D$27:$G$225,4,FALSE)</f>
        <v>Rashodi za tekuće održavanje</v>
      </c>
      <c r="C131" s="515"/>
      <c r="D131" s="515"/>
      <c r="E131" s="515"/>
      <c r="F131" s="515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125">
        <f t="shared" si="20"/>
        <v>23117903.600000001</v>
      </c>
      <c r="T131" s="126">
        <f t="shared" si="21"/>
        <v>4.8276956939397736E-3</v>
      </c>
    </row>
    <row r="132" spans="1:20">
      <c r="A132" s="137" t="str">
        <f t="shared" si="17"/>
        <v>416p</v>
      </c>
      <c r="B132" s="514" t="str">
        <f>+VLOOKUP(LEFT($A132,LEN(A132)-1)*1,Master!$D$27:$G$225,4,FALSE)</f>
        <v>Kamate</v>
      </c>
      <c r="C132" s="515"/>
      <c r="D132" s="515"/>
      <c r="E132" s="515"/>
      <c r="F132" s="515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125">
        <f t="shared" si="20"/>
        <v>95752699.999999985</v>
      </c>
      <c r="T132" s="126">
        <f t="shared" si="21"/>
        <v>1.9995969594453492E-2</v>
      </c>
    </row>
    <row r="133" spans="1:20">
      <c r="A133" s="137" t="str">
        <f t="shared" si="17"/>
        <v>417p</v>
      </c>
      <c r="B133" s="514" t="str">
        <f>+VLOOKUP(LEFT($A133,LEN(A133)-1)*1,Master!$D$27:$G$225,4,FALSE)</f>
        <v>Renta</v>
      </c>
      <c r="C133" s="515"/>
      <c r="D133" s="515"/>
      <c r="E133" s="515"/>
      <c r="F133" s="515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125">
        <f t="shared" si="20"/>
        <v>9821101.7599999998</v>
      </c>
      <c r="T133" s="126">
        <f t="shared" si="21"/>
        <v>2.0509338345236603E-3</v>
      </c>
    </row>
    <row r="134" spans="1:20">
      <c r="A134" s="137" t="str">
        <f t="shared" si="17"/>
        <v>418p</v>
      </c>
      <c r="B134" s="514" t="str">
        <f>+VLOOKUP(LEFT($A134,LEN(A134)-1)*1,Master!$D$27:$G$225,4,FALSE)</f>
        <v>Subvencije</v>
      </c>
      <c r="C134" s="515"/>
      <c r="D134" s="515"/>
      <c r="E134" s="515"/>
      <c r="F134" s="515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125">
        <f t="shared" si="20"/>
        <v>30814599.999999993</v>
      </c>
      <c r="T134" s="126">
        <f t="shared" si="21"/>
        <v>6.4349914379985785E-3</v>
      </c>
    </row>
    <row r="135" spans="1:20">
      <c r="A135" s="137" t="str">
        <f t="shared" si="17"/>
        <v>419p</v>
      </c>
      <c r="B135" s="514" t="str">
        <f>+VLOOKUP(LEFT($A135,LEN(A135)-1)*1,Master!$D$27:$G$225,4,FALSE)</f>
        <v>Ostali izdaci</v>
      </c>
      <c r="C135" s="515"/>
      <c r="D135" s="515"/>
      <c r="E135" s="515"/>
      <c r="F135" s="515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4272049.5508333351</v>
      </c>
      <c r="N135" s="91">
        <f>+SUM(DataEx!FM311)</f>
        <v>3177649.6708333334</v>
      </c>
      <c r="O135" s="91">
        <f>+SUM(DataEx!FN311)</f>
        <v>3136649.6408333336</v>
      </c>
      <c r="P135" s="91">
        <f>+SUM(DataEx!FO311)</f>
        <v>3127759.6208333336</v>
      </c>
      <c r="Q135" s="91">
        <f>+SUM(DataEx!FP311)</f>
        <v>3164504.6508333334</v>
      </c>
      <c r="R135" s="91">
        <f>+SUM(DataEx!FQ311)</f>
        <v>3064612.7408333337</v>
      </c>
      <c r="S135" s="125">
        <f t="shared" si="20"/>
        <v>42096323.400000006</v>
      </c>
      <c r="T135" s="126">
        <f t="shared" si="21"/>
        <v>8.7909458714446817E-3</v>
      </c>
    </row>
    <row r="136" spans="1:20">
      <c r="A136" s="137" t="str">
        <f t="shared" si="17"/>
        <v>440p</v>
      </c>
      <c r="B136" s="514" t="str">
        <f>+VLOOKUP(LEFT($A136,LEN(A136)-1)*1,Master!$D$27:$G$225,4,FALSE)</f>
        <v>Kapitalni izdaci u tekućem budžetu</v>
      </c>
      <c r="C136" s="515"/>
      <c r="D136" s="515"/>
      <c r="E136" s="515"/>
      <c r="F136" s="515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4614205.3275000015</v>
      </c>
      <c r="N136" s="91">
        <f>+SUM(DataEx!FM369)</f>
        <v>4567667.1475000018</v>
      </c>
      <c r="O136" s="91">
        <f>+SUM(DataEx!FN369)</f>
        <v>4572709.1475000018</v>
      </c>
      <c r="P136" s="91">
        <f>+SUM(DataEx!FO369)</f>
        <v>4547709.1475000018</v>
      </c>
      <c r="Q136" s="91">
        <f>+SUM(DataEx!FP369)</f>
        <v>4386209.1475000018</v>
      </c>
      <c r="R136" s="91">
        <f>+SUM(DataEx!FQ369)</f>
        <v>4398442.6775000012</v>
      </c>
      <c r="S136" s="125">
        <f t="shared" si="20"/>
        <v>56657059.620000012</v>
      </c>
      <c r="T136" s="126">
        <f t="shared" si="21"/>
        <v>1.1831654266382661E-2</v>
      </c>
    </row>
    <row r="137" spans="1:20">
      <c r="A137" s="137" t="str">
        <f t="shared" si="17"/>
        <v>42p</v>
      </c>
      <c r="B137" s="512" t="str">
        <f>+VLOOKUP(LEFT($A137,LEN(A137)-1)*1,Master!$D$27:$G$225,4,FALSE)</f>
        <v>Transferi za socijalnu zaštitu</v>
      </c>
      <c r="C137" s="513"/>
      <c r="D137" s="513"/>
      <c r="E137" s="513"/>
      <c r="F137" s="513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46206149.810000002</v>
      </c>
      <c r="Q137" s="87">
        <f t="shared" si="26"/>
        <v>46206149.810000002</v>
      </c>
      <c r="R137" s="87">
        <f t="shared" si="26"/>
        <v>46206149.810000002</v>
      </c>
      <c r="S137" s="127">
        <f t="shared" si="20"/>
        <v>554472497.81999993</v>
      </c>
      <c r="T137" s="128">
        <f t="shared" si="21"/>
        <v>0.11579010521237938</v>
      </c>
    </row>
    <row r="138" spans="1:20">
      <c r="A138" s="137" t="str">
        <f t="shared" si="17"/>
        <v>421p</v>
      </c>
      <c r="B138" s="514" t="str">
        <f>+VLOOKUP(LEFT($A138,LEN(A138)-1)*1,Master!$D$27:$G$225,4,FALSE)</f>
        <v>Prava iz oblasti socijalne zaštite</v>
      </c>
      <c r="C138" s="515"/>
      <c r="D138" s="515"/>
      <c r="E138" s="515"/>
      <c r="F138" s="515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125">
        <f t="shared" si="20"/>
        <v>80990000.000000015</v>
      </c>
      <c r="T138" s="126">
        <f t="shared" si="21"/>
        <v>1.6913085244121457E-2</v>
      </c>
    </row>
    <row r="139" spans="1:20">
      <c r="A139" s="137" t="str">
        <f t="shared" si="17"/>
        <v>422p</v>
      </c>
      <c r="B139" s="514" t="str">
        <f>+VLOOKUP(LEFT($A139,LEN(A139)-1)*1,Master!$D$27:$G$225,4,FALSE)</f>
        <v>Sredstva za tehnološke viškove</v>
      </c>
      <c r="C139" s="515"/>
      <c r="D139" s="515"/>
      <c r="E139" s="515"/>
      <c r="F139" s="515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1236031.8699999999</v>
      </c>
      <c r="Q139" s="91">
        <f>SUM(DataEx!FP330)</f>
        <v>1236031.8699999999</v>
      </c>
      <c r="R139" s="91">
        <f>SUM(DataEx!FQ330)</f>
        <v>1236031.8699999999</v>
      </c>
      <c r="S139" s="125">
        <f t="shared" si="20"/>
        <v>14832382.369999997</v>
      </c>
      <c r="T139" s="126">
        <f t="shared" si="21"/>
        <v>3.0974360710854941E-3</v>
      </c>
    </row>
    <row r="140" spans="1:20">
      <c r="A140" s="137" t="str">
        <f t="shared" si="17"/>
        <v>423p</v>
      </c>
      <c r="B140" s="514" t="str">
        <f>+VLOOKUP(LEFT($A140,LEN(A140)-1)*1,Master!$D$27:$G$225,4,FALSE)</f>
        <v>Prava iz oblasti penzijskog i invalidskog osiguranja</v>
      </c>
      <c r="C140" s="515"/>
      <c r="D140" s="515"/>
      <c r="E140" s="515"/>
      <c r="F140" s="515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125">
        <f t="shared" si="20"/>
        <v>429025014.44999993</v>
      </c>
      <c r="T140" s="126">
        <f t="shared" si="21"/>
        <v>8.9592994706177154E-2</v>
      </c>
    </row>
    <row r="141" spans="1:20">
      <c r="A141" s="137" t="str">
        <f t="shared" si="17"/>
        <v>424p</v>
      </c>
      <c r="B141" s="514" t="str">
        <f>+VLOOKUP(LEFT($A141,LEN(A141)-1)*1,Master!$D$27:$G$225,4,FALSE)</f>
        <v>Ostala prava iz oblasti zdravstvene zaštite</v>
      </c>
      <c r="C141" s="515"/>
      <c r="D141" s="515"/>
      <c r="E141" s="515"/>
      <c r="F141" s="515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125">
        <f t="shared" si="20"/>
        <v>19000100</v>
      </c>
      <c r="T141" s="126">
        <f t="shared" si="21"/>
        <v>3.9677776385582423E-3</v>
      </c>
    </row>
    <row r="142" spans="1:20">
      <c r="A142" s="137" t="str">
        <f t="shared" si="17"/>
        <v>425p</v>
      </c>
      <c r="B142" s="514" t="str">
        <f>+VLOOKUP(LEFT($A142,LEN(A142)-1)*1,Master!$D$27:$G$225,4,FALSE)</f>
        <v>Ostala prava iz zdravstvenog osiguranja</v>
      </c>
      <c r="C142" s="515"/>
      <c r="D142" s="515"/>
      <c r="E142" s="515"/>
      <c r="F142" s="515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125">
        <f t="shared" si="20"/>
        <v>10625001</v>
      </c>
      <c r="T142" s="126">
        <f t="shared" si="21"/>
        <v>2.2188115524370382E-3</v>
      </c>
    </row>
    <row r="143" spans="1:20">
      <c r="A143" s="137" t="str">
        <f t="shared" si="17"/>
        <v>43p</v>
      </c>
      <c r="B143" s="516" t="str">
        <f>+VLOOKUP(LEFT($A143,LEN(A143)-1)*1,Master!$D$27:$G$225,4,FALSE)</f>
        <v xml:space="preserve">Transferi institucijama, pojedincima, nevladinom i javnom sektoru </v>
      </c>
      <c r="C143" s="517"/>
      <c r="D143" s="517"/>
      <c r="E143" s="517"/>
      <c r="F143" s="517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20840700.928333335</v>
      </c>
      <c r="N143" s="85">
        <f>SUM(DataEx!FM350)</f>
        <v>15963999.858333332</v>
      </c>
      <c r="O143" s="85">
        <f>SUM(DataEx!FN350)</f>
        <v>15983999.858333332</v>
      </c>
      <c r="P143" s="85">
        <f>SUM(DataEx!FO350)</f>
        <v>15915666.518333333</v>
      </c>
      <c r="Q143" s="85">
        <f>SUM(DataEx!FP350)</f>
        <v>15858166.538333332</v>
      </c>
      <c r="R143" s="85">
        <f>SUM(DataEx!FQ350)</f>
        <v>16016549.358333332</v>
      </c>
      <c r="S143" s="127">
        <f>+SUM(G143:R143)</f>
        <v>208898534.95999995</v>
      </c>
      <c r="T143" s="128">
        <f t="shared" si="21"/>
        <v>4.3624135438332698E-2</v>
      </c>
    </row>
    <row r="144" spans="1:20">
      <c r="A144" s="137" t="str">
        <f t="shared" si="17"/>
        <v>44p</v>
      </c>
      <c r="B144" s="516" t="str">
        <f>+VLOOKUP(LEFT($A144,LEN(A144)-1)*1,Master!$D$27:$G$225,4,FALSE)</f>
        <v>Kapitalni budžet</v>
      </c>
      <c r="C144" s="517"/>
      <c r="D144" s="517"/>
      <c r="E144" s="517"/>
      <c r="F144" s="517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26743749.989999995</v>
      </c>
      <c r="R144" s="85">
        <f>SUM(DataEx!FQ368)</f>
        <v>26743750.109999999</v>
      </c>
      <c r="S144" s="127">
        <f t="shared" si="20"/>
        <v>320925000</v>
      </c>
      <c r="T144" s="128">
        <f t="shared" si="21"/>
        <v>6.7018544042099989E-2</v>
      </c>
    </row>
    <row r="145" spans="1:20">
      <c r="A145" s="137" t="str">
        <f t="shared" si="17"/>
        <v>451p</v>
      </c>
      <c r="B145" s="500" t="str">
        <f>+VLOOKUP(LEFT($A145,LEN(A145)-1)*1,Master!$D$27:$G$225,4,FALSE)</f>
        <v>Pozajmice i krediti</v>
      </c>
      <c r="C145" s="501"/>
      <c r="D145" s="501"/>
      <c r="E145" s="501"/>
      <c r="F145" s="501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125">
        <f t="shared" si="20"/>
        <v>2280000.9999999995</v>
      </c>
      <c r="T145" s="126">
        <f t="shared" si="21"/>
        <v>4.7613101950465681E-4</v>
      </c>
    </row>
    <row r="146" spans="1:20">
      <c r="A146" s="137" t="str">
        <f t="shared" si="17"/>
        <v>47p</v>
      </c>
      <c r="B146" s="500" t="str">
        <f>+VLOOKUP(LEFT($A146,LEN(A146)-1)*1,Master!$D$27:$G$225,4,FALSE)</f>
        <v>Rezerve</v>
      </c>
      <c r="C146" s="501"/>
      <c r="D146" s="501"/>
      <c r="E146" s="501"/>
      <c r="F146" s="501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1650583.3333333333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1650583.3333333333</v>
      </c>
      <c r="Q146" s="91">
        <f>SUM(DataEx!FP394)</f>
        <v>1650583.3333333333</v>
      </c>
      <c r="R146" s="91">
        <f>SUM(DataEx!FQ394)</f>
        <v>1650583.3333333333</v>
      </c>
      <c r="S146" s="125">
        <f t="shared" si="20"/>
        <v>20000000</v>
      </c>
      <c r="T146" s="126">
        <f t="shared" si="21"/>
        <v>4.1765860585557361E-3</v>
      </c>
    </row>
    <row r="147" spans="1:20">
      <c r="A147" s="137" t="str">
        <f t="shared" si="17"/>
        <v>462p</v>
      </c>
      <c r="B147" s="500" t="str">
        <f>+VLOOKUP(LEFT($A147,LEN(A147)-1)*1,Master!$D$27:$G$225,4,FALSE)</f>
        <v>Otplata garancija</v>
      </c>
      <c r="C147" s="501"/>
      <c r="D147" s="501"/>
      <c r="E147" s="501"/>
      <c r="F147" s="501"/>
      <c r="G147" s="91">
        <f>SUM(DataEx!FF381)</f>
        <v>0</v>
      </c>
      <c r="H147" s="91">
        <f>SUM(DataEx!FG381)</f>
        <v>0</v>
      </c>
      <c r="I147" s="91">
        <f>SUM(DataEx!FH381)</f>
        <v>0</v>
      </c>
      <c r="J147" s="91">
        <f>SUM(DataEx!FI381)</f>
        <v>0</v>
      </c>
      <c r="K147" s="91">
        <f>SUM(DataEx!FJ381)</f>
        <v>0</v>
      </c>
      <c r="L147" s="91">
        <f>SUM(DataEx!FK381)</f>
        <v>0</v>
      </c>
      <c r="M147" s="91">
        <f>SUM(DataEx!FL381)</f>
        <v>0</v>
      </c>
      <c r="N147" s="91">
        <f>SUM(DataEx!FM381)</f>
        <v>0</v>
      </c>
      <c r="O147" s="91">
        <f>SUM(DataEx!FN381)</f>
        <v>0</v>
      </c>
      <c r="P147" s="91">
        <f>SUM(DataEx!FO381)</f>
        <v>0</v>
      </c>
      <c r="Q147" s="91">
        <f>SUM(DataEx!FP381)</f>
        <v>0</v>
      </c>
      <c r="R147" s="91">
        <f>SUM(DataEx!FQ381)</f>
        <v>0</v>
      </c>
      <c r="S147" s="125">
        <f t="shared" si="20"/>
        <v>0</v>
      </c>
      <c r="T147" s="126">
        <f t="shared" si="21"/>
        <v>0</v>
      </c>
    </row>
    <row r="148" spans="1:20">
      <c r="A148" s="138" t="str">
        <f>+CONCATENATE(A53,"p")</f>
        <v>4630p</v>
      </c>
      <c r="B148" s="500" t="str">
        <f>+VLOOKUP(LEFT($A148,LEN(A148)-1)*1,Master!$D$27:$G$225,4,FALSE)</f>
        <v>Otplata obaveza iz prethodnih godina</v>
      </c>
      <c r="C148" s="501"/>
      <c r="D148" s="501"/>
      <c r="E148" s="501"/>
      <c r="F148" s="501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1533055.8399999999</v>
      </c>
      <c r="S148" s="107">
        <f>+SUM(G148:R148)</f>
        <v>18530001</v>
      </c>
      <c r="T148" s="108">
        <f>+S148/$T$7</f>
        <v>3.8696071920811927E-3</v>
      </c>
    </row>
    <row r="149" spans="1:20" ht="13.5" thickBot="1">
      <c r="A149" s="137"/>
      <c r="B149" s="500" t="s">
        <v>696</v>
      </c>
      <c r="C149" s="501"/>
      <c r="D149" s="501"/>
      <c r="E149" s="501"/>
      <c r="F149" s="501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135">
        <f>SUM(G149:R149)</f>
        <v>0</v>
      </c>
      <c r="T149" s="136">
        <f t="shared" si="21"/>
        <v>0</v>
      </c>
    </row>
    <row r="150" spans="1:20" ht="13.5" thickBot="1">
      <c r="A150" s="138" t="str">
        <f>+CONCATENATE(A55,"p")</f>
        <v>1000p</v>
      </c>
      <c r="B150" s="508" t="str">
        <f>+VLOOKUP(LEFT($A150,LEN(A150)-1)*1,Master!$D$27:$G$225,4,FALSE)</f>
        <v>Suficit / deficit</v>
      </c>
      <c r="C150" s="509"/>
      <c r="D150" s="509"/>
      <c r="E150" s="509"/>
      <c r="F150" s="509"/>
      <c r="G150" s="97">
        <f t="shared" ref="G150:R150" si="27">+G105-G124</f>
        <v>-67279544.971551239</v>
      </c>
      <c r="H150" s="97">
        <f t="shared" si="27"/>
        <v>-52914716.055624664</v>
      </c>
      <c r="I150" s="97">
        <f t="shared" si="27"/>
        <v>-44258214.206555516</v>
      </c>
      <c r="J150" s="97">
        <f t="shared" si="27"/>
        <v>-16163220.784077942</v>
      </c>
      <c r="K150" s="97">
        <f t="shared" si="27"/>
        <v>-22836050.737300813</v>
      </c>
      <c r="L150" s="97">
        <f t="shared" si="27"/>
        <v>-11410113.468270361</v>
      </c>
      <c r="M150" s="97">
        <f t="shared" si="27"/>
        <v>35685433.881916046</v>
      </c>
      <c r="N150" s="97">
        <f t="shared" si="27"/>
        <v>14284222.042717665</v>
      </c>
      <c r="O150" s="97">
        <f t="shared" si="27"/>
        <v>-3980574.7962235212</v>
      </c>
      <c r="P150" s="97">
        <f t="shared" si="27"/>
        <v>-1530170.9130620062</v>
      </c>
      <c r="Q150" s="97">
        <f t="shared" si="27"/>
        <v>-9733287.6952391863</v>
      </c>
      <c r="R150" s="97">
        <f t="shared" si="27"/>
        <v>37943441.808385491</v>
      </c>
      <c r="S150" s="113">
        <f t="shared" si="20"/>
        <v>-142192795.89488605</v>
      </c>
      <c r="T150" s="114">
        <f t="shared" si="21"/>
        <v>-2.969402244808212E-2</v>
      </c>
    </row>
    <row r="151" spans="1:20" ht="13.5" thickBot="1">
      <c r="A151" s="138" t="str">
        <f>+CONCATENATE(A56,"p")</f>
        <v>1001p</v>
      </c>
      <c r="B151" s="510" t="str">
        <f>+VLOOKUP(LEFT($A151,LEN(A151)-1)*1,Master!$D$27:$G$225,4,FALSE)</f>
        <v>Primarni bilans</v>
      </c>
      <c r="C151" s="511"/>
      <c r="D151" s="511"/>
      <c r="E151" s="511"/>
      <c r="F151" s="511"/>
      <c r="G151" s="98">
        <f t="shared" ref="G151:R151" si="28">+G150+G132</f>
        <v>-59298819.971551239</v>
      </c>
      <c r="H151" s="98">
        <f t="shared" si="28"/>
        <v>-51927996.095624663</v>
      </c>
      <c r="I151" s="98">
        <f t="shared" si="28"/>
        <v>-16156715.106555514</v>
      </c>
      <c r="J151" s="98">
        <f t="shared" si="28"/>
        <v>2336511.3159220591</v>
      </c>
      <c r="K151" s="98">
        <f t="shared" si="28"/>
        <v>-8790214.4673008118</v>
      </c>
      <c r="L151" s="98">
        <f t="shared" si="28"/>
        <v>-9436310.8082703613</v>
      </c>
      <c r="M151" s="98">
        <f t="shared" si="28"/>
        <v>44449909.671916045</v>
      </c>
      <c r="N151" s="98">
        <f t="shared" si="28"/>
        <v>15581428.182717666</v>
      </c>
      <c r="O151" s="98">
        <f t="shared" si="28"/>
        <v>-840248.99622352049</v>
      </c>
      <c r="P151" s="98">
        <f t="shared" si="28"/>
        <v>-208878.83306200546</v>
      </c>
      <c r="Q151" s="98">
        <f t="shared" si="28"/>
        <v>-1929550.3652391853</v>
      </c>
      <c r="R151" s="98">
        <f t="shared" si="28"/>
        <v>39780789.578385495</v>
      </c>
      <c r="S151" s="113">
        <f t="shared" si="20"/>
        <v>-46440095.894886054</v>
      </c>
      <c r="T151" s="114">
        <f t="shared" si="21"/>
        <v>-9.69805285362863E-3</v>
      </c>
    </row>
    <row r="152" spans="1:20">
      <c r="A152" s="138" t="str">
        <f>+CONCATENATE(A57,"p")</f>
        <v>46p</v>
      </c>
      <c r="B152" s="512" t="str">
        <f>+VLOOKUP(LEFT($A152,LEN(A152)-1)*1,Master!$D$27:$G$225,4,FALSE)</f>
        <v>Otplata dugova</v>
      </c>
      <c r="C152" s="513"/>
      <c r="D152" s="513"/>
      <c r="E152" s="513"/>
      <c r="F152" s="513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109">
        <f t="shared" si="20"/>
        <v>373600000</v>
      </c>
      <c r="T152" s="110">
        <f t="shared" si="21"/>
        <v>7.8018627573821164E-2</v>
      </c>
    </row>
    <row r="153" spans="1:20">
      <c r="A153" s="138" t="str">
        <f>+CONCATENATE(A58,"p")</f>
        <v>4611p</v>
      </c>
      <c r="B153" s="502" t="str">
        <f>+VLOOKUP(LEFT($A153,LEN(A153)-1)*1,Master!$D$27:$G$225,4,FALSE)</f>
        <v>Otplata hartija od vrijednosti i kredita rezidentima</v>
      </c>
      <c r="C153" s="503"/>
      <c r="D153" s="503"/>
      <c r="E153" s="503"/>
      <c r="F153" s="503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107">
        <f t="shared" si="20"/>
        <v>44100000.039999999</v>
      </c>
      <c r="T153" s="108">
        <f t="shared" si="21"/>
        <v>9.2093722674685703E-3</v>
      </c>
    </row>
    <row r="154" spans="1:20" ht="13.5" thickBot="1">
      <c r="A154" s="138" t="str">
        <f>+CONCATENATE(A59,"p")</f>
        <v>4612p</v>
      </c>
      <c r="B154" s="500" t="str">
        <f>+VLOOKUP(LEFT($A154,LEN(A154)-1)*1,Master!$D$27:$G$225,4,FALSE)</f>
        <v>Otplata hartija od vrijednosti i kredita nerezidentima</v>
      </c>
      <c r="C154" s="501"/>
      <c r="D154" s="501"/>
      <c r="E154" s="501"/>
      <c r="F154" s="501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107">
        <f t="shared" si="20"/>
        <v>329499999.95999998</v>
      </c>
      <c r="T154" s="108">
        <f t="shared" si="21"/>
        <v>6.8809255306352582E-2</v>
      </c>
    </row>
    <row r="155" spans="1:20" ht="13.5" thickBot="1">
      <c r="A155" s="138"/>
      <c r="B155" s="510" t="s">
        <v>340</v>
      </c>
      <c r="C155" s="511"/>
      <c r="D155" s="511"/>
      <c r="E155" s="511"/>
      <c r="F155" s="511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113">
        <f t="shared" si="20"/>
        <v>40220000.000000015</v>
      </c>
      <c r="T155" s="114">
        <f t="shared" si="21"/>
        <v>8.39911456375559E-3</v>
      </c>
    </row>
    <row r="156" spans="1:20" ht="13.5" thickBot="1">
      <c r="A156" s="138" t="str">
        <f t="shared" ref="A156:A161" si="30">+CONCATENATE(A61,"p")</f>
        <v>1002p</v>
      </c>
      <c r="B156" s="504" t="str">
        <f>+VLOOKUP(LEFT($A156,LEN(A156)-1)*1,Master!$D$27:$G$225,4,FALSE)</f>
        <v>Nedostajuća sredstva</v>
      </c>
      <c r="C156" s="505"/>
      <c r="D156" s="505"/>
      <c r="E156" s="505"/>
      <c r="F156" s="505"/>
      <c r="G156" s="79">
        <f t="shared" ref="G156:R156" si="31">+G150-G152-G155</f>
        <v>-69024575.301551238</v>
      </c>
      <c r="H156" s="79">
        <f t="shared" si="31"/>
        <v>-56304075.675624669</v>
      </c>
      <c r="I156" s="79">
        <f t="shared" si="31"/>
        <v>-61905806.566555515</v>
      </c>
      <c r="J156" s="79">
        <f t="shared" si="31"/>
        <v>-77307082.744077951</v>
      </c>
      <c r="K156" s="79">
        <f t="shared" si="31"/>
        <v>-204352275.2873008</v>
      </c>
      <c r="L156" s="79">
        <f t="shared" si="31"/>
        <v>-28281565.938270364</v>
      </c>
      <c r="M156" s="79">
        <f t="shared" si="31"/>
        <v>-26062277.058083959</v>
      </c>
      <c r="N156" s="79">
        <f t="shared" si="31"/>
        <v>502814.2827176656</v>
      </c>
      <c r="O156" s="79">
        <f t="shared" si="31"/>
        <v>-21838558.776223522</v>
      </c>
      <c r="P156" s="79">
        <f t="shared" si="31"/>
        <v>-7707993.8130620057</v>
      </c>
      <c r="Q156" s="79">
        <f t="shared" si="31"/>
        <v>-19936460.235239185</v>
      </c>
      <c r="R156" s="79">
        <f t="shared" si="31"/>
        <v>16205061.21838549</v>
      </c>
      <c r="S156" s="117">
        <f t="shared" si="20"/>
        <v>-556012795.89488602</v>
      </c>
      <c r="T156" s="118">
        <f t="shared" si="21"/>
        <v>-0.11611176458565886</v>
      </c>
    </row>
    <row r="157" spans="1:20" ht="13.5" thickBot="1">
      <c r="A157" s="138" t="str">
        <f t="shared" si="30"/>
        <v>1003p</v>
      </c>
      <c r="B157" s="506" t="str">
        <f>+VLOOKUP(LEFT($A157,LEN(A157)-1)*1,Master!$D$27:$G$225,4,FALSE)</f>
        <v>Finansiranje</v>
      </c>
      <c r="C157" s="507"/>
      <c r="D157" s="507"/>
      <c r="E157" s="507"/>
      <c r="F157" s="507"/>
      <c r="G157" s="97">
        <f t="shared" ref="G157:R157" si="32">+SUM(G158:G161)</f>
        <v>69024575.301551238</v>
      </c>
      <c r="H157" s="97">
        <f t="shared" si="32"/>
        <v>56304075.675624669</v>
      </c>
      <c r="I157" s="97">
        <f t="shared" si="32"/>
        <v>61905806.566555515</v>
      </c>
      <c r="J157" s="97">
        <f t="shared" si="32"/>
        <v>77307082.744077951</v>
      </c>
      <c r="K157" s="97">
        <f t="shared" si="32"/>
        <v>204352275.2873008</v>
      </c>
      <c r="L157" s="97">
        <f t="shared" si="32"/>
        <v>28281565.938270364</v>
      </c>
      <c r="M157" s="97">
        <f t="shared" si="32"/>
        <v>26062277.058083959</v>
      </c>
      <c r="N157" s="97">
        <f t="shared" si="32"/>
        <v>-502814.28271766566</v>
      </c>
      <c r="O157" s="97">
        <f t="shared" si="32"/>
        <v>21838558.776223522</v>
      </c>
      <c r="P157" s="97">
        <f t="shared" si="32"/>
        <v>7707993.8130620047</v>
      </c>
      <c r="Q157" s="97">
        <f t="shared" si="32"/>
        <v>19936460.235239185</v>
      </c>
      <c r="R157" s="97">
        <f t="shared" si="32"/>
        <v>-16205061.21838549</v>
      </c>
      <c r="S157" s="119">
        <f t="shared" si="20"/>
        <v>556012795.89488602</v>
      </c>
      <c r="T157" s="120">
        <f t="shared" si="21"/>
        <v>0.11611176458565886</v>
      </c>
    </row>
    <row r="158" spans="1:20">
      <c r="A158" s="138" t="str">
        <f t="shared" si="30"/>
        <v>7511p</v>
      </c>
      <c r="B158" s="502" t="str">
        <f>+VLOOKUP(LEFT($A158,LEN(A158)-1)*1,Master!$D$27:$G$225,4,FALSE)</f>
        <v>Pozajmice i krediti od domaćih izvora</v>
      </c>
      <c r="C158" s="503"/>
      <c r="D158" s="503"/>
      <c r="E158" s="503"/>
      <c r="F158" s="503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107">
        <f t="shared" si="20"/>
        <v>190000000</v>
      </c>
      <c r="T158" s="108">
        <f t="shared" si="21"/>
        <v>3.9677567556279499E-2</v>
      </c>
    </row>
    <row r="159" spans="1:20">
      <c r="A159" s="138" t="str">
        <f t="shared" si="30"/>
        <v>7512p</v>
      </c>
      <c r="B159" s="500" t="str">
        <f>+VLOOKUP(LEFT($A159,LEN(A159)-1)*1,Master!$D$27:$G$225,4,FALSE)</f>
        <v>Pozajmice i krediti od inostranih izvora</v>
      </c>
      <c r="C159" s="501"/>
      <c r="D159" s="501"/>
      <c r="E159" s="501"/>
      <c r="F159" s="501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13577818.76</v>
      </c>
      <c r="S159" s="107">
        <f t="shared" si="20"/>
        <v>180000000</v>
      </c>
      <c r="T159" s="108">
        <f t="shared" si="21"/>
        <v>3.7589274527001629E-2</v>
      </c>
    </row>
    <row r="160" spans="1:20">
      <c r="A160" s="138" t="str">
        <f t="shared" si="30"/>
        <v>72p</v>
      </c>
      <c r="B160" s="500" t="str">
        <f>+VLOOKUP(LEFT($A160,LEN(A160)-1)*1,Master!$D$27:$G$225,4,FALSE)</f>
        <v>Primici od prodaje imovine</v>
      </c>
      <c r="C160" s="501"/>
      <c r="D160" s="501"/>
      <c r="E160" s="501"/>
      <c r="F160" s="501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107">
        <f t="shared" si="20"/>
        <v>6000000</v>
      </c>
      <c r="T160" s="108">
        <f t="shared" si="21"/>
        <v>1.2529758175667211E-3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44501731.451551236</v>
      </c>
      <c r="H161" s="101">
        <f t="shared" si="33"/>
        <v>55804075.675624669</v>
      </c>
      <c r="I161" s="101">
        <f t="shared" si="33"/>
        <v>-45993530.823444486</v>
      </c>
      <c r="J161" s="101">
        <f t="shared" si="33"/>
        <v>61807082.744077951</v>
      </c>
      <c r="K161" s="101">
        <f t="shared" si="33"/>
        <v>91852275.287300795</v>
      </c>
      <c r="L161" s="101">
        <f t="shared" si="33"/>
        <v>10781565.938270364</v>
      </c>
      <c r="M161" s="101">
        <f t="shared" si="33"/>
        <v>8562277.0580839589</v>
      </c>
      <c r="N161" s="101">
        <f t="shared" si="33"/>
        <v>-16002814.282717666</v>
      </c>
      <c r="O161" s="101">
        <f t="shared" si="33"/>
        <v>4338558.7762235217</v>
      </c>
      <c r="P161" s="101">
        <f t="shared" si="33"/>
        <v>-9792006.1869379953</v>
      </c>
      <c r="Q161" s="101">
        <f t="shared" si="33"/>
        <v>4436460.2352391854</v>
      </c>
      <c r="R161" s="101">
        <f t="shared" si="33"/>
        <v>-30282879.978385489</v>
      </c>
      <c r="S161" s="111">
        <f t="shared" si="20"/>
        <v>180012795.89488602</v>
      </c>
      <c r="T161" s="112">
        <f t="shared" si="21"/>
        <v>3.7591946684811015E-2</v>
      </c>
    </row>
  </sheetData>
  <mergeCells count="118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757</v>
      </c>
      <c r="H6" s="259" t="s">
        <v>758</v>
      </c>
      <c r="I6" s="259" t="s">
        <v>759</v>
      </c>
      <c r="J6" s="259" t="s">
        <v>760</v>
      </c>
      <c r="K6" s="259" t="s">
        <v>761</v>
      </c>
      <c r="L6" s="259" t="s">
        <v>762</v>
      </c>
      <c r="M6" s="259" t="s">
        <v>763</v>
      </c>
      <c r="N6" s="259" t="s">
        <v>764</v>
      </c>
      <c r="O6" s="259" t="s">
        <v>765</v>
      </c>
      <c r="P6" s="259" t="s">
        <v>766</v>
      </c>
      <c r="Q6" s="259" t="s">
        <v>767</v>
      </c>
      <c r="R6" s="259" t="s">
        <v>768</v>
      </c>
      <c r="S6" s="258"/>
      <c r="T6" s="258"/>
    </row>
    <row r="7" spans="1:20" ht="15" customHeight="1" thickBot="1">
      <c r="A7" s="169"/>
      <c r="B7" s="553" t="str">
        <f>+Master!G251</f>
        <v>Ostvarenje budžeta</v>
      </c>
      <c r="C7" s="453"/>
      <c r="D7" s="453"/>
      <c r="E7" s="453"/>
      <c r="F7" s="453"/>
      <c r="G7" s="461">
        <v>2018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+Master!G248</f>
        <v>BDP</v>
      </c>
      <c r="T7" s="261">
        <v>4604500000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1" t="str">
        <f>+Master!G245</f>
        <v>Jan - Feb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 t="shared" ref="G10:R10" si="1">+G11+G19+SUM(G24:G28)</f>
        <v>81543733.760000005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156837966.73000002</v>
      </c>
      <c r="K10" s="176">
        <f t="shared" si="1"/>
        <v>138841162.98999998</v>
      </c>
      <c r="L10" s="176">
        <f t="shared" si="1"/>
        <v>140708376.15000001</v>
      </c>
      <c r="M10" s="176">
        <f t="shared" si="1"/>
        <v>160594614.84999999</v>
      </c>
      <c r="N10" s="176">
        <f t="shared" si="1"/>
        <v>161263780.17000002</v>
      </c>
      <c r="O10" s="176">
        <f t="shared" si="1"/>
        <v>187333306.05000001</v>
      </c>
      <c r="P10" s="176">
        <f t="shared" si="1"/>
        <v>145784954.45000002</v>
      </c>
      <c r="Q10" s="176">
        <f t="shared" si="1"/>
        <v>142821934.60999998</v>
      </c>
      <c r="R10" s="176">
        <f t="shared" si="1"/>
        <v>184473608.03</v>
      </c>
      <c r="S10" s="264">
        <f>+SUM(G10:R10)</f>
        <v>1746141901.48</v>
      </c>
      <c r="T10" s="265">
        <f>+S10/$T$7</f>
        <v>0.37922508447822784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5" si="3">+SUM(G11:R11)</f>
        <v>1068947201.3</v>
      </c>
      <c r="T11" s="268">
        <f t="shared" ref="T11:T66" si="4">+S11/$T$7</f>
        <v>0.23215272044738841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2.7125286580519062E-2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1.4805620247583884E-2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3.9876089043327178E-4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0.13398060134868064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4.8035192618090999E-2</v>
      </c>
    </row>
    <row r="17" spans="1:25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5.7845351265066779E-3</v>
      </c>
    </row>
    <row r="18" spans="1:25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2.0227236355738949E-3</v>
      </c>
    </row>
    <row r="19" spans="1:25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0.11389729925073297</v>
      </c>
    </row>
    <row r="20" spans="1:25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6.8841993328265835E-2</v>
      </c>
    </row>
    <row r="21" spans="1:25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3.9536489379954388E-2</v>
      </c>
    </row>
    <row r="22" spans="1:25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2.951590263872299E-3</v>
      </c>
    </row>
    <row r="23" spans="1:25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2.5672262786404607E-3</v>
      </c>
      <c r="Y23" s="379"/>
    </row>
    <row r="24" spans="1:25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1510208.2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1403288.34</v>
      </c>
      <c r="S24" s="272">
        <f t="shared" si="3"/>
        <v>16743992.319999998</v>
      </c>
      <c r="T24" s="273">
        <f t="shared" si="4"/>
        <v>3.6364409425561949E-3</v>
      </c>
      <c r="Y24" s="379"/>
    </row>
    <row r="25" spans="1:25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5.7377650298620917E-3</v>
      </c>
      <c r="W25" s="366"/>
    </row>
    <row r="26" spans="1:25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2742239.31</v>
      </c>
      <c r="M26" s="200">
        <f>+INDEX(DataEx!$1:$1048576,MATCH('2018'!$A26,DataEx!$D:$D,0),MATCH('2018'!M$6,DataEx!$7:$7,0))</f>
        <v>3903791.18</v>
      </c>
      <c r="N26" s="200">
        <f>+INDEX(DataEx!$1:$1048576,MATCH('2018'!$A26,DataEx!$D:$D,0),MATCH('2018'!N$6,DataEx!$7:$7,0))</f>
        <v>3453341.6</v>
      </c>
      <c r="O26" s="200">
        <f>+INDEX(DataEx!$1:$1048576,MATCH('2018'!$A26,DataEx!$D:$D,0),MATCH('2018'!O$6,DataEx!$7:$7,0))</f>
        <v>37485113.789999999</v>
      </c>
      <c r="P26" s="200">
        <f>+INDEX(DataEx!$1:$1048576,MATCH('2018'!$A26,DataEx!$D:$D,0),MATCH('2018'!P$6,DataEx!$7:$7,0))</f>
        <v>2347445.85</v>
      </c>
      <c r="Q26" s="200">
        <f>+INDEX(DataEx!$1:$1048576,MATCH('2018'!$A26,DataEx!$D:$D,0),MATCH('2018'!Q$6,DataEx!$7:$7,0))</f>
        <v>3454247.32</v>
      </c>
      <c r="R26" s="274">
        <f>+INDEX(DataEx!$1:$1048576,MATCH('2018'!$A26,DataEx!$D:$D,0),MATCH('2018'!R$6,DataEx!$7:$7,0))</f>
        <v>4014664.14</v>
      </c>
      <c r="S26" s="272">
        <f t="shared" si="3"/>
        <v>71114889.350000009</v>
      </c>
      <c r="T26" s="273">
        <f t="shared" si="4"/>
        <v>1.5444649657943317E-2</v>
      </c>
    </row>
    <row r="27" spans="1:25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780987.28</v>
      </c>
      <c r="S27" s="272">
        <f t="shared" si="3"/>
        <v>11124362.879999999</v>
      </c>
      <c r="T27" s="273">
        <f t="shared" si="4"/>
        <v>2.4159763014442392E-3</v>
      </c>
    </row>
    <row r="28" spans="1:25" ht="13.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1526158.48</v>
      </c>
      <c r="Q28" s="200">
        <f>+INDEX(DataEx!$1:$1048576,MATCH('2018'!$A28,DataEx!$D:$D,0),MATCH('2018'!Q$6,DataEx!$7:$7,0))</f>
        <v>5006180.46</v>
      </c>
      <c r="R28" s="274">
        <f>+INDEX(DataEx!$1:$1048576,MATCH('2018'!$A28,DataEx!$D:$D,0),MATCH('2018'!R$6,DataEx!$7:$7,0))</f>
        <v>3845038.84</v>
      </c>
      <c r="S28" s="272">
        <f t="shared" si="3"/>
        <v>27351802.150000002</v>
      </c>
      <c r="T28" s="276">
        <f t="shared" si="4"/>
        <v>5.9402328483005758E-3</v>
      </c>
    </row>
    <row r="29" spans="1:25" ht="13.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>+G31+G42+G48+SUM(G49:G53)</f>
        <v>106126161.81999999</v>
      </c>
      <c r="H29" s="176">
        <f t="shared" ref="H29:R29" si="5">+H31+H42+H48+SUM(H49:H53)</f>
        <v>119008839.22</v>
      </c>
      <c r="I29" s="176">
        <f t="shared" si="5"/>
        <v>172442993.90000001</v>
      </c>
      <c r="J29" s="176">
        <f t="shared" si="5"/>
        <v>154233924.36999997</v>
      </c>
      <c r="K29" s="176">
        <f t="shared" si="5"/>
        <v>141761088.21000001</v>
      </c>
      <c r="L29" s="176">
        <f t="shared" si="5"/>
        <v>162103437.13</v>
      </c>
      <c r="M29" s="176">
        <f t="shared" si="5"/>
        <v>155878289.95999998</v>
      </c>
      <c r="N29" s="176">
        <f t="shared" si="5"/>
        <v>127201691.78999998</v>
      </c>
      <c r="O29" s="176">
        <f t="shared" si="5"/>
        <v>166137229.88999999</v>
      </c>
      <c r="P29" s="176">
        <f t="shared" si="5"/>
        <v>158417300.96000001</v>
      </c>
      <c r="Q29" s="176">
        <f t="shared" si="5"/>
        <v>187143079.56</v>
      </c>
      <c r="R29" s="176">
        <f t="shared" si="5"/>
        <v>255132199.85000002</v>
      </c>
      <c r="S29" s="277">
        <f t="shared" si="3"/>
        <v>1905586236.6599998</v>
      </c>
      <c r="T29" s="278">
        <f t="shared" si="4"/>
        <v>0.41385302131827556</v>
      </c>
    </row>
    <row r="30" spans="1:25" ht="13.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206">
        <f>+G29-G49</f>
        <v>103962901.73999999</v>
      </c>
      <c r="H30" s="206">
        <f t="shared" ref="H30:R30" si="6">+H29-H49</f>
        <v>115671668.83</v>
      </c>
      <c r="I30" s="206">
        <f t="shared" si="6"/>
        <v>160623703.16</v>
      </c>
      <c r="J30" s="206">
        <f t="shared" si="6"/>
        <v>124663770.59999998</v>
      </c>
      <c r="K30" s="206">
        <f t="shared" si="6"/>
        <v>128717553.92000002</v>
      </c>
      <c r="L30" s="206">
        <f t="shared" si="6"/>
        <v>138339397.85999998</v>
      </c>
      <c r="M30" s="206">
        <f t="shared" si="6"/>
        <v>132376230.81999998</v>
      </c>
      <c r="N30" s="206">
        <f t="shared" si="6"/>
        <v>119232633.09999998</v>
      </c>
      <c r="O30" s="206">
        <f t="shared" si="6"/>
        <v>126291283.53999999</v>
      </c>
      <c r="P30" s="206">
        <f t="shared" si="6"/>
        <v>129866107.57000001</v>
      </c>
      <c r="Q30" s="206">
        <f t="shared" si="6"/>
        <v>161320542.37</v>
      </c>
      <c r="R30" s="206">
        <f t="shared" si="6"/>
        <v>199821015.85000002</v>
      </c>
      <c r="S30" s="431">
        <f t="shared" si="3"/>
        <v>1640886809.3599997</v>
      </c>
      <c r="T30" s="280">
        <f t="shared" si="4"/>
        <v>0.3563659049538494</v>
      </c>
    </row>
    <row r="31" spans="1:25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212">
        <f>+SUM(G32:G41)</f>
        <v>48787422.890000001</v>
      </c>
      <c r="H31" s="212">
        <f t="shared" ref="H31:R31" si="7">+SUM(H32:H41)</f>
        <v>54360657.889999993</v>
      </c>
      <c r="I31" s="212">
        <f t="shared" si="7"/>
        <v>94694994.250000015</v>
      </c>
      <c r="J31" s="212">
        <f t="shared" si="7"/>
        <v>62718552.04999999</v>
      </c>
      <c r="K31" s="212">
        <f t="shared" si="7"/>
        <v>66171008.000000007</v>
      </c>
      <c r="L31" s="212">
        <f t="shared" si="7"/>
        <v>70651416.859999999</v>
      </c>
      <c r="M31" s="212">
        <f t="shared" si="7"/>
        <v>61595859.939999998</v>
      </c>
      <c r="N31" s="212">
        <f t="shared" si="7"/>
        <v>53673085.449999981</v>
      </c>
      <c r="O31" s="212">
        <f t="shared" si="7"/>
        <v>61987012.159999996</v>
      </c>
      <c r="P31" s="212">
        <f t="shared" si="7"/>
        <v>64904767.019999996</v>
      </c>
      <c r="Q31" s="212">
        <f t="shared" si="7"/>
        <v>93889916.039999992</v>
      </c>
      <c r="R31" s="281">
        <f t="shared" si="7"/>
        <v>102865728.83</v>
      </c>
      <c r="S31" s="432">
        <f t="shared" si="3"/>
        <v>836300421.38</v>
      </c>
      <c r="T31" s="268">
        <f t="shared" si="4"/>
        <v>0.18162676107720707</v>
      </c>
    </row>
    <row r="32" spans="1:25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9.9858015973504188E-2</v>
      </c>
    </row>
    <row r="33" spans="1:22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2.8695711173851663E-3</v>
      </c>
      <c r="U33" s="367"/>
    </row>
    <row r="34" spans="1:22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2451684.9300000002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2861487.4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1934822.17</v>
      </c>
      <c r="P34" s="188">
        <f>+INDEX(DataEx!$1:$1048576,MATCH('2018'!$A34,DataEx!$D:$D,0),MATCH('2018'!P$6,DataEx!$7:$7,0))</f>
        <v>3004874.41</v>
      </c>
      <c r="Q34" s="188">
        <f>+INDEX(DataEx!$1:$1048576,MATCH('2018'!$A34,DataEx!$D:$D,0),MATCH('2018'!Q$6,DataEx!$7:$7,0))</f>
        <v>3035158.15</v>
      </c>
      <c r="R34" s="188">
        <f>+INDEX(DataEx!$1:$1048576,MATCH('2018'!$A34,DataEx!$D:$D,0),MATCH('2018'!R$6,DataEx!$7:$7,0))</f>
        <v>8916158.6899999995</v>
      </c>
      <c r="S34" s="269">
        <f t="shared" si="3"/>
        <v>36800964.899999999</v>
      </c>
      <c r="T34" s="270">
        <f t="shared" si="4"/>
        <v>7.9923911173851656E-3</v>
      </c>
      <c r="U34" s="385"/>
      <c r="V34" s="365"/>
    </row>
    <row r="35" spans="1:22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f>+INDEX(DataEx!$1:$1048576,MATCH('2018'!$A35,DataEx!$D:$D,0),MATCH('2018'!G$6,DataEx!$7:$7,0))</f>
        <v>1695715.73</v>
      </c>
      <c r="H35" s="188">
        <f>+INDEX(DataEx!$1:$1048576,MATCH('2018'!$A35,DataEx!$D:$D,0),MATCH('2018'!H$6,DataEx!$7:$7,0))</f>
        <v>3144208.56</v>
      </c>
      <c r="I35" s="188">
        <f>+INDEX(DataEx!$1:$1048576,MATCH('2018'!$A35,DataEx!$D:$D,0),MATCH('2018'!I$6,DataEx!$7:$7,0))</f>
        <v>4225810.8600000003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14378909.140000001</v>
      </c>
      <c r="M35" s="188">
        <f>+INDEX(DataEx!$1:$1048576,MATCH('2018'!$A35,DataEx!$D:$D,0),MATCH('2018'!M$6,DataEx!$7:$7,0))</f>
        <v>4958236.41</v>
      </c>
      <c r="N35" s="188">
        <f>+INDEX(DataEx!$1:$1048576,MATCH('2018'!$A35,DataEx!$D:$D,0),MATCH('2018'!N$6,DataEx!$7:$7,0))</f>
        <v>3624827.41</v>
      </c>
      <c r="O35" s="188">
        <f>+INDEX(DataEx!$1:$1048576,MATCH('2018'!$A35,DataEx!$D:$D,0),MATCH('2018'!O$6,DataEx!$7:$7,0))</f>
        <v>5520757.9299999997</v>
      </c>
      <c r="P35" s="188">
        <f>+INDEX(DataEx!$1:$1048576,MATCH('2018'!$A35,DataEx!$D:$D,0),MATCH('2018'!P$6,DataEx!$7:$7,0))</f>
        <v>5612259.6799999997</v>
      </c>
      <c r="Q35" s="188">
        <f>+INDEX(DataEx!$1:$1048576,MATCH('2018'!$A35,DataEx!$D:$D,0),MATCH('2018'!Q$6,DataEx!$7:$7,0))</f>
        <v>5170200.84</v>
      </c>
      <c r="R35" s="188">
        <f>+INDEX(DataEx!$1:$1048576,MATCH('2018'!$A35,DataEx!$D:$D,0),MATCH('2018'!R$6,DataEx!$7:$7,0))</f>
        <v>17427573.32</v>
      </c>
      <c r="S35" s="269">
        <f t="shared" si="3"/>
        <v>75237984.979999989</v>
      </c>
      <c r="T35" s="270">
        <f t="shared" si="4"/>
        <v>1.6340098812031707E-2</v>
      </c>
    </row>
    <row r="36" spans="1:22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1827701.36</v>
      </c>
      <c r="Q36" s="188">
        <f>+INDEX(DataEx!$1:$1048576,MATCH('2018'!$A36,DataEx!$D:$D,0),MATCH('2018'!Q$6,DataEx!$7:$7,0))</f>
        <v>1127698.73</v>
      </c>
      <c r="R36" s="188">
        <f>+INDEX(DataEx!$1:$1048576,MATCH('2018'!$A36,DataEx!$D:$D,0),MATCH('2018'!R$6,DataEx!$7:$7,0))</f>
        <v>4873366.55</v>
      </c>
      <c r="S36" s="269">
        <f t="shared" si="3"/>
        <v>20991789.91</v>
      </c>
      <c r="T36" s="270">
        <f t="shared" si="4"/>
        <v>4.5589727245086333E-3</v>
      </c>
    </row>
    <row r="37" spans="1:22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8129668.5499999998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7493936.0099999998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5656669.4199999999</v>
      </c>
      <c r="S37" s="269">
        <f>+SUM(G37:R37)</f>
        <v>88646607.200000003</v>
      </c>
      <c r="T37" s="270">
        <f t="shared" si="4"/>
        <v>1.9252167922684332E-2</v>
      </c>
    </row>
    <row r="38" spans="1:22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824933.88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1043096.71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2920206.78</v>
      </c>
      <c r="S38" s="269">
        <f t="shared" si="3"/>
        <v>11119206.969999999</v>
      </c>
      <c r="T38" s="270">
        <f t="shared" si="4"/>
        <v>2.4148565468563358E-3</v>
      </c>
    </row>
    <row r="39" spans="1:22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6.6371777543707241E-3</v>
      </c>
    </row>
    <row r="40" spans="1:22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3108711.17</v>
      </c>
      <c r="Q40" s="188">
        <f>+INDEX(DataEx!$1:$1048576,MATCH('2018'!$A40,DataEx!$D:$D,0),MATCH('2018'!Q$6,DataEx!$7:$7,0))</f>
        <v>3357388.61</v>
      </c>
      <c r="R40" s="188">
        <f>+INDEX(DataEx!$1:$1048576,MATCH('2018'!$A40,DataEx!$D:$D,0),MATCH('2018'!R$6,DataEx!$7:$7,0))</f>
        <v>12270930.109999999</v>
      </c>
      <c r="S40" s="269">
        <f t="shared" si="3"/>
        <v>43611596.07</v>
      </c>
      <c r="T40" s="270">
        <f t="shared" si="4"/>
        <v>9.4715161407318924E-3</v>
      </c>
    </row>
    <row r="41" spans="1:22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f>+INDEX(DataEx!$1:$1048576,MATCH('2018'!$A41,DataEx!$D:$D,0),MATCH('2018'!G$6,DataEx!$7:$7,0))</f>
        <v>3164306.35</v>
      </c>
      <c r="H41" s="188">
        <f>+INDEX(DataEx!$1:$1048576,MATCH('2018'!$A41,DataEx!$D:$D,0),MATCH('2018'!H$6,DataEx!$7:$7,0))</f>
        <v>874187.86</v>
      </c>
      <c r="I41" s="188">
        <f>+INDEX(DataEx!$1:$1048576,MATCH('2018'!$A41,DataEx!$D:$D,0),MATCH('2018'!I$6,DataEx!$7:$7,0))</f>
        <v>1385420.74</v>
      </c>
      <c r="J41" s="188">
        <f>+INDEX(DataEx!$1:$1048576,MATCH('2018'!$A41,DataEx!$D:$D,0),MATCH('2018'!J$6,DataEx!$7:$7,0))</f>
        <v>1772827.43</v>
      </c>
      <c r="K41" s="188">
        <f>+INDEX(DataEx!$1:$1048576,MATCH('2018'!$A41,DataEx!$D:$D,0),MATCH('2018'!K$6,DataEx!$7:$7,0))</f>
        <v>2361781.61</v>
      </c>
      <c r="L41" s="188">
        <f>+INDEX(DataEx!$1:$1048576,MATCH('2018'!$A41,DataEx!$D:$D,0),MATCH('2018'!L$6,DataEx!$7:$7,0))</f>
        <v>3518258.03</v>
      </c>
      <c r="M41" s="188">
        <f>+INDEX(DataEx!$1:$1048576,MATCH('2018'!$A41,DataEx!$D:$D,0),MATCH('2018'!M$6,DataEx!$7:$7,0))</f>
        <v>1333103.1100000001</v>
      </c>
      <c r="N41" s="188">
        <f>+INDEX(DataEx!$1:$1048576,MATCH('2018'!$A41,DataEx!$D:$D,0),MATCH('2018'!N$6,DataEx!$7:$7,0))</f>
        <v>1880172.05</v>
      </c>
      <c r="O41" s="188">
        <f>+INDEX(DataEx!$1:$1048576,MATCH('2018'!$A41,DataEx!$D:$D,0),MATCH('2018'!O$6,DataEx!$7:$7,0))</f>
        <v>1846837.17</v>
      </c>
      <c r="P41" s="188">
        <f>+INDEX(DataEx!$1:$1048576,MATCH('2018'!$A41,DataEx!$D:$D,0),MATCH('2018'!P$6,DataEx!$7:$7,0))</f>
        <v>4655294.9000000004</v>
      </c>
      <c r="Q41" s="188">
        <f>+INDEX(DataEx!$1:$1048576,MATCH('2018'!$A41,DataEx!$D:$D,0),MATCH('2018'!Q$6,DataEx!$7:$7,0))</f>
        <v>27589177.949999999</v>
      </c>
      <c r="R41" s="188">
        <f>+INDEX(DataEx!$1:$1048576,MATCH('2018'!$A41,DataEx!$D:$D,0),MATCH('2018'!R$6,DataEx!$7:$7,0))</f>
        <v>5940844.4199999999</v>
      </c>
      <c r="S41" s="269">
        <f t="shared" si="3"/>
        <v>56322211.620000005</v>
      </c>
      <c r="T41" s="270">
        <f t="shared" si="4"/>
        <v>1.2231992967748942E-2</v>
      </c>
    </row>
    <row r="42" spans="1:22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0.11825074850255185</v>
      </c>
    </row>
    <row r="43" spans="1:22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1.7872686389401673E-2</v>
      </c>
    </row>
    <row r="44" spans="1:22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3.0832429015093927E-3</v>
      </c>
    </row>
    <row r="45" spans="1:22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9.0074984428276689E-2</v>
      </c>
    </row>
    <row r="46" spans="1:22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4.3446257530676512E-3</v>
      </c>
    </row>
    <row r="47" spans="1:22">
      <c r="A47" s="175">
        <v>425</v>
      </c>
      <c r="B47" s="551" t="str">
        <f>+VLOOKUP($A47,Master!$D$27:$G$225,4,FALSE)</f>
        <v>Ostala prava iz zdravstvenog osiguranja</v>
      </c>
      <c r="C47" s="552"/>
      <c r="D47" s="552"/>
      <c r="E47" s="552"/>
      <c r="F47" s="552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2.875209030296449E-3</v>
      </c>
    </row>
    <row r="48" spans="1:22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16865431.859999999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208729620.21999997</v>
      </c>
      <c r="T48" s="273">
        <f t="shared" si="4"/>
        <v>4.5331658208274506E-2</v>
      </c>
    </row>
    <row r="49" spans="1:22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f>+INDEX(DataEx!$1:$1048576,MATCH('2018'!$A49,DataEx!$D:$D,0),MATCH('2018'!G$6,DataEx!$7:$7,0))</f>
        <v>2163260.08</v>
      </c>
      <c r="H49" s="200">
        <f>+INDEX(DataEx!$1:$1048576,MATCH('2018'!$A49,DataEx!$D:$D,0),MATCH('2018'!H$6,DataEx!$7:$7,0))</f>
        <v>3337170.39</v>
      </c>
      <c r="I49" s="200">
        <f>+INDEX(DataEx!$1:$1048576,MATCH('2018'!$A49,DataEx!$D:$D,0),MATCH('2018'!I$6,DataEx!$7:$7,0))</f>
        <v>11819290.74</v>
      </c>
      <c r="J49" s="200">
        <f>+INDEX(DataEx!$1:$1048576,MATCH('2018'!$A49,DataEx!$D:$D,0),MATCH('2018'!J$6,DataEx!$7:$7,0))</f>
        <v>29570153.77</v>
      </c>
      <c r="K49" s="200">
        <f>+INDEX(DataEx!$1:$1048576,MATCH('2018'!$A49,DataEx!$D:$D,0),MATCH('2018'!K$6,DataEx!$7:$7,0))</f>
        <v>13043534.289999999</v>
      </c>
      <c r="L49" s="200">
        <f>+INDEX(DataEx!$1:$1048576,MATCH('2018'!$A49,DataEx!$D:$D,0),MATCH('2018'!L$6,DataEx!$7:$7,0))</f>
        <v>23764039.27</v>
      </c>
      <c r="M49" s="200">
        <f>+INDEX(DataEx!$1:$1048576,MATCH('2018'!$A49,DataEx!$D:$D,0),MATCH('2018'!M$6,DataEx!$7:$7,0))</f>
        <v>23502059.140000001</v>
      </c>
      <c r="N49" s="200">
        <f>+INDEX(DataEx!$1:$1048576,MATCH('2018'!$A49,DataEx!$D:$D,0),MATCH('2018'!N$6,DataEx!$7:$7,0))</f>
        <v>7969058.6900000004</v>
      </c>
      <c r="O49" s="200">
        <f>+INDEX(DataEx!$1:$1048576,MATCH('2018'!$A49,DataEx!$D:$D,0),MATCH('2018'!O$6,DataEx!$7:$7,0))</f>
        <v>39845946.350000001</v>
      </c>
      <c r="P49" s="200">
        <f>+INDEX(DataEx!$1:$1048576,MATCH('2018'!$A49,DataEx!$D:$D,0),MATCH('2018'!P$6,DataEx!$7:$7,0))</f>
        <v>28551193.390000001</v>
      </c>
      <c r="Q49" s="200">
        <f>+INDEX(DataEx!$1:$1048576,MATCH('2018'!$A49,DataEx!$D:$D,0),MATCH('2018'!Q$6,DataEx!$7:$7,0))</f>
        <v>25822537.190000001</v>
      </c>
      <c r="R49" s="200">
        <f>+INDEX(DataEx!$1:$1048576,MATCH('2018'!$A49,DataEx!$D:$D,0),MATCH('2018'!R$6,DataEx!$7:$7,0))</f>
        <v>55311184</v>
      </c>
      <c r="S49" s="272">
        <f t="shared" si="3"/>
        <v>264699427.30000001</v>
      </c>
      <c r="T49" s="273">
        <f t="shared" si="4"/>
        <v>5.7487116364426105E-2</v>
      </c>
    </row>
    <row r="50" spans="1:22">
      <c r="A50" s="175">
        <v>451</v>
      </c>
      <c r="B50" s="545" t="str">
        <f>+VLOOKUP($A50,Master!$D$27:$G$225,4,FALSE)</f>
        <v>Pozajmice i krediti</v>
      </c>
      <c r="C50" s="546"/>
      <c r="D50" s="546"/>
      <c r="E50" s="546"/>
      <c r="F50" s="546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9.9823411879682911E-4</v>
      </c>
    </row>
    <row r="51" spans="1:22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5.187859713323922E-3</v>
      </c>
    </row>
    <row r="52" spans="1:22" ht="13.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47" t="str">
        <f>+VLOOKUP($A53,Master!$D$27:$G$225,4,TRUE)</f>
        <v>Otplata obaveza iz prethodnih godina</v>
      </c>
      <c r="C53" s="548"/>
      <c r="D53" s="548"/>
      <c r="E53" s="548"/>
      <c r="F53" s="548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4566064.25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895331.03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1173790.67</v>
      </c>
      <c r="S53" s="433">
        <f>+SUM(G53:R53)</f>
        <v>22887327.229999997</v>
      </c>
      <c r="T53" s="284">
        <f>+S53/$T$7</f>
        <v>4.9706433336952974E-3</v>
      </c>
    </row>
    <row r="54" spans="1:22" ht="13.5" thickBot="1">
      <c r="A54" s="71">
        <v>1005</v>
      </c>
      <c r="B54" s="549" t="str">
        <f>+VLOOKUP($A54,Master!$D$27:$G$227,4,FALSE)</f>
        <v>Neto povećanje obaveza</v>
      </c>
      <c r="C54" s="550"/>
      <c r="D54" s="550"/>
      <c r="E54" s="550"/>
      <c r="F54" s="550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4" t="str">
        <f>+VLOOKUP($A55,Master!$D$27:$G$225,4,FALSE)</f>
        <v>Suficit / deficit</v>
      </c>
      <c r="C55" s="475"/>
      <c r="D55" s="475"/>
      <c r="E55" s="475"/>
      <c r="F55" s="475"/>
      <c r="G55" s="176">
        <f t="shared" ref="G55:R55" si="9">+G10-G29</f>
        <v>-24582428.059999987</v>
      </c>
      <c r="H55" s="176">
        <f t="shared" si="9"/>
        <v>-11928731.069999993</v>
      </c>
      <c r="I55" s="176">
        <f t="shared" si="9"/>
        <v>-33584638.360000014</v>
      </c>
      <c r="J55" s="176">
        <f t="shared" si="9"/>
        <v>2604042.3600000441</v>
      </c>
      <c r="K55" s="176">
        <f t="shared" si="9"/>
        <v>-2919925.2200000286</v>
      </c>
      <c r="L55" s="176">
        <f t="shared" si="9"/>
        <v>-21395060.979999989</v>
      </c>
      <c r="M55" s="176">
        <f t="shared" si="9"/>
        <v>4716324.8900000155</v>
      </c>
      <c r="N55" s="176">
        <f t="shared" si="9"/>
        <v>34062088.38000004</v>
      </c>
      <c r="O55" s="176">
        <f t="shared" si="9"/>
        <v>21196076.160000026</v>
      </c>
      <c r="P55" s="176">
        <f t="shared" si="9"/>
        <v>-12632346.50999999</v>
      </c>
      <c r="Q55" s="176">
        <f t="shared" si="9"/>
        <v>-44321144.950000018</v>
      </c>
      <c r="R55" s="176">
        <f t="shared" si="9"/>
        <v>-70658591.820000023</v>
      </c>
      <c r="S55" s="285">
        <f t="shared" si="3"/>
        <v>-159444335.17999992</v>
      </c>
      <c r="T55" s="286">
        <f t="shared" si="4"/>
        <v>-3.4627936840047759E-2</v>
      </c>
    </row>
    <row r="56" spans="1:22" ht="13.5" thickBot="1">
      <c r="A56" s="169">
        <v>1001</v>
      </c>
      <c r="B56" s="476" t="str">
        <f>+VLOOKUP($A56,Master!$D$27:$G$225,4,FALSE)</f>
        <v>Primarni bilans</v>
      </c>
      <c r="C56" s="477"/>
      <c r="D56" s="477"/>
      <c r="E56" s="477"/>
      <c r="F56" s="477"/>
      <c r="G56" s="230">
        <f>+G55+G37</f>
        <v>-20258350.509999987</v>
      </c>
      <c r="H56" s="230">
        <f t="shared" ref="H56:R56" si="10">+H55+H37</f>
        <v>-10877929.839999992</v>
      </c>
      <c r="I56" s="230">
        <f t="shared" si="10"/>
        <v>5930038.3499999866</v>
      </c>
      <c r="J56" s="230">
        <f t="shared" si="10"/>
        <v>10733710.910000045</v>
      </c>
      <c r="K56" s="230">
        <f t="shared" si="10"/>
        <v>7144883.8399999719</v>
      </c>
      <c r="L56" s="230">
        <f t="shared" si="10"/>
        <v>-19556340.34999999</v>
      </c>
      <c r="M56" s="230">
        <f t="shared" si="10"/>
        <v>12210260.900000015</v>
      </c>
      <c r="N56" s="230">
        <f t="shared" si="10"/>
        <v>35196243.320000038</v>
      </c>
      <c r="O56" s="230">
        <f t="shared" si="10"/>
        <v>24813431.760000028</v>
      </c>
      <c r="P56" s="230">
        <f t="shared" si="10"/>
        <v>-11093658.20999999</v>
      </c>
      <c r="Q56" s="230">
        <f t="shared" si="10"/>
        <v>-40038095.750000015</v>
      </c>
      <c r="R56" s="230">
        <f t="shared" si="10"/>
        <v>-65001922.400000021</v>
      </c>
      <c r="S56" s="285">
        <f t="shared" si="3"/>
        <v>-70797727.979999915</v>
      </c>
      <c r="T56" s="286">
        <f t="shared" si="4"/>
        <v>-1.537576891736343E-2</v>
      </c>
    </row>
    <row r="57" spans="1:22">
      <c r="A57" s="169">
        <v>46</v>
      </c>
      <c r="B57" s="543" t="str">
        <f>+VLOOKUP($A57,Master!$D$27:$G$225,4,FALSE)</f>
        <v>Otplata dugova</v>
      </c>
      <c r="C57" s="544"/>
      <c r="D57" s="544"/>
      <c r="E57" s="544"/>
      <c r="F57" s="544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382332471.99000001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6031992.4700000007</v>
      </c>
      <c r="Q57" s="218">
        <f t="shared" si="11"/>
        <v>9590322.8100000005</v>
      </c>
      <c r="R57" s="218">
        <f t="shared" si="11"/>
        <v>10911687.780000001</v>
      </c>
      <c r="S57" s="287">
        <f t="shared" si="3"/>
        <v>696281459.90999997</v>
      </c>
      <c r="T57" s="288">
        <f t="shared" si="4"/>
        <v>0.15121760449777391</v>
      </c>
      <c r="V57" s="383"/>
    </row>
    <row r="58" spans="1:22">
      <c r="A58" s="169">
        <v>4611</v>
      </c>
      <c r="B58" s="466" t="str">
        <f>+VLOOKUP($A58,Master!$D$27:$G$225,4,FALSE)</f>
        <v>Otplata hartija od vrijednosti i kredita rezidentima</v>
      </c>
      <c r="C58" s="467"/>
      <c r="D58" s="467"/>
      <c r="E58" s="467"/>
      <c r="F58" s="467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2260146.02</v>
      </c>
      <c r="Q58" s="236">
        <f>+INDEX(DataEx!$1:$1048576,MATCH('2018'!$A58,DataEx!$D:$D,0),MATCH('2018'!Q$6,DataEx!$7:$7,0))</f>
        <v>834069.65</v>
      </c>
      <c r="R58" s="236">
        <f>+INDEX(DataEx!$1:$1048576,MATCH('2018'!$A58,DataEx!$D:$D,0),MATCH('2018'!R$6,DataEx!$7:$7,0))</f>
        <v>2202164.71</v>
      </c>
      <c r="S58" s="289">
        <f t="shared" si="3"/>
        <v>234823593.10000002</v>
      </c>
      <c r="T58" s="290">
        <f t="shared" si="4"/>
        <v>5.099871714626996E-2</v>
      </c>
    </row>
    <row r="59" spans="1:22" ht="13.5" thickBot="1">
      <c r="A59" s="169">
        <v>4612</v>
      </c>
      <c r="B59" s="450" t="str">
        <f>+VLOOKUP($A59,Master!$D$27:$G$225,4,FALSE)</f>
        <v>Otplata hartija od vrijednosti i kredita nerezidentima</v>
      </c>
      <c r="C59" s="451"/>
      <c r="D59" s="451"/>
      <c r="E59" s="451"/>
      <c r="F59" s="451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380100813.48000002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3771846.45</v>
      </c>
      <c r="Q59" s="236">
        <f>+INDEX(DataEx!$1:$1048576,MATCH('2018'!$A59,DataEx!$D:$D,0),MATCH('2018'!Q$6,DataEx!$7:$7,0))</f>
        <v>8756253.1600000001</v>
      </c>
      <c r="R59" s="236">
        <f>+INDEX(DataEx!$1:$1048576,MATCH('2018'!$A59,DataEx!$D:$D,0),MATCH('2018'!R$6,DataEx!$7:$7,0))</f>
        <v>8709523.0700000003</v>
      </c>
      <c r="S59" s="289">
        <f t="shared" si="3"/>
        <v>461457866.81</v>
      </c>
      <c r="T59" s="290">
        <f t="shared" si="4"/>
        <v>0.10021888735150396</v>
      </c>
      <c r="V59" s="395"/>
    </row>
    <row r="60" spans="1:22" ht="13.5" thickBot="1">
      <c r="A60" s="169">
        <v>4418</v>
      </c>
      <c r="B60" s="486" t="s">
        <v>774</v>
      </c>
      <c r="C60" s="487"/>
      <c r="D60" s="487"/>
      <c r="E60" s="487"/>
      <c r="F60" s="487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305701.3</v>
      </c>
      <c r="S60" s="287">
        <f>SUM(G60:R60)</f>
        <v>69245296.659999996</v>
      </c>
      <c r="T60" s="288">
        <f>+S60/$T$7</f>
        <v>1.5038613673580193E-2</v>
      </c>
      <c r="V60" s="395"/>
    </row>
    <row r="61" spans="1:22" ht="13.5" thickBot="1">
      <c r="A61" s="169">
        <v>1002</v>
      </c>
      <c r="B61" s="470" t="str">
        <f>+VLOOKUP($A61,Master!$D$27:$G$225,4,FALSE)</f>
        <v>Nedostajuća sredstva</v>
      </c>
      <c r="C61" s="471"/>
      <c r="D61" s="471"/>
      <c r="E61" s="471"/>
      <c r="F61" s="471"/>
      <c r="G61" s="242">
        <f>+G55-G57-G60</f>
        <v>-50782593.039999992</v>
      </c>
      <c r="H61" s="242">
        <f t="shared" ref="H61:R61" si="12">+H55-H57-H60</f>
        <v>-66417702.829999991</v>
      </c>
      <c r="I61" s="242">
        <f t="shared" si="12"/>
        <v>-52650662.850000016</v>
      </c>
      <c r="J61" s="242">
        <f t="shared" si="12"/>
        <v>-379728429.63</v>
      </c>
      <c r="K61" s="242">
        <f t="shared" si="12"/>
        <v>-86620216.340000033</v>
      </c>
      <c r="L61" s="242">
        <f t="shared" si="12"/>
        <v>-34324611.789999992</v>
      </c>
      <c r="M61" s="242">
        <f t="shared" si="12"/>
        <v>-39249441.129999988</v>
      </c>
      <c r="N61" s="242">
        <f t="shared" si="12"/>
        <v>-64518016.759999961</v>
      </c>
      <c r="O61" s="242">
        <f t="shared" si="12"/>
        <v>3772370.2600000277</v>
      </c>
      <c r="P61" s="242">
        <f t="shared" si="12"/>
        <v>-18664338.979999989</v>
      </c>
      <c r="Q61" s="242">
        <f t="shared" si="12"/>
        <v>-53911467.76000002</v>
      </c>
      <c r="R61" s="242">
        <f t="shared" si="12"/>
        <v>-81875980.900000021</v>
      </c>
      <c r="S61" s="291">
        <f t="shared" si="3"/>
        <v>-924971091.75</v>
      </c>
      <c r="T61" s="292">
        <f t="shared" si="4"/>
        <v>-0.20088415501140189</v>
      </c>
    </row>
    <row r="62" spans="1:22" ht="13.5" thickBot="1">
      <c r="A62" s="169">
        <v>1003</v>
      </c>
      <c r="B62" s="472" t="str">
        <f>+VLOOKUP($A62,Master!$D$27:$G$225,4,FALSE)</f>
        <v>Finansiranje</v>
      </c>
      <c r="C62" s="473"/>
      <c r="D62" s="473"/>
      <c r="E62" s="473"/>
      <c r="F62" s="473"/>
      <c r="G62" s="176">
        <f>+SUM(G63:G66)</f>
        <v>50782593.039999992</v>
      </c>
      <c r="H62" s="176">
        <f t="shared" ref="H62:R62" si="13">+SUM(H63:H66)</f>
        <v>66417702.829999991</v>
      </c>
      <c r="I62" s="176">
        <f t="shared" si="13"/>
        <v>52650662.850000016</v>
      </c>
      <c r="J62" s="176">
        <f t="shared" si="13"/>
        <v>379728429.63</v>
      </c>
      <c r="K62" s="176">
        <f t="shared" si="13"/>
        <v>86620216.340000033</v>
      </c>
      <c r="L62" s="176">
        <f t="shared" si="13"/>
        <v>34324611.789999992</v>
      </c>
      <c r="M62" s="176">
        <f t="shared" si="13"/>
        <v>39249441.129999988</v>
      </c>
      <c r="N62" s="176">
        <f t="shared" si="13"/>
        <v>64518016.759999961</v>
      </c>
      <c r="O62" s="176">
        <f t="shared" si="13"/>
        <v>-3772370.2600000277</v>
      </c>
      <c r="P62" s="176">
        <f t="shared" si="13"/>
        <v>18664338.979999989</v>
      </c>
      <c r="Q62" s="176">
        <f t="shared" si="13"/>
        <v>53911467.76000002</v>
      </c>
      <c r="R62" s="176">
        <f t="shared" si="13"/>
        <v>81875980.900000021</v>
      </c>
      <c r="S62" s="293">
        <f t="shared" si="3"/>
        <v>924971091.75</v>
      </c>
      <c r="T62" s="294">
        <f t="shared" si="4"/>
        <v>0.20088415501140189</v>
      </c>
    </row>
    <row r="63" spans="1:22">
      <c r="A63" s="169">
        <v>7511</v>
      </c>
      <c r="B63" s="466" t="str">
        <f>+VLOOKUP($A63,Master!$D$27:$G$225,4,FALSE)</f>
        <v>Pozajmice i krediti od domaćih izvora</v>
      </c>
      <c r="C63" s="467"/>
      <c r="D63" s="467"/>
      <c r="E63" s="467"/>
      <c r="F63" s="467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91357443.420000002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213600000</v>
      </c>
      <c r="T63" s="290">
        <f t="shared" si="4"/>
        <v>4.638940167227712E-2</v>
      </c>
    </row>
    <row r="64" spans="1:22">
      <c r="A64" s="169">
        <v>7512</v>
      </c>
      <c r="B64" s="450" t="str">
        <f>+VLOOKUP($A64,Master!$D$27:$G$225,4,FALSE)</f>
        <v>Pozajmice i krediti od inostranih izvora</v>
      </c>
      <c r="C64" s="451"/>
      <c r="D64" s="451"/>
      <c r="E64" s="451"/>
      <c r="F64" s="451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5273085.6500000004</v>
      </c>
      <c r="J64" s="236">
        <f>+INDEX(DataEx!$1:$1048576,MATCH('2018'!$A64,DataEx!$D:$D,0),MATCH('2018'!J$6,DataEx!$7:$7,0))</f>
        <v>494250833.62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16543113.73</v>
      </c>
      <c r="P64" s="236">
        <f>+INDEX(DataEx!$1:$1048576,MATCH('2018'!$A64,DataEx!$D:$D,0),MATCH('2018'!P$6,DataEx!$7:$7,0))</f>
        <v>18813731.219999999</v>
      </c>
      <c r="Q64" s="236">
        <f>+INDEX(DataEx!$1:$1048576,MATCH('2018'!$A64,DataEx!$D:$D,0),MATCH('2018'!Q$6,DataEx!$7:$7,0))</f>
        <v>38823788.329999998</v>
      </c>
      <c r="R64" s="236">
        <f>+INDEX(DataEx!$1:$1048576,MATCH('2018'!$A64,DataEx!$D:$D,0),MATCH('2018'!R$6,DataEx!$7:$7,0))</f>
        <v>23679982.34</v>
      </c>
      <c r="S64" s="289">
        <f t="shared" si="3"/>
        <v>900139686.06000018</v>
      </c>
      <c r="T64" s="290">
        <f t="shared" si="4"/>
        <v>0.19549129895971337</v>
      </c>
    </row>
    <row r="65" spans="1:20">
      <c r="A65" s="169">
        <v>72</v>
      </c>
      <c r="B65" s="450" t="str">
        <f>+VLOOKUP($A65,Master!$D$27:$G$225,4,FALSE)</f>
        <v>Primici od prodaje imovine</v>
      </c>
      <c r="C65" s="451"/>
      <c r="D65" s="451"/>
      <c r="E65" s="451"/>
      <c r="F65" s="451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158760.32999999999</v>
      </c>
      <c r="Q65" s="236">
        <f>+INDEX(DataEx!$1:$1048576,MATCH('2018'!$A65,DataEx!$D:$D,0),MATCH('2018'!Q$6,DataEx!$7:$7,0))</f>
        <v>314684.94</v>
      </c>
      <c r="R65" s="236">
        <f>+INDEX(DataEx!$1:$1048576,MATCH('2018'!$A65,DataEx!$D:$D,0),MATCH('2018'!R$6,DataEx!$7:$7,0))</f>
        <v>998458.94</v>
      </c>
      <c r="S65" s="289">
        <f t="shared" si="3"/>
        <v>15749081.709999999</v>
      </c>
      <c r="T65" s="290">
        <f t="shared" si="4"/>
        <v>3.4203674036268864E-3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25889656.43999999</v>
      </c>
      <c r="H66" s="250">
        <f t="shared" ref="H66:R66" si="14">-H61-SUM(H63:H65)</f>
        <v>-25403865.970000006</v>
      </c>
      <c r="I66" s="250">
        <f t="shared" si="14"/>
        <v>24327705.940000013</v>
      </c>
      <c r="J66" s="250">
        <f t="shared" si="14"/>
        <v>-114630677.10000002</v>
      </c>
      <c r="K66" s="250">
        <f t="shared" si="14"/>
        <v>78731298.080000028</v>
      </c>
      <c r="L66" s="250">
        <f t="shared" si="14"/>
        <v>-242177142.19000003</v>
      </c>
      <c r="M66" s="250">
        <f t="shared" si="14"/>
        <v>5479532.1299999878</v>
      </c>
      <c r="N66" s="250">
        <f t="shared" si="14"/>
        <v>-7857371.6100000441</v>
      </c>
      <c r="O66" s="250">
        <f t="shared" si="14"/>
        <v>-20539193.280000027</v>
      </c>
      <c r="P66" s="250">
        <f t="shared" si="14"/>
        <v>-308152.57000000775</v>
      </c>
      <c r="Q66" s="250">
        <f t="shared" si="14"/>
        <v>14772994.490000024</v>
      </c>
      <c r="R66" s="250">
        <f t="shared" si="14"/>
        <v>57197539.62000002</v>
      </c>
      <c r="S66" s="295">
        <f>+SUM(G66:R66)</f>
        <v>-204517676.02000004</v>
      </c>
      <c r="T66" s="296">
        <f t="shared" si="4"/>
        <v>-4.4416913024215451E-2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35" t="str">
        <f>+Master!G252</f>
        <v>Plan ostvarenja budžeta</v>
      </c>
      <c r="C102" s="536"/>
      <c r="D102" s="536"/>
      <c r="E102" s="536"/>
      <c r="F102" s="536"/>
      <c r="G102" s="528">
        <v>2018</v>
      </c>
      <c r="H102" s="529"/>
      <c r="I102" s="529"/>
      <c r="J102" s="529"/>
      <c r="K102" s="529"/>
      <c r="L102" s="529"/>
      <c r="M102" s="529"/>
      <c r="N102" s="529"/>
      <c r="O102" s="529"/>
      <c r="P102" s="529"/>
      <c r="Q102" s="529"/>
      <c r="R102" s="530"/>
      <c r="S102" s="115" t="str">
        <f>+S7</f>
        <v>BDP</v>
      </c>
      <c r="T102" s="116">
        <f>+T7</f>
        <v>4604500000</v>
      </c>
    </row>
    <row r="103" spans="1:21" ht="15.75" customHeight="1">
      <c r="B103" s="537"/>
      <c r="C103" s="538"/>
      <c r="D103" s="538"/>
      <c r="E103" s="538"/>
      <c r="F103" s="539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28" t="str">
        <f>+Master!G246</f>
        <v>Jan - Dec</v>
      </c>
      <c r="T103" s="530">
        <f>+T8</f>
        <v>0</v>
      </c>
    </row>
    <row r="104" spans="1:21" ht="13.5" thickBot="1">
      <c r="B104" s="540"/>
      <c r="C104" s="541"/>
      <c r="D104" s="541"/>
      <c r="E104" s="541"/>
      <c r="F104" s="542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1" t="str">
        <f>+VLOOKUP(LEFT($A105,LEN(A105)-1)*1,Master!$D$27:$G$225,4,FALSE)</f>
        <v>Prihodi budžeta</v>
      </c>
      <c r="C105" s="532"/>
      <c r="D105" s="532"/>
      <c r="E105" s="532"/>
      <c r="F105" s="532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0.38158393335524216</v>
      </c>
    </row>
    <row r="106" spans="1:21">
      <c r="A106" s="137" t="str">
        <f t="shared" si="17"/>
        <v>711p</v>
      </c>
      <c r="B106" s="533" t="str">
        <f>+VLOOKUP(LEFT($A106,LEN(A106)-1)*1,Master!$D$27:$G$225,4,FALSE)</f>
        <v>Porezi</v>
      </c>
      <c r="C106" s="534"/>
      <c r="D106" s="534"/>
      <c r="E106" s="534"/>
      <c r="F106" s="534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0.23420505796442354</v>
      </c>
      <c r="U106" s="302"/>
    </row>
    <row r="107" spans="1:21">
      <c r="A107" s="137" t="str">
        <f t="shared" si="17"/>
        <v>7111p</v>
      </c>
      <c r="B107" s="514" t="str">
        <f>+VLOOKUP(LEFT($A107,LEN(A107)-1)*1,Master!$D$27:$G$225,4,FALSE)</f>
        <v>Porez na dohodak fizičkih lica</v>
      </c>
      <c r="C107" s="515"/>
      <c r="D107" s="515"/>
      <c r="E107" s="515"/>
      <c r="F107" s="515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2.6356751475380077E-2</v>
      </c>
    </row>
    <row r="108" spans="1:21">
      <c r="A108" s="137" t="str">
        <f t="shared" si="17"/>
        <v>7112p</v>
      </c>
      <c r="B108" s="514" t="str">
        <f>+VLOOKUP(LEFT($A108,LEN(A108)-1)*1,Master!$D$27:$G$225,4,FALSE)</f>
        <v>Porez na dobit pravnih lica</v>
      </c>
      <c r="C108" s="515"/>
      <c r="D108" s="515"/>
      <c r="E108" s="515"/>
      <c r="F108" s="515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1.3395236262440366E-2</v>
      </c>
    </row>
    <row r="109" spans="1:21">
      <c r="A109" s="137" t="str">
        <f t="shared" si="17"/>
        <v>7113p</v>
      </c>
      <c r="B109" s="514" t="str">
        <f>+VLOOKUP(LEFT($A109,LEN(A109)-1)*1,Master!$D$27:$G$225,4,FALSE)</f>
        <v>Porez na promet nepokretnosti</v>
      </c>
      <c r="C109" s="515"/>
      <c r="D109" s="515"/>
      <c r="E109" s="515"/>
      <c r="F109" s="515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4.028446368853425E-4</v>
      </c>
    </row>
    <row r="110" spans="1:21">
      <c r="A110" s="137" t="str">
        <f t="shared" si="17"/>
        <v>7114p</v>
      </c>
      <c r="B110" s="514" t="str">
        <f>+VLOOKUP(LEFT($A110,LEN(A110)-1)*1,Master!$D$27:$G$225,4,FALSE)</f>
        <v>Porez na dodatu vrijednost</v>
      </c>
      <c r="C110" s="515"/>
      <c r="D110" s="515"/>
      <c r="E110" s="515"/>
      <c r="F110" s="515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0.13560468715847429</v>
      </c>
    </row>
    <row r="111" spans="1:21">
      <c r="A111" s="137" t="str">
        <f t="shared" si="17"/>
        <v>7115p</v>
      </c>
      <c r="B111" s="514" t="str">
        <f>+VLOOKUP(LEFT($A111,LEN(A111)-1)*1,Master!$D$27:$G$225,4,FALSE)</f>
        <v>Akcize</v>
      </c>
      <c r="C111" s="515"/>
      <c r="D111" s="515"/>
      <c r="E111" s="515"/>
      <c r="F111" s="515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5.0537046572793357E-2</v>
      </c>
    </row>
    <row r="112" spans="1:21">
      <c r="A112" s="137" t="str">
        <f t="shared" si="17"/>
        <v>7116p</v>
      </c>
      <c r="B112" s="514" t="str">
        <f>+VLOOKUP(LEFT($A112,LEN(A112)-1)*1,Master!$D$27:$G$225,4,FALSE)</f>
        <v>Porez na međunarodnu trgovinu i transakcije</v>
      </c>
      <c r="C112" s="515"/>
      <c r="D112" s="515"/>
      <c r="E112" s="515"/>
      <c r="F112" s="515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5.8334248838632025E-3</v>
      </c>
    </row>
    <row r="113" spans="1:20">
      <c r="A113" s="137" t="str">
        <f t="shared" si="17"/>
        <v>7118p</v>
      </c>
      <c r="B113" s="514" t="str">
        <f>+VLOOKUP(LEFT($A113,LEN(A113)-1)*1,Master!$D$27:$G$225,4,FALSE)</f>
        <v>Ostali državni porezi</v>
      </c>
      <c r="C113" s="515"/>
      <c r="D113" s="515"/>
      <c r="E113" s="515"/>
      <c r="F113" s="515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2.0750669745869428E-3</v>
      </c>
    </row>
    <row r="114" spans="1:20">
      <c r="A114" s="137" t="str">
        <f t="shared" si="17"/>
        <v>712p</v>
      </c>
      <c r="B114" s="526" t="str">
        <f>+VLOOKUP(LEFT($A114,LEN(A114)-1)*1,Master!$D$27:$G$225,4,FALSE)</f>
        <v>Doprinosi</v>
      </c>
      <c r="C114" s="527"/>
      <c r="D114" s="527"/>
      <c r="E114" s="527"/>
      <c r="F114" s="527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0.11342248429153974</v>
      </c>
    </row>
    <row r="115" spans="1:20">
      <c r="A115" s="137" t="str">
        <f t="shared" si="17"/>
        <v>7121p</v>
      </c>
      <c r="B115" s="514" t="str">
        <f>+VLOOKUP(LEFT($A115,LEN(A115)-1)*1,Master!$D$27:$G$225,4,FALSE)</f>
        <v>Doprinosi za penzijsko i invalidsko osiguranje</v>
      </c>
      <c r="C115" s="515"/>
      <c r="D115" s="515"/>
      <c r="E115" s="515"/>
      <c r="F115" s="515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6.8301903564458838E-2</v>
      </c>
    </row>
    <row r="116" spans="1:20">
      <c r="A116" s="137" t="str">
        <f t="shared" si="17"/>
        <v>7122p</v>
      </c>
      <c r="B116" s="514" t="str">
        <f>+VLOOKUP(LEFT($A116,LEN(A116)-1)*1,Master!$D$27:$G$225,4,FALSE)</f>
        <v>Doprinosi za zdravstveno osiguranje</v>
      </c>
      <c r="C116" s="515"/>
      <c r="D116" s="515"/>
      <c r="E116" s="515"/>
      <c r="F116" s="515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3.9286800835398455E-2</v>
      </c>
    </row>
    <row r="117" spans="1:20">
      <c r="A117" s="137" t="str">
        <f t="shared" si="17"/>
        <v>7123p</v>
      </c>
      <c r="B117" s="514" t="str">
        <f>+VLOOKUP(LEFT($A117,LEN(A117)-1)*1,Master!$D$27:$G$225,4,FALSE)</f>
        <v>Doprinosi za osiguranje od nezaposlenosti</v>
      </c>
      <c r="C117" s="515"/>
      <c r="D117" s="515"/>
      <c r="E117" s="515"/>
      <c r="F117" s="515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3.0728964324768892E-3</v>
      </c>
    </row>
    <row r="118" spans="1:20">
      <c r="A118" s="137" t="str">
        <f t="shared" si="17"/>
        <v>7124p</v>
      </c>
      <c r="B118" s="514" t="str">
        <f>+VLOOKUP(LEFT($A118,LEN(A118)-1)*1,Master!$D$27:$G$225,4,FALSE)</f>
        <v>Ostali doprinosi</v>
      </c>
      <c r="C118" s="515"/>
      <c r="D118" s="515"/>
      <c r="E118" s="515"/>
      <c r="F118" s="515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2.7608834592055625E-3</v>
      </c>
    </row>
    <row r="119" spans="1:20">
      <c r="A119" s="137" t="str">
        <f t="shared" si="17"/>
        <v>713p</v>
      </c>
      <c r="B119" s="518" t="str">
        <f>+VLOOKUP(LEFT($A119,LEN(A119)-1)*1,Master!$D$27:$G$225,4,FALSE)</f>
        <v>Takse</v>
      </c>
      <c r="C119" s="519"/>
      <c r="D119" s="519"/>
      <c r="E119" s="519"/>
      <c r="F119" s="519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3.8441673120260321E-3</v>
      </c>
    </row>
    <row r="120" spans="1:20">
      <c r="A120" s="137" t="str">
        <f t="shared" si="17"/>
        <v>714p</v>
      </c>
      <c r="B120" s="518" t="str">
        <f>+VLOOKUP(LEFT($A120,LEN(A120)-1)*1,Master!$D$27:$G$225,4,FALSE)</f>
        <v>Naknade</v>
      </c>
      <c r="C120" s="519"/>
      <c r="D120" s="519"/>
      <c r="E120" s="519"/>
      <c r="F120" s="519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6.108833987867367E-3</v>
      </c>
    </row>
    <row r="121" spans="1:20">
      <c r="A121" s="137" t="str">
        <f t="shared" si="17"/>
        <v>715p</v>
      </c>
      <c r="B121" s="518" t="str">
        <f>+VLOOKUP(LEFT($A121,LEN(A121)-1)*1,Master!$D$27:$G$225,4,FALSE)</f>
        <v>Ostali prihodi</v>
      </c>
      <c r="C121" s="519"/>
      <c r="D121" s="519"/>
      <c r="E121" s="519"/>
      <c r="F121" s="519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1.5578869512385849E-2</v>
      </c>
    </row>
    <row r="122" spans="1:20">
      <c r="A122" s="137" t="str">
        <f t="shared" si="17"/>
        <v>73p</v>
      </c>
      <c r="B122" s="518" t="str">
        <f>+VLOOKUP(LEFT($A122,LEN(A122)-1)*1,Master!$D$27:$G$225,4,FALSE)</f>
        <v>Primici od otplate kredita i sredstva prenesena iz prethodne godine</v>
      </c>
      <c r="C122" s="519"/>
      <c r="D122" s="519"/>
      <c r="E122" s="519"/>
      <c r="F122" s="519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1.5772210317379757E-3</v>
      </c>
    </row>
    <row r="123" spans="1:20" ht="13.5" thickBot="1">
      <c r="A123" s="137" t="str">
        <f t="shared" si="17"/>
        <v>74p</v>
      </c>
      <c r="B123" s="520" t="str">
        <f>+VLOOKUP(LEFT($A123,LEN(A123)-1)*1,Master!$D$27:$G$225,4,FALSE)</f>
        <v>Donacije i transferi</v>
      </c>
      <c r="C123" s="521"/>
      <c r="D123" s="521"/>
      <c r="E123" s="521"/>
      <c r="F123" s="521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6.8472992552616133E-3</v>
      </c>
    </row>
    <row r="124" spans="1:20" ht="13.5" thickBot="1">
      <c r="A124" s="137" t="str">
        <f t="shared" si="17"/>
        <v>4p</v>
      </c>
      <c r="B124" s="506" t="str">
        <f>+VLOOKUP(LEFT($A124,LEN(A124)-1)*1,Master!$D$27:$G$225,4,FALSE)</f>
        <v>Budžetski izdaci</v>
      </c>
      <c r="C124" s="507"/>
      <c r="D124" s="507"/>
      <c r="E124" s="507"/>
      <c r="F124" s="507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0.41260572802620621</v>
      </c>
    </row>
    <row r="125" spans="1:20" ht="13.5" thickBot="1">
      <c r="A125" s="137" t="str">
        <f t="shared" si="17"/>
        <v>41p</v>
      </c>
      <c r="B125" s="522" t="str">
        <f>+VLOOKUP(LEFT($A125,LEN(A125)-1)*1,Master!$D$27:$G$225,4,FALSE)</f>
        <v>Tekući izdaci</v>
      </c>
      <c r="C125" s="523"/>
      <c r="D125" s="523"/>
      <c r="E125" s="523"/>
      <c r="F125" s="523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0.34982475289390808</v>
      </c>
    </row>
    <row r="126" spans="1:20">
      <c r="A126" s="137" t="str">
        <f t="shared" si="17"/>
        <v>40p</v>
      </c>
      <c r="B126" s="524" t="str">
        <f>+VLOOKUP(LEFT($A126,LEN(A126)-1)*1,Master!$D$27:$G$225,4,FALSE)</f>
        <v>Tekući budžetski izdaci</v>
      </c>
      <c r="C126" s="525"/>
      <c r="D126" s="525"/>
      <c r="E126" s="525"/>
      <c r="F126" s="525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0.17648617068302747</v>
      </c>
    </row>
    <row r="127" spans="1:20">
      <c r="A127" s="137" t="str">
        <f t="shared" si="17"/>
        <v>411p</v>
      </c>
      <c r="B127" s="514" t="str">
        <f>+VLOOKUP(LEFT($A127,LEN(A127)-1)*1,Master!$D$27:$G$225,4,FALSE)</f>
        <v>Bruto zarade i doprinosi na teret poslodavca</v>
      </c>
      <c r="C127" s="515"/>
      <c r="D127" s="515"/>
      <c r="E127" s="515"/>
      <c r="F127" s="515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0.1003309363600825</v>
      </c>
    </row>
    <row r="128" spans="1:20">
      <c r="A128" s="137" t="str">
        <f t="shared" si="17"/>
        <v>412p</v>
      </c>
      <c r="B128" s="514" t="str">
        <f>+VLOOKUP(LEFT($A128,LEN(A128)-1)*1,Master!$D$27:$G$225,4,FALSE)</f>
        <v>Ostala lična primanja</v>
      </c>
      <c r="C128" s="515"/>
      <c r="D128" s="515"/>
      <c r="E128" s="515"/>
      <c r="F128" s="515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2.8803612075143873E-3</v>
      </c>
    </row>
    <row r="129" spans="1:20">
      <c r="A129" s="137" t="str">
        <f t="shared" si="17"/>
        <v>413p</v>
      </c>
      <c r="B129" s="514" t="str">
        <f>+VLOOKUP(LEFT($A129,LEN(A129)-1)*1,Master!$D$27:$G$225,4,FALSE)</f>
        <v>Rashodi za materijal</v>
      </c>
      <c r="C129" s="515"/>
      <c r="D129" s="515"/>
      <c r="E129" s="515"/>
      <c r="F129" s="515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8.618137365620589E-3</v>
      </c>
    </row>
    <row r="130" spans="1:20">
      <c r="A130" s="137" t="str">
        <f t="shared" si="17"/>
        <v>414p</v>
      </c>
      <c r="B130" s="514" t="str">
        <f>+VLOOKUP(LEFT($A130,LEN(A130)-1)*1,Master!$D$27:$G$225,4,FALSE)</f>
        <v>Rashodi za usluge</v>
      </c>
      <c r="C130" s="515"/>
      <c r="D130" s="515"/>
      <c r="E130" s="515"/>
      <c r="F130" s="515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1.2757505253556303E-2</v>
      </c>
    </row>
    <row r="131" spans="1:20">
      <c r="A131" s="137" t="str">
        <f t="shared" si="17"/>
        <v>415p</v>
      </c>
      <c r="B131" s="514" t="str">
        <f>+VLOOKUP(LEFT($A131,LEN(A131)-1)*1,Master!$D$27:$G$225,4,FALSE)</f>
        <v>Rashodi za tekuće održavanje</v>
      </c>
      <c r="C131" s="515"/>
      <c r="D131" s="515"/>
      <c r="E131" s="515"/>
      <c r="F131" s="515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4.839936325333913E-3</v>
      </c>
    </row>
    <row r="132" spans="1:20">
      <c r="A132" s="137" t="str">
        <f t="shared" si="17"/>
        <v>416p</v>
      </c>
      <c r="B132" s="514" t="str">
        <f>+VLOOKUP(LEFT($A132,LEN(A132)-1)*1,Master!$D$27:$G$225,4,FALSE)</f>
        <v>Kamate</v>
      </c>
      <c r="C132" s="515"/>
      <c r="D132" s="515"/>
      <c r="E132" s="515"/>
      <c r="F132" s="515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1.8990704745357804E-2</v>
      </c>
    </row>
    <row r="133" spans="1:20">
      <c r="A133" s="137" t="str">
        <f t="shared" si="17"/>
        <v>417p</v>
      </c>
      <c r="B133" s="514" t="str">
        <f>+VLOOKUP(LEFT($A133,LEN(A133)-1)*1,Master!$D$27:$G$225,4,FALSE)</f>
        <v>Renta</v>
      </c>
      <c r="C133" s="515"/>
      <c r="D133" s="515"/>
      <c r="E133" s="515"/>
      <c r="F133" s="515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2.2466119361494192E-3</v>
      </c>
    </row>
    <row r="134" spans="1:20">
      <c r="A134" s="137" t="str">
        <f t="shared" si="17"/>
        <v>418p</v>
      </c>
      <c r="B134" s="514" t="str">
        <f>+VLOOKUP(LEFT($A134,LEN(A134)-1)*1,Master!$D$27:$G$225,4,FALSE)</f>
        <v>Subvencije</v>
      </c>
      <c r="C134" s="515"/>
      <c r="D134" s="515"/>
      <c r="E134" s="515"/>
      <c r="F134" s="515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5.8055814963622566E-3</v>
      </c>
    </row>
    <row r="135" spans="1:20">
      <c r="A135" s="137" t="str">
        <f t="shared" si="17"/>
        <v>419p</v>
      </c>
      <c r="B135" s="514" t="str">
        <f>+VLOOKUP(LEFT($A135,LEN(A135)-1)*1,Master!$D$27:$G$225,4,FALSE)</f>
        <v>Ostali izdaci</v>
      </c>
      <c r="C135" s="515"/>
      <c r="D135" s="515"/>
      <c r="E135" s="515"/>
      <c r="F135" s="515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8.5390226799869698E-3</v>
      </c>
    </row>
    <row r="136" spans="1:20">
      <c r="A136" s="137" t="str">
        <f t="shared" si="17"/>
        <v>440p</v>
      </c>
      <c r="B136" s="514" t="str">
        <f>+VLOOKUP(LEFT($A136,LEN(A136)-1)*1,Master!$D$27:$G$225,4,FALSE)</f>
        <v>Kapitalni izdaci u tekućem budžetu</v>
      </c>
      <c r="C136" s="515"/>
      <c r="D136" s="515"/>
      <c r="E136" s="515"/>
      <c r="F136" s="515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1.1477373313063305E-2</v>
      </c>
    </row>
    <row r="137" spans="1:20">
      <c r="A137" s="137" t="str">
        <f t="shared" si="17"/>
        <v>42p</v>
      </c>
      <c r="B137" s="512" t="str">
        <f>+VLOOKUP(LEFT($A137,LEN(A137)-1)*1,Master!$D$27:$G$225,4,FALSE)</f>
        <v>Transferi za socijalnu zaštitu</v>
      </c>
      <c r="C137" s="513"/>
      <c r="D137" s="513"/>
      <c r="E137" s="513"/>
      <c r="F137" s="513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0.12138837525464223</v>
      </c>
    </row>
    <row r="138" spans="1:20">
      <c r="A138" s="137" t="str">
        <f t="shared" si="17"/>
        <v>421p</v>
      </c>
      <c r="B138" s="514" t="str">
        <f>+VLOOKUP(LEFT($A138,LEN(A138)-1)*1,Master!$D$27:$G$225,4,FALSE)</f>
        <v>Prava iz oblasti socijalne zaštite</v>
      </c>
      <c r="C138" s="515"/>
      <c r="D138" s="515"/>
      <c r="E138" s="515"/>
      <c r="F138" s="515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1.7979386233032902E-2</v>
      </c>
    </row>
    <row r="139" spans="1:20">
      <c r="A139" s="137" t="str">
        <f t="shared" si="17"/>
        <v>422p</v>
      </c>
      <c r="B139" s="514" t="str">
        <f>+VLOOKUP(LEFT($A139,LEN(A139)-1)*1,Master!$D$27:$G$225,4,FALSE)</f>
        <v>Sredstva za tehnološke viškove</v>
      </c>
      <c r="C139" s="515"/>
      <c r="D139" s="515"/>
      <c r="E139" s="515"/>
      <c r="F139" s="515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3.7569333304376135E-3</v>
      </c>
    </row>
    <row r="140" spans="1:20">
      <c r="A140" s="137" t="str">
        <f t="shared" si="17"/>
        <v>423p</v>
      </c>
      <c r="B140" s="514" t="str">
        <f>+VLOOKUP(LEFT($A140,LEN(A140)-1)*1,Master!$D$27:$G$225,4,FALSE)</f>
        <v>Prava iz oblasti penzijskog i invalidskog osiguranja</v>
      </c>
      <c r="C140" s="515"/>
      <c r="D140" s="515"/>
      <c r="E140" s="515"/>
      <c r="F140" s="515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9.2447125731349791E-2</v>
      </c>
    </row>
    <row r="141" spans="1:20">
      <c r="A141" s="137" t="str">
        <f t="shared" si="17"/>
        <v>424p</v>
      </c>
      <c r="B141" s="514" t="str">
        <f>+VLOOKUP(LEFT($A141,LEN(A141)-1)*1,Master!$D$27:$G$225,4,FALSE)</f>
        <v>Ostala prava iz oblasti zdravstvene zaštite</v>
      </c>
      <c r="C141" s="515"/>
      <c r="D141" s="515"/>
      <c r="E141" s="515"/>
      <c r="F141" s="515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4.1264198067108258E-3</v>
      </c>
    </row>
    <row r="142" spans="1:20">
      <c r="A142" s="137" t="str">
        <f t="shared" si="17"/>
        <v>425p</v>
      </c>
      <c r="B142" s="514" t="str">
        <f>+VLOOKUP(LEFT($A142,LEN(A142)-1)*1,Master!$D$27:$G$225,4,FALSE)</f>
        <v>Ostala prava iz zdravstvenog osiguranja</v>
      </c>
      <c r="C142" s="515"/>
      <c r="D142" s="515"/>
      <c r="E142" s="515"/>
      <c r="F142" s="515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3.0785101531110872E-3</v>
      </c>
    </row>
    <row r="143" spans="1:20">
      <c r="A143" s="137" t="str">
        <f t="shared" si="17"/>
        <v>43p</v>
      </c>
      <c r="B143" s="516" t="str">
        <f>+VLOOKUP(LEFT($A143,LEN(A143)-1)*1,Master!$D$27:$G$225,4,FALSE)</f>
        <v xml:space="preserve">Transferi institucijama, pojedincima, nevladinom i javnom sektoru </v>
      </c>
      <c r="C143" s="517"/>
      <c r="D143" s="517"/>
      <c r="E143" s="517"/>
      <c r="F143" s="517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4.488744460636334E-2</v>
      </c>
    </row>
    <row r="144" spans="1:20">
      <c r="A144" s="137" t="str">
        <f t="shared" si="17"/>
        <v>44p</v>
      </c>
      <c r="B144" s="516" t="str">
        <f>+VLOOKUP(LEFT($A144,LEN(A144)-1)*1,Master!$D$27:$G$225,4,FALSE)</f>
        <v>Kapitalni budžet</v>
      </c>
      <c r="C144" s="517"/>
      <c r="D144" s="517"/>
      <c r="E144" s="517"/>
      <c r="F144" s="517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6.2780975132298134E-2</v>
      </c>
    </row>
    <row r="145" spans="1:20">
      <c r="A145" s="137" t="str">
        <f t="shared" si="17"/>
        <v>451p</v>
      </c>
      <c r="B145" s="500" t="str">
        <f>+VLOOKUP(LEFT($A145,LEN(A145)-1)*1,Master!$D$27:$G$225,4,FALSE)</f>
        <v>Pozajmice i krediti</v>
      </c>
      <c r="C145" s="501"/>
      <c r="D145" s="501"/>
      <c r="E145" s="501"/>
      <c r="F145" s="501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6.2438940167227697E-4</v>
      </c>
    </row>
    <row r="146" spans="1:20">
      <c r="A146" s="137" t="str">
        <f t="shared" si="17"/>
        <v>47p</v>
      </c>
      <c r="B146" s="500" t="str">
        <f>+VLOOKUP(LEFT($A146,LEN(A146)-1)*1,Master!$D$27:$G$225,4,FALSE)</f>
        <v>Rezerve</v>
      </c>
      <c r="C146" s="501"/>
      <c r="D146" s="501"/>
      <c r="E146" s="501"/>
      <c r="F146" s="501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6.4383729482028456E-3</v>
      </c>
    </row>
    <row r="147" spans="1:20">
      <c r="A147" s="137" t="str">
        <f t="shared" si="17"/>
        <v>462p</v>
      </c>
      <c r="B147" s="500" t="str">
        <f>+VLOOKUP(LEFT($A147,LEN(A147)-1)*1,Master!$D$27:$G$225,4,FALSE)</f>
        <v>Otplata garancija</v>
      </c>
      <c r="C147" s="501"/>
      <c r="D147" s="501"/>
      <c r="E147" s="501"/>
      <c r="F147" s="501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696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08" t="str">
        <f>+VLOOKUP(LEFT($A149,LEN(A149)-1)*1,Master!$D$27:$G$225,4,FALSE)</f>
        <v>Suficit / deficit</v>
      </c>
      <c r="C149" s="509"/>
      <c r="D149" s="509"/>
      <c r="E149" s="509"/>
      <c r="F149" s="509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-3.1021794670964119E-2</v>
      </c>
    </row>
    <row r="150" spans="1:20" ht="13.5" thickBot="1">
      <c r="A150" s="138" t="str">
        <f>+CONCATENATE(A56,"p")</f>
        <v>1001p</v>
      </c>
      <c r="B150" s="510" t="str">
        <f>+VLOOKUP(LEFT($A150,LEN(A150)-1)*1,Master!$D$27:$G$225,4,FALSE)</f>
        <v>Primarni bilans</v>
      </c>
      <c r="C150" s="511"/>
      <c r="D150" s="511"/>
      <c r="E150" s="511"/>
      <c r="F150" s="511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-1.2031089925606314E-2</v>
      </c>
    </row>
    <row r="151" spans="1:20">
      <c r="A151" s="138" t="str">
        <f>+CONCATENATE(A57,"p")</f>
        <v>46p</v>
      </c>
      <c r="B151" s="512" t="str">
        <f>+VLOOKUP(LEFT($A151,LEN(A151)-1)*1,Master!$D$27:$G$225,4,FALSE)</f>
        <v>Otplata dugova</v>
      </c>
      <c r="C151" s="513"/>
      <c r="D151" s="513"/>
      <c r="E151" s="513"/>
      <c r="F151" s="513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0.11780492448908675</v>
      </c>
    </row>
    <row r="152" spans="1:20">
      <c r="A152" s="138" t="str">
        <f>+CONCATENATE(A58,"p")</f>
        <v>4611p</v>
      </c>
      <c r="B152" s="502" t="str">
        <f>+VLOOKUP(LEFT($A152,LEN(A152)-1)*1,Master!$D$27:$G$225,4,FALSE)</f>
        <v>Otplata hartija od vrijednosti i kredita rezidentima</v>
      </c>
      <c r="C152" s="503"/>
      <c r="D152" s="503"/>
      <c r="E152" s="503"/>
      <c r="F152" s="503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1.1008422154414159E-2</v>
      </c>
    </row>
    <row r="153" spans="1:20">
      <c r="A153" s="138" t="str">
        <f>+CONCATENATE(A59,"p")</f>
        <v>4612p</v>
      </c>
      <c r="B153" s="500" t="str">
        <f>+VLOOKUP(LEFT($A153,LEN(A153)-1)*1,Master!$D$27:$G$225,4,FALSE)</f>
        <v>Otplata hartija od vrijednosti i kredita nerezidentima</v>
      </c>
      <c r="C153" s="501"/>
      <c r="D153" s="501"/>
      <c r="E153" s="501"/>
      <c r="F153" s="501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0.10022803778911935</v>
      </c>
    </row>
    <row r="154" spans="1:20">
      <c r="A154" s="138" t="str">
        <f>+CONCATENATE(A53,"p")</f>
        <v>4630p</v>
      </c>
      <c r="B154" s="500" t="str">
        <f>+VLOOKUP(LEFT($A154,LEN(A154)-1)*1,Master!$D$27:$G$225,4,FALSE)</f>
        <v>Otplata obaveza iz prethodnih godina</v>
      </c>
      <c r="C154" s="501"/>
      <c r="D154" s="501"/>
      <c r="E154" s="501"/>
      <c r="F154" s="501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6.5684645455532662E-3</v>
      </c>
    </row>
    <row r="155" spans="1:20" ht="13.5" thickBot="1">
      <c r="A155" s="138"/>
      <c r="B155" s="422" t="s">
        <v>340</v>
      </c>
      <c r="C155" s="423"/>
      <c r="D155" s="423"/>
      <c r="E155" s="423"/>
      <c r="F155" s="423"/>
      <c r="G155" s="429">
        <f>+DataEx!ET377</f>
        <v>0</v>
      </c>
      <c r="H155" s="429">
        <f>+DataEx!EU377</f>
        <v>0</v>
      </c>
      <c r="I155" s="429">
        <f>+DataEx!EV377</f>
        <v>0</v>
      </c>
      <c r="J155" s="429">
        <f>+DataEx!EW377</f>
        <v>0</v>
      </c>
      <c r="K155" s="429">
        <f>+DataEx!EX377</f>
        <v>70000000</v>
      </c>
      <c r="L155" s="429">
        <f>+DataEx!EY377</f>
        <v>0</v>
      </c>
      <c r="M155" s="429">
        <f>+DataEx!EZ377</f>
        <v>0</v>
      </c>
      <c r="N155" s="429">
        <f>+DataEx!FA377</f>
        <v>0</v>
      </c>
      <c r="O155" s="429">
        <f>+DataEx!FB377</f>
        <v>0</v>
      </c>
      <c r="P155" s="429">
        <f>+DataEx!FC377</f>
        <v>0</v>
      </c>
      <c r="Q155" s="429">
        <f>+DataEx!FD377</f>
        <v>0</v>
      </c>
      <c r="R155" s="429">
        <f>+DataEx!FE377</f>
        <v>0</v>
      </c>
      <c r="S155" s="107">
        <f t="shared" si="20"/>
        <v>70000000</v>
      </c>
      <c r="T155" s="108">
        <f t="shared" si="21"/>
        <v>1.5202519274622652E-2</v>
      </c>
    </row>
    <row r="156" spans="1:20" ht="13.5" thickBot="1">
      <c r="A156" s="138" t="str">
        <f t="shared" ref="A156:A161" si="30">+CONCATENATE(A61,"p")</f>
        <v>1002p</v>
      </c>
      <c r="B156" s="504" t="str">
        <f>+VLOOKUP(LEFT($A156,LEN(A156)-1)*1,Master!$D$27:$G$225,4,FALSE)</f>
        <v>Nedostajuća sredstva</v>
      </c>
      <c r="C156" s="505"/>
      <c r="D156" s="505"/>
      <c r="E156" s="505"/>
      <c r="F156" s="505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-0.16402923843467351</v>
      </c>
    </row>
    <row r="157" spans="1:20" ht="13.5" thickBot="1">
      <c r="A157" s="138" t="str">
        <f t="shared" si="30"/>
        <v>1003p</v>
      </c>
      <c r="B157" s="506" t="str">
        <f>+VLOOKUP(LEFT($A157,LEN(A157)-1)*1,Master!$D$27:$G$225,4,FALSE)</f>
        <v>Finansiranje</v>
      </c>
      <c r="C157" s="507"/>
      <c r="D157" s="507"/>
      <c r="E157" s="507"/>
      <c r="F157" s="507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0.16402923843467351</v>
      </c>
    </row>
    <row r="158" spans="1:20">
      <c r="A158" s="138" t="str">
        <f t="shared" si="30"/>
        <v>7511p</v>
      </c>
      <c r="B158" s="502" t="str">
        <f>+VLOOKUP(LEFT($A158,LEN(A158)-1)*1,Master!$D$27:$G$225,4,FALSE)</f>
        <v>Pozajmice i krediti od domaćih izvora</v>
      </c>
      <c r="C158" s="503"/>
      <c r="D158" s="503"/>
      <c r="E158" s="503"/>
      <c r="F158" s="503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00" t="str">
        <f>+VLOOKUP(LEFT($A159,LEN(A159)-1)*1,Master!$D$27:$G$225,4,FALSE)</f>
        <v>Pozajmice i krediti od inostranih izvora</v>
      </c>
      <c r="C159" s="501"/>
      <c r="D159" s="501"/>
      <c r="E159" s="501"/>
      <c r="F159" s="501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0.16055257868732487</v>
      </c>
    </row>
    <row r="160" spans="1:20">
      <c r="A160" s="138" t="str">
        <f t="shared" si="30"/>
        <v>72p</v>
      </c>
      <c r="B160" s="500" t="str">
        <f>+VLOOKUP(LEFT($A160,LEN(A160)-1)*1,Master!$D$27:$G$225,4,FALSE)</f>
        <v>Primici od prodaje imovine</v>
      </c>
      <c r="C160" s="501"/>
      <c r="D160" s="501"/>
      <c r="E160" s="501"/>
      <c r="F160" s="501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3.4748615484851775E-3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1.7981988634804534E-6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 activeCell="A102" sqref="A102:A16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3.7109375" style="303" customWidth="1"/>
    <col min="9" max="9" width="14.140625" style="303" customWidth="1"/>
    <col min="10" max="10" width="15.42578125" style="303" customWidth="1"/>
    <col min="11" max="11" width="15.28515625" style="303" customWidth="1"/>
    <col min="12" max="12" width="14.42578125" style="303" customWidth="1"/>
    <col min="13" max="13" width="15.140625" style="303" customWidth="1"/>
    <col min="14" max="14" width="13.7109375" style="303" customWidth="1"/>
    <col min="15" max="15" width="14" style="303" customWidth="1"/>
    <col min="16" max="16" width="13.28515625" style="303" customWidth="1"/>
    <col min="17" max="17" width="13.85546875" style="303" customWidth="1"/>
    <col min="18" max="18" width="14.425781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739</v>
      </c>
      <c r="H6" s="259" t="s">
        <v>740</v>
      </c>
      <c r="I6" s="259" t="s">
        <v>741</v>
      </c>
      <c r="J6" s="259" t="s">
        <v>742</v>
      </c>
      <c r="K6" s="259" t="s">
        <v>743</v>
      </c>
      <c r="L6" s="259" t="s">
        <v>744</v>
      </c>
      <c r="M6" s="259" t="s">
        <v>745</v>
      </c>
      <c r="N6" s="259" t="s">
        <v>746</v>
      </c>
      <c r="O6" s="259" t="s">
        <v>747</v>
      </c>
      <c r="P6" s="259" t="s">
        <v>748</v>
      </c>
      <c r="Q6" s="259" t="s">
        <v>749</v>
      </c>
      <c r="R6" s="259" t="s">
        <v>750</v>
      </c>
      <c r="S6" s="258"/>
      <c r="T6" s="258"/>
    </row>
    <row r="7" spans="1:20" ht="15" customHeight="1" thickBot="1">
      <c r="A7" s="169"/>
      <c r="B7" s="553" t="str">
        <f>+[1]Master!G249</f>
        <v>Ostvarenje budžeta</v>
      </c>
      <c r="C7" s="453"/>
      <c r="D7" s="453"/>
      <c r="E7" s="453"/>
      <c r="F7" s="453"/>
      <c r="G7" s="461">
        <v>2017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+[1]Master!G246</f>
        <v>BDP</v>
      </c>
      <c r="T7" s="261">
        <v>4299000000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61" t="str">
        <f>+[1]Master!G243</f>
        <v>Jan - Dec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+[1]Master!G247</f>
        <v>% BDP</v>
      </c>
    </row>
    <row r="10" spans="1:20" ht="13.5" thickBot="1">
      <c r="A10" s="175">
        <v>7</v>
      </c>
      <c r="B10" s="494" t="str">
        <f>+VLOOKUP($A10,[1]Master!$D$25:$G$223,4,FALSE)</f>
        <v>Prihodi budžeta</v>
      </c>
      <c r="C10" s="495"/>
      <c r="D10" s="495"/>
      <c r="E10" s="495"/>
      <c r="F10" s="495"/>
      <c r="G10" s="41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496" t="str">
        <f>+VLOOKUP($A11,[1]Master!$D$25:$G$223,4,FALSE)</f>
        <v>Porezi</v>
      </c>
      <c r="C11" s="497"/>
      <c r="D11" s="497"/>
      <c r="E11" s="497"/>
      <c r="F11" s="497"/>
      <c r="G11" s="417">
        <f t="shared" ref="G11:R11" si="2">+SUM(G12:G18)</f>
        <v>53512170.450000003</v>
      </c>
      <c r="H11" s="416">
        <f t="shared" si="2"/>
        <v>50615120.200000003</v>
      </c>
      <c r="I11" s="416">
        <f t="shared" si="2"/>
        <v>90524246.909999996</v>
      </c>
      <c r="J11" s="416">
        <f t="shared" si="2"/>
        <v>81677988.170000002</v>
      </c>
      <c r="K11" s="416">
        <f t="shared" si="2"/>
        <v>77800336.479999989</v>
      </c>
      <c r="L11" s="416">
        <f t="shared" si="2"/>
        <v>85282444.409999996</v>
      </c>
      <c r="M11" s="416">
        <f t="shared" si="2"/>
        <v>89248400.649999991</v>
      </c>
      <c r="N11" s="416">
        <f t="shared" si="2"/>
        <v>99153787.180000007</v>
      </c>
      <c r="O11" s="416">
        <f t="shared" si="2"/>
        <v>92913520.620000005</v>
      </c>
      <c r="P11" s="416">
        <f t="shared" si="2"/>
        <v>86378572.320000008</v>
      </c>
      <c r="Q11" s="416">
        <f t="shared" si="2"/>
        <v>74654697.830000013</v>
      </c>
      <c r="R11" s="41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82" t="str">
        <f>+VLOOKUP($A12,[1]Master!$D$25:$G$223,4,FALSE)</f>
        <v>Porez na dohodak fizičkih lica</v>
      </c>
      <c r="C12" s="483"/>
      <c r="D12" s="483"/>
      <c r="E12" s="483"/>
      <c r="F12" s="483"/>
      <c r="G12" s="418">
        <v>3855468.97</v>
      </c>
      <c r="H12" s="418">
        <v>7751521.5300000003</v>
      </c>
      <c r="I12" s="418">
        <v>9093379.6300000008</v>
      </c>
      <c r="J12" s="418">
        <v>8729072.4399999995</v>
      </c>
      <c r="K12" s="418">
        <v>9825835.5299999993</v>
      </c>
      <c r="L12" s="418">
        <v>9719543.6799999997</v>
      </c>
      <c r="M12" s="418">
        <v>10577855.74</v>
      </c>
      <c r="N12" s="418">
        <v>10476522.35</v>
      </c>
      <c r="O12" s="418">
        <v>9609655.3800000008</v>
      </c>
      <c r="P12" s="418">
        <v>10226839.18</v>
      </c>
      <c r="Q12" s="418">
        <v>7670634.21</v>
      </c>
      <c r="R12" s="41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82" t="str">
        <f>+VLOOKUP($A13,[1]Master!$D$25:$G$223,4,FALSE)</f>
        <v>Porez na dobit pravnih lica</v>
      </c>
      <c r="C13" s="483"/>
      <c r="D13" s="483"/>
      <c r="E13" s="483"/>
      <c r="F13" s="483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82" t="str">
        <f>+VLOOKUP($A14,[1]Master!$D$25:$G$223,4,FALSE)</f>
        <v>Porez na promet nepokretnosti</v>
      </c>
      <c r="C14" s="483"/>
      <c r="D14" s="483"/>
      <c r="E14" s="483"/>
      <c r="F14" s="483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82" t="str">
        <f>+VLOOKUP($A15,[1]Master!$D$25:$G$223,4,FALSE)</f>
        <v>Porez na dodatu vrijednost</v>
      </c>
      <c r="C15" s="483"/>
      <c r="D15" s="483"/>
      <c r="E15" s="483"/>
      <c r="F15" s="483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82" t="str">
        <f>+VLOOKUP($A16,[1]Master!$D$25:$G$223,4,FALSE)</f>
        <v>Akcize</v>
      </c>
      <c r="C16" s="483"/>
      <c r="D16" s="483"/>
      <c r="E16" s="483"/>
      <c r="F16" s="483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82" t="str">
        <f>+VLOOKUP($A17,[1]Master!$D$25:$G$223,4,FALSE)</f>
        <v>Porez na međunarodnu trgovinu i transakcije</v>
      </c>
      <c r="C17" s="483"/>
      <c r="D17" s="483"/>
      <c r="E17" s="483"/>
      <c r="F17" s="483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82" t="str">
        <f>+VLOOKUP($A18,[1]Master!$D$25:$G$223,4,FALSE)</f>
        <v>Ostali državni porezi</v>
      </c>
      <c r="C18" s="483"/>
      <c r="D18" s="483"/>
      <c r="E18" s="483"/>
      <c r="F18" s="483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92" t="str">
        <f>+VLOOKUP($A19,[1]Master!$D$25:$G$223,4,FALSE)</f>
        <v>Doprinosi</v>
      </c>
      <c r="C19" s="493"/>
      <c r="D19" s="493"/>
      <c r="E19" s="493"/>
      <c r="F19" s="493"/>
      <c r="G19" s="419">
        <f>+INDEX([1]DataEx!$1:$1048576,MATCH('2017'!$A19,[1]DataEx!$D:$D,0),MATCH('2017'!G$6,[1]DataEx!$7:$7,0))</f>
        <v>15942566.910000002</v>
      </c>
      <c r="H19" s="419">
        <f>+INDEX([1]DataEx!$1:$1048576,MATCH('2017'!$A19,[1]DataEx!$D:$D,0),MATCH('2017'!H$6,[1]DataEx!$7:$7,0))</f>
        <v>32105522.039999999</v>
      </c>
      <c r="I19" s="419">
        <f>+INDEX([1]DataEx!$1:$1048576,MATCH('2017'!$A19,[1]DataEx!$D:$D,0),MATCH('2017'!I$6,[1]DataEx!$7:$7,0))</f>
        <v>37652066.75</v>
      </c>
      <c r="J19" s="419">
        <f>+INDEX([1]DataEx!$1:$1048576,MATCH('2017'!$A19,[1]DataEx!$D:$D,0),MATCH('2017'!J$6,[1]DataEx!$7:$7,0))</f>
        <v>35977730.460000001</v>
      </c>
      <c r="K19" s="419">
        <f>+INDEX([1]DataEx!$1:$1048576,MATCH('2017'!$A19,[1]DataEx!$D:$D,0),MATCH('2017'!K$6,[1]DataEx!$7:$7,0))</f>
        <v>40567246.729999997</v>
      </c>
      <c r="L19" s="419">
        <f>+INDEX([1]DataEx!$1:$1048576,MATCH('2017'!$A19,[1]DataEx!$D:$D,0),MATCH('2017'!L$6,[1]DataEx!$7:$7,0))</f>
        <v>40389805.469999999</v>
      </c>
      <c r="M19" s="419">
        <f>+INDEX([1]DataEx!$1:$1048576,MATCH('2017'!$A19,[1]DataEx!$D:$D,0),MATCH('2017'!M$6,[1]DataEx!$7:$7,0))</f>
        <v>44393326.049999997</v>
      </c>
      <c r="N19" s="419">
        <f>+INDEX([1]DataEx!$1:$1048576,MATCH('2017'!$A19,[1]DataEx!$D:$D,0),MATCH('2017'!N$6,[1]DataEx!$7:$7,0))</f>
        <v>43764113.43</v>
      </c>
      <c r="O19" s="419">
        <f>+INDEX([1]DataEx!$1:$1048576,MATCH('2017'!$A19,[1]DataEx!$D:$D,0),MATCH('2017'!O$6,[1]DataEx!$7:$7,0))</f>
        <v>39922755.840000004</v>
      </c>
      <c r="P19" s="419">
        <f>+INDEX([1]DataEx!$1:$1048576,MATCH('2017'!$A19,[1]DataEx!$D:$D,0),MATCH('2017'!P$6,[1]DataEx!$7:$7,0))</f>
        <v>42882136.189999998</v>
      </c>
      <c r="Q19" s="419">
        <f>+INDEX([1]DataEx!$1:$1048576,MATCH('2017'!$A19,[1]DataEx!$D:$D,0),MATCH('2017'!Q$6,[1]DataEx!$7:$7,0))</f>
        <v>43774643.869999997</v>
      </c>
      <c r="R19" s="41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82" t="str">
        <f>+VLOOKUP($A20,[1]Master!$D$25:$G$223,4,FALSE)</f>
        <v>Doprinosi za penzijsko i invalidsko osiguranje</v>
      </c>
      <c r="C20" s="483"/>
      <c r="D20" s="483"/>
      <c r="E20" s="483"/>
      <c r="F20" s="483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82" t="str">
        <f>+VLOOKUP($A21,[1]Master!$D$25:$G$223,4,FALSE)</f>
        <v>Doprinosi za zdravstveno osiguranje</v>
      </c>
      <c r="C21" s="483"/>
      <c r="D21" s="483"/>
      <c r="E21" s="483"/>
      <c r="F21" s="483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82" t="str">
        <f>+VLOOKUP($A22,[1]Master!$D$25:$G$223,4,FALSE)</f>
        <v>Doprinosi za osiguranje od nezaposlenosti</v>
      </c>
      <c r="C22" s="483"/>
      <c r="D22" s="483"/>
      <c r="E22" s="483"/>
      <c r="F22" s="483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82" t="str">
        <f>+VLOOKUP($A23,[1]Master!$D$25:$G$223,4,FALSE)</f>
        <v>Ostali doprinosi</v>
      </c>
      <c r="C23" s="483"/>
      <c r="D23" s="483"/>
      <c r="E23" s="483"/>
      <c r="F23" s="483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84" t="str">
        <f>+VLOOKUP($A24,[1]Master!$D$25:$G$223,4,FALSE)</f>
        <v>Takse</v>
      </c>
      <c r="C24" s="485"/>
      <c r="D24" s="485"/>
      <c r="E24" s="485"/>
      <c r="F24" s="485"/>
      <c r="G24" s="419">
        <v>579949.69999999995</v>
      </c>
      <c r="H24" s="419">
        <v>799058.78</v>
      </c>
      <c r="I24" s="419">
        <v>1000001.89</v>
      </c>
      <c r="J24" s="419">
        <v>900446.92</v>
      </c>
      <c r="K24" s="419">
        <v>1044119.04</v>
      </c>
      <c r="L24" s="419">
        <v>1380660.13</v>
      </c>
      <c r="M24" s="419">
        <v>1483988.38</v>
      </c>
      <c r="N24" s="419">
        <v>1598254.37</v>
      </c>
      <c r="O24" s="419">
        <v>1300121.74</v>
      </c>
      <c r="P24" s="419">
        <v>1269238.77</v>
      </c>
      <c r="Q24" s="419">
        <v>1101076.77</v>
      </c>
      <c r="R24" s="41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84" t="str">
        <f>+VLOOKUP($A25,[1]Master!$D$25:$G$223,4,FALSE)</f>
        <v>Naknade</v>
      </c>
      <c r="C25" s="485"/>
      <c r="D25" s="485"/>
      <c r="E25" s="485"/>
      <c r="F25" s="485"/>
      <c r="G25" s="419">
        <v>1745843.13</v>
      </c>
      <c r="H25" s="419">
        <v>1266650.8400000001</v>
      </c>
      <c r="I25" s="419">
        <v>1508161.35</v>
      </c>
      <c r="J25" s="419">
        <v>1901163.79</v>
      </c>
      <c r="K25" s="419">
        <v>1513570.26</v>
      </c>
      <c r="L25" s="419">
        <v>830213.16</v>
      </c>
      <c r="M25" s="419">
        <v>1705945.14</v>
      </c>
      <c r="N25" s="419">
        <v>1608311.46</v>
      </c>
      <c r="O25" s="419">
        <v>1107710.8999999999</v>
      </c>
      <c r="P25" s="419">
        <v>1997706.83</v>
      </c>
      <c r="Q25" s="419">
        <v>793640.92</v>
      </c>
      <c r="R25" s="41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84" t="str">
        <f>+VLOOKUP($A26,[1]Master!$D$25:$G$223,4,FALSE)</f>
        <v>Ostali prihodi</v>
      </c>
      <c r="C26" s="485"/>
      <c r="D26" s="485"/>
      <c r="E26" s="485"/>
      <c r="F26" s="485"/>
      <c r="G26" s="419">
        <v>1549598.76</v>
      </c>
      <c r="H26" s="419">
        <v>2362534.5499999998</v>
      </c>
      <c r="I26" s="419">
        <v>2237749.3199999998</v>
      </c>
      <c r="J26" s="419">
        <v>3537625.59</v>
      </c>
      <c r="K26" s="419">
        <v>2195275.86</v>
      </c>
      <c r="L26" s="419">
        <v>3677729.73</v>
      </c>
      <c r="M26" s="419">
        <v>5924157.2800000003</v>
      </c>
      <c r="N26" s="419">
        <v>2465692.11</v>
      </c>
      <c r="O26" s="419">
        <v>1761653.61</v>
      </c>
      <c r="P26" s="419">
        <v>3080830.83</v>
      </c>
      <c r="Q26" s="419">
        <v>1891187.54</v>
      </c>
      <c r="R26" s="41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84" t="str">
        <f>+VLOOKUP($A27,[1]Master!$D$25:$G$223,4,FALSE)</f>
        <v>Primici od otplate kredita i sredstva prenesena iz prethodne godine</v>
      </c>
      <c r="C27" s="485"/>
      <c r="D27" s="485"/>
      <c r="E27" s="485"/>
      <c r="F27" s="485"/>
      <c r="G27" s="419">
        <v>150350.67000000001</v>
      </c>
      <c r="H27" s="419">
        <v>500193.46</v>
      </c>
      <c r="I27" s="419">
        <v>126045.79</v>
      </c>
      <c r="J27" s="419">
        <v>67133.97</v>
      </c>
      <c r="K27" s="419">
        <v>340170.16</v>
      </c>
      <c r="L27" s="419">
        <v>1431878.17</v>
      </c>
      <c r="M27" s="419">
        <v>588856.99</v>
      </c>
      <c r="N27" s="419">
        <v>142813.88</v>
      </c>
      <c r="O27" s="419">
        <v>182139.62</v>
      </c>
      <c r="P27" s="419">
        <v>603855.75</v>
      </c>
      <c r="Q27" s="419">
        <v>987894.53</v>
      </c>
      <c r="R27" s="41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86" t="str">
        <f>+VLOOKUP($A28,[1]Master!$D$25:$G$223,4,FALSE)</f>
        <v>Donacije i transferi</v>
      </c>
      <c r="C28" s="487"/>
      <c r="D28" s="487"/>
      <c r="E28" s="487"/>
      <c r="F28" s="487"/>
      <c r="G28" s="419">
        <v>198902.46</v>
      </c>
      <c r="H28" s="419">
        <v>1119540.18</v>
      </c>
      <c r="I28" s="419">
        <v>2133451.14</v>
      </c>
      <c r="J28" s="419">
        <v>849572.77</v>
      </c>
      <c r="K28" s="419">
        <v>1895943.06</v>
      </c>
      <c r="L28" s="419">
        <v>1063223.94</v>
      </c>
      <c r="M28" s="419">
        <v>2617220.7200000002</v>
      </c>
      <c r="N28" s="419">
        <v>693924.15</v>
      </c>
      <c r="O28" s="419">
        <v>1500964.26</v>
      </c>
      <c r="P28" s="419">
        <v>2652981.5699999998</v>
      </c>
      <c r="Q28" s="419">
        <v>2284497.5299999998</v>
      </c>
      <c r="R28" s="41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2" t="str">
        <f>+VLOOKUP($A29,[1]Master!$D$25:$G$223,4,FALSE)</f>
        <v>Budžetki izdaci</v>
      </c>
      <c r="C29" s="473"/>
      <c r="D29" s="473"/>
      <c r="E29" s="473"/>
      <c r="F29" s="473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41</v>
      </c>
      <c r="B30" s="488" t="str">
        <f>+VLOOKUP($A30,[1]Master!$D$25:$G$223,4,FALSE)</f>
        <v>Tekući izdaci</v>
      </c>
      <c r="C30" s="489"/>
      <c r="D30" s="489"/>
      <c r="E30" s="489"/>
      <c r="F30" s="489"/>
      <c r="G30" s="420">
        <f>+G29-G49</f>
        <v>95081211.609999985</v>
      </c>
      <c r="H30" s="420">
        <f t="shared" ref="H30:R30" si="6">+H29-H49</f>
        <v>105058194.66999999</v>
      </c>
      <c r="I30" s="420">
        <f t="shared" si="6"/>
        <v>159051074.73999998</v>
      </c>
      <c r="J30" s="420">
        <f t="shared" si="6"/>
        <v>134270687.53</v>
      </c>
      <c r="K30" s="420">
        <f t="shared" si="6"/>
        <v>127056839.55</v>
      </c>
      <c r="L30" s="420">
        <f t="shared" si="6"/>
        <v>125448006.67</v>
      </c>
      <c r="M30" s="420">
        <f t="shared" si="6"/>
        <v>135015939.43000001</v>
      </c>
      <c r="N30" s="420">
        <f t="shared" si="6"/>
        <v>119078138.24000001</v>
      </c>
      <c r="O30" s="420">
        <f t="shared" si="6"/>
        <v>117563216.00999998</v>
      </c>
      <c r="P30" s="420">
        <f t="shared" si="6"/>
        <v>126782294.63000003</v>
      </c>
      <c r="Q30" s="420">
        <f t="shared" si="6"/>
        <v>119362889.43000001</v>
      </c>
      <c r="R30" s="42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40</v>
      </c>
      <c r="B31" s="490" t="str">
        <f>+VLOOKUP($A31,[1]Master!$D$25:$G$223,4,FALSE)</f>
        <v>Tekući budžetski izdaci</v>
      </c>
      <c r="C31" s="491"/>
      <c r="D31" s="491"/>
      <c r="E31" s="491"/>
      <c r="F31" s="491"/>
      <c r="G31" s="416">
        <f>+SUM(G32:G41)</f>
        <v>43671166.869999997</v>
      </c>
      <c r="H31" s="416">
        <f t="shared" ref="H31:R31" si="7">+SUM(H32:H41)</f>
        <v>48408706.909999989</v>
      </c>
      <c r="I31" s="416">
        <f t="shared" si="7"/>
        <v>96989262.820000008</v>
      </c>
      <c r="J31" s="416">
        <f t="shared" si="7"/>
        <v>70965970.75</v>
      </c>
      <c r="K31" s="416">
        <f t="shared" si="7"/>
        <v>64485987.470000006</v>
      </c>
      <c r="L31" s="416">
        <f t="shared" si="7"/>
        <v>61416603.619999997</v>
      </c>
      <c r="M31" s="416">
        <f t="shared" si="7"/>
        <v>59163591.209999993</v>
      </c>
      <c r="N31" s="416">
        <f t="shared" si="7"/>
        <v>55546071.519999996</v>
      </c>
      <c r="O31" s="416">
        <f t="shared" si="7"/>
        <v>56191213.159999996</v>
      </c>
      <c r="P31" s="416">
        <f t="shared" si="7"/>
        <v>60486450.390000001</v>
      </c>
      <c r="Q31" s="416">
        <f t="shared" si="7"/>
        <v>60535623.090000004</v>
      </c>
      <c r="R31" s="41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82" t="str">
        <f>+VLOOKUP($A32,[1]Master!$D$25:$G$223,4,FALSE)</f>
        <v>Bruto zarade i doprinosi na teret poslodavca</v>
      </c>
      <c r="C32" s="483"/>
      <c r="D32" s="483"/>
      <c r="E32" s="483"/>
      <c r="F32" s="483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82" t="str">
        <f>+VLOOKUP($A33,[1]Master!$D$25:$G$223,4,FALSE)</f>
        <v>Ostala lična primanja</v>
      </c>
      <c r="C33" s="483"/>
      <c r="D33" s="483"/>
      <c r="E33" s="483"/>
      <c r="F33" s="483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82" t="str">
        <f>+VLOOKUP($A34,[1]Master!$D$25:$G$223,4,FALSE)</f>
        <v>Rashodi za materijal</v>
      </c>
      <c r="C34" s="483"/>
      <c r="D34" s="483"/>
      <c r="E34" s="483"/>
      <c r="F34" s="483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82" t="str">
        <f>+VLOOKUP($A35,[1]Master!$D$25:$G$223,4,FALSE)</f>
        <v>Rashodi za usluge</v>
      </c>
      <c r="C35" s="483"/>
      <c r="D35" s="483"/>
      <c r="E35" s="483"/>
      <c r="F35" s="483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82" t="str">
        <f>+VLOOKUP($A36,[1]Master!$D$25:$G$223,4,FALSE)</f>
        <v>Rashodi za tekuće održavanje</v>
      </c>
      <c r="C36" s="483"/>
      <c r="D36" s="483"/>
      <c r="E36" s="483"/>
      <c r="F36" s="483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82" t="str">
        <f>+VLOOKUP($A37,[1]Master!$D$25:$G$223,4,FALSE)</f>
        <v>Kamate</v>
      </c>
      <c r="C37" s="483"/>
      <c r="D37" s="483"/>
      <c r="E37" s="483"/>
      <c r="F37" s="483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82" t="str">
        <f>+VLOOKUP($A38,[1]Master!$D$25:$G$223,4,FALSE)</f>
        <v>Renta</v>
      </c>
      <c r="C38" s="483"/>
      <c r="D38" s="483"/>
      <c r="E38" s="483"/>
      <c r="F38" s="483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82" t="str">
        <f>+VLOOKUP($A39,[1]Master!$D$25:$G$223,4,FALSE)</f>
        <v>Subvencije</v>
      </c>
      <c r="C39" s="483"/>
      <c r="D39" s="483"/>
      <c r="E39" s="483"/>
      <c r="F39" s="483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82" t="str">
        <f>+VLOOKUP($A40,[1]Master!$D$25:$G$223,4,FALSE)</f>
        <v>Ostali izdaci</v>
      </c>
      <c r="C40" s="483"/>
      <c r="D40" s="483"/>
      <c r="E40" s="483"/>
      <c r="F40" s="483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82" t="str">
        <f>+VLOOKUP($A41,[1]Master!$D$25:$G$223,4,FALSE)</f>
        <v>Kapitalni izdaci u tekućem budžetu</v>
      </c>
      <c r="C41" s="483"/>
      <c r="D41" s="483"/>
      <c r="E41" s="483"/>
      <c r="F41" s="483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78" t="str">
        <f>+VLOOKUP($A42,[1]Master!$D$25:$G$223,4,FALSE)</f>
        <v>Transferi za socijalnu zaštitu</v>
      </c>
      <c r="C42" s="479"/>
      <c r="D42" s="479"/>
      <c r="E42" s="479"/>
      <c r="F42" s="479"/>
      <c r="G42" s="419">
        <f>+SUM(G43:G47)</f>
        <v>43853641.199999996</v>
      </c>
      <c r="H42" s="419">
        <f t="shared" ref="H42:R42" si="8">+SUM(H43:H47)</f>
        <v>46694958.479999997</v>
      </c>
      <c r="I42" s="419">
        <f t="shared" si="8"/>
        <v>46060225.379999995</v>
      </c>
      <c r="J42" s="419">
        <f t="shared" si="8"/>
        <v>45239884.829999998</v>
      </c>
      <c r="K42" s="419">
        <f t="shared" si="8"/>
        <v>45683297.689999998</v>
      </c>
      <c r="L42" s="419">
        <f t="shared" si="8"/>
        <v>45402922.969999999</v>
      </c>
      <c r="M42" s="419">
        <f t="shared" si="8"/>
        <v>45267241.289999999</v>
      </c>
      <c r="N42" s="419">
        <f t="shared" si="8"/>
        <v>42270056.32</v>
      </c>
      <c r="O42" s="419">
        <f t="shared" si="8"/>
        <v>44046758.639999993</v>
      </c>
      <c r="P42" s="419">
        <f t="shared" si="8"/>
        <v>44748876.500000007</v>
      </c>
      <c r="Q42" s="419">
        <f t="shared" si="8"/>
        <v>43633580.93999999</v>
      </c>
      <c r="R42" s="41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82" t="str">
        <f>+VLOOKUP($A43,[1]Master!$D$25:$G$223,4,FALSE)</f>
        <v>Prava iz oblasti socijalne zaštite</v>
      </c>
      <c r="C43" s="483"/>
      <c r="D43" s="483"/>
      <c r="E43" s="483"/>
      <c r="F43" s="483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82" t="str">
        <f>+VLOOKUP($A44,[1]Master!$D$25:$G$223,4,FALSE)</f>
        <v>Sredstva za tehnološke viškove</v>
      </c>
      <c r="C44" s="483"/>
      <c r="D44" s="483"/>
      <c r="E44" s="483"/>
      <c r="F44" s="483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82" t="str">
        <f>+VLOOKUP($A45,[1]Master!$D$25:$G$223,4,FALSE)</f>
        <v>Prava iz oblasti penzijskog i invalidskog osiguranja</v>
      </c>
      <c r="C45" s="483"/>
      <c r="D45" s="483"/>
      <c r="E45" s="483"/>
      <c r="F45" s="483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82" t="str">
        <f>+VLOOKUP($A46,[1]Master!$D$25:$G$223,4,FALSE)</f>
        <v>Ostala prava iz oblasti zdravstvene zaštite</v>
      </c>
      <c r="C46" s="483"/>
      <c r="D46" s="483"/>
      <c r="E46" s="483"/>
      <c r="F46" s="483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82" t="str">
        <f>+VLOOKUP($A47,[1]Master!$D$25:$G$223,4,FALSE)</f>
        <v>Ostala prava iz zdravstvenog osiguranja</v>
      </c>
      <c r="C47" s="483"/>
      <c r="D47" s="483"/>
      <c r="E47" s="483"/>
      <c r="F47" s="483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0" t="str">
        <f>+VLOOKUP($A48,[1]Master!$D$25:$G$223,4,FALSE)</f>
        <v xml:space="preserve">Transferi institucijama, pojedincima, nevladinom i javnom sektoru </v>
      </c>
      <c r="C48" s="481"/>
      <c r="D48" s="481"/>
      <c r="E48" s="481"/>
      <c r="F48" s="481"/>
      <c r="G48" s="419">
        <v>5367351.82</v>
      </c>
      <c r="H48" s="419">
        <v>7878426.2999999998</v>
      </c>
      <c r="I48" s="419">
        <v>12624632.02</v>
      </c>
      <c r="J48" s="419">
        <v>15717196.880000001</v>
      </c>
      <c r="K48" s="419">
        <v>10712461.529999999</v>
      </c>
      <c r="L48" s="419">
        <v>13588572.92</v>
      </c>
      <c r="M48" s="419">
        <v>17165199.760000002</v>
      </c>
      <c r="N48" s="419">
        <v>15793377.119999999</v>
      </c>
      <c r="O48" s="419">
        <v>13743974.02</v>
      </c>
      <c r="P48" s="419">
        <v>13251144.24</v>
      </c>
      <c r="Q48" s="419">
        <v>11142113.050000001</v>
      </c>
      <c r="R48" s="41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0" t="str">
        <f>+VLOOKUP($A49,[1]Master!$D$25:$G$223,4,FALSE)</f>
        <v>Kapitalni budžet</v>
      </c>
      <c r="C49" s="481"/>
      <c r="D49" s="481"/>
      <c r="E49" s="481"/>
      <c r="F49" s="481"/>
      <c r="G49" s="419">
        <v>109644.44</v>
      </c>
      <c r="H49" s="419">
        <v>1491590.34</v>
      </c>
      <c r="I49" s="419">
        <v>7362820.4900000002</v>
      </c>
      <c r="J49" s="419">
        <v>6918517.2599999998</v>
      </c>
      <c r="K49" s="419">
        <v>2511744.17</v>
      </c>
      <c r="L49" s="419">
        <v>22683622.390000001</v>
      </c>
      <c r="M49" s="419">
        <v>10754440.220000001</v>
      </c>
      <c r="N49" s="419">
        <v>29296079.120000001</v>
      </c>
      <c r="O49" s="419">
        <v>19940301.670000002</v>
      </c>
      <c r="P49" s="419">
        <v>29993285.289999999</v>
      </c>
      <c r="Q49" s="419">
        <v>37935759.630000003</v>
      </c>
      <c r="R49" s="41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50" t="str">
        <f>+VLOOKUP($A50,[1]Master!$D$25:$G$223,4,FALSE)</f>
        <v>Pozajmice i krediti</v>
      </c>
      <c r="C50" s="451"/>
      <c r="D50" s="451"/>
      <c r="E50" s="451"/>
      <c r="F50" s="451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50" t="str">
        <f>+VLOOKUP($A51,[1]Master!$D$25:$G$223,4,FALSE)</f>
        <v>Rezerve</v>
      </c>
      <c r="C51" s="451"/>
      <c r="D51" s="451"/>
      <c r="E51" s="451"/>
      <c r="F51" s="451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68" t="str">
        <f>+VLOOKUP($A52,[1]Master!$D$25:$G$223,4,FALSE)</f>
        <v>Otplata garancija</v>
      </c>
      <c r="C52" s="469"/>
      <c r="D52" s="469"/>
      <c r="E52" s="469"/>
      <c r="F52" s="469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68" t="str">
        <f>+VLOOKUP($A53,[1]Master!$D$25:$G$223,4,TRUE)</f>
        <v>Otplata obaveza iz prethodnih godina</v>
      </c>
      <c r="C53" s="469"/>
      <c r="D53" s="469"/>
      <c r="E53" s="469"/>
      <c r="F53" s="469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54" t="str">
        <f>+VLOOKUP($A54,[1]Master!$D$25:$G$225,4,FALSE)</f>
        <v>Neto povećanje obaveza</v>
      </c>
      <c r="C54" s="555"/>
      <c r="D54" s="555"/>
      <c r="E54" s="555"/>
      <c r="F54" s="555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74" t="str">
        <f>+VLOOKUP($A55,[1]Master!$D$25:$G$223,4,FALSE)</f>
        <v>Suficit / deficit</v>
      </c>
      <c r="C55" s="475"/>
      <c r="D55" s="475"/>
      <c r="E55" s="475"/>
      <c r="F55" s="475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34" t="s">
        <v>775</v>
      </c>
      <c r="C56" s="435"/>
      <c r="D56" s="435"/>
      <c r="E56" s="435"/>
      <c r="F56" s="435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76" t="str">
        <f>+VLOOKUP($A57,[1]Master!$D$25:$G$223,4,FALSE)</f>
        <v>Primarni bilans</v>
      </c>
      <c r="C57" s="477"/>
      <c r="D57" s="477"/>
      <c r="E57" s="477"/>
      <c r="F57" s="477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78" t="str">
        <f>+VLOOKUP($A58,[1]Master!$D$25:$G$223,4,FALSE)</f>
        <v>Otplata dugova</v>
      </c>
      <c r="C58" s="479"/>
      <c r="D58" s="479"/>
      <c r="E58" s="479"/>
      <c r="F58" s="479"/>
      <c r="G58" s="421">
        <f t="shared" ref="G58:R58" si="12">+SUM(G59:G60)</f>
        <v>18311638.189999998</v>
      </c>
      <c r="H58" s="421">
        <f t="shared" si="12"/>
        <v>42352594.400000006</v>
      </c>
      <c r="I58" s="421">
        <f t="shared" si="12"/>
        <v>36492059.539999999</v>
      </c>
      <c r="J58" s="421">
        <f t="shared" si="12"/>
        <v>65432249.010000005</v>
      </c>
      <c r="K58" s="421">
        <f t="shared" si="12"/>
        <v>6070178.8200000003</v>
      </c>
      <c r="L58" s="421">
        <f t="shared" si="12"/>
        <v>29898962.890000001</v>
      </c>
      <c r="M58" s="421">
        <f t="shared" si="12"/>
        <v>35563936.18</v>
      </c>
      <c r="N58" s="421">
        <f t="shared" si="12"/>
        <v>68410518.010000005</v>
      </c>
      <c r="O58" s="421">
        <f t="shared" si="12"/>
        <v>13074495.76</v>
      </c>
      <c r="P58" s="421">
        <f t="shared" si="12"/>
        <v>7199515.9700000007</v>
      </c>
      <c r="Q58" s="421">
        <f t="shared" si="12"/>
        <v>7022219.0999999996</v>
      </c>
      <c r="R58" s="42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66" t="str">
        <f>+VLOOKUP($A59,[1]Master!$D$25:$G$223,4,FALSE)</f>
        <v>Otplata hartija od vrijednosti i kredita rezidentima</v>
      </c>
      <c r="C59" s="467"/>
      <c r="D59" s="467"/>
      <c r="E59" s="467"/>
      <c r="F59" s="467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50" t="str">
        <f>+VLOOKUP($A60,[1]Master!$D$25:$G$223,4,FALSE)</f>
        <v>Otplata hartija od vrijednosti i kredita nerezidentima</v>
      </c>
      <c r="C60" s="451"/>
      <c r="D60" s="451"/>
      <c r="E60" s="451"/>
      <c r="F60" s="451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70" t="str">
        <f>+VLOOKUP($A61,[1]Master!$D$25:$G$223,4,FALSE)</f>
        <v>Nedostajuća sredstva</v>
      </c>
      <c r="C61" s="471"/>
      <c r="D61" s="471"/>
      <c r="E61" s="471"/>
      <c r="F61" s="471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2" t="str">
        <f>+VLOOKUP($A62,[1]Master!$D$25:$G$223,4,FALSE)</f>
        <v>Finansiranje</v>
      </c>
      <c r="C62" s="473"/>
      <c r="D62" s="473"/>
      <c r="E62" s="473"/>
      <c r="F62" s="473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66" t="str">
        <f>+VLOOKUP($A63,[1]Master!$D$25:$G$223,4,FALSE)</f>
        <v>Pozajmice i krediti od domaćih izvora</v>
      </c>
      <c r="C63" s="467"/>
      <c r="D63" s="467"/>
      <c r="E63" s="467"/>
      <c r="F63" s="467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50" t="str">
        <f>+VLOOKUP($A64,[1]Master!$D$25:$G$223,4,FALSE)</f>
        <v>Pozajmice i krediti od inostranih izvora</v>
      </c>
      <c r="C64" s="451"/>
      <c r="D64" s="451"/>
      <c r="E64" s="451"/>
      <c r="F64" s="451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50" t="str">
        <f>+VLOOKUP($A65,[1]Master!$D$25:$G$223,4,FALSE)</f>
        <v>Primici od prodaje imovine</v>
      </c>
      <c r="C65" s="451"/>
      <c r="D65" s="451"/>
      <c r="E65" s="451"/>
      <c r="F65" s="451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+VLOOKUP($A66,[1]Master!$D$25:$G$223,4,FALSE)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35" t="str">
        <f>+[1]Master!G250</f>
        <v>Plan ostvarenja budžeta</v>
      </c>
      <c r="C102" s="536"/>
      <c r="D102" s="536"/>
      <c r="E102" s="536"/>
      <c r="F102" s="536"/>
      <c r="G102" s="528">
        <v>2017</v>
      </c>
      <c r="H102" s="529"/>
      <c r="I102" s="529"/>
      <c r="J102" s="529"/>
      <c r="K102" s="529"/>
      <c r="L102" s="529"/>
      <c r="M102" s="529"/>
      <c r="N102" s="529"/>
      <c r="O102" s="529"/>
      <c r="P102" s="529"/>
      <c r="Q102" s="529"/>
      <c r="R102" s="530"/>
      <c r="S102" s="115" t="str">
        <f>+S7</f>
        <v>BDP</v>
      </c>
      <c r="T102" s="116">
        <f>+T7</f>
        <v>4299000000</v>
      </c>
    </row>
    <row r="103" spans="1:21" ht="15.75" customHeight="1">
      <c r="B103" s="537"/>
      <c r="C103" s="538"/>
      <c r="D103" s="538"/>
      <c r="E103" s="538"/>
      <c r="F103" s="539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28" t="str">
        <f>+[1]Master!G244</f>
        <v>Jan - Dec</v>
      </c>
      <c r="T103" s="530">
        <f>+T8</f>
        <v>0</v>
      </c>
    </row>
    <row r="104" spans="1:21" ht="13.5" thickBot="1">
      <c r="B104" s="540"/>
      <c r="C104" s="541"/>
      <c r="D104" s="541"/>
      <c r="E104" s="541"/>
      <c r="F104" s="542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1" t="str">
        <f>+VLOOKUP(LEFT($A105,LEN(A105)-1)*1,[1]Master!$D$25:$G$223,4,FALSE)</f>
        <v>Prihodi budžeta</v>
      </c>
      <c r="C105" s="532"/>
      <c r="D105" s="532"/>
      <c r="E105" s="532"/>
      <c r="F105" s="532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33" t="str">
        <f>+VLOOKUP(LEFT($A106,LEN(A106)-1)*1,[1]Master!$D$25:$G$223,4,FALSE)</f>
        <v>Porezi</v>
      </c>
      <c r="C106" s="534"/>
      <c r="D106" s="534"/>
      <c r="E106" s="534"/>
      <c r="F106" s="534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14" t="str">
        <f>+VLOOKUP(LEFT($A107,LEN(A107)-1)*1,[1]Master!$D$25:$G$223,4,FALSE)</f>
        <v>Porez na dohodak fizičkih lica</v>
      </c>
      <c r="C107" s="515"/>
      <c r="D107" s="515"/>
      <c r="E107" s="515"/>
      <c r="F107" s="515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14" t="str">
        <f>+VLOOKUP(LEFT($A108,LEN(A108)-1)*1,[1]Master!$D$25:$G$223,4,FALSE)</f>
        <v>Porez na dobit pravnih lica</v>
      </c>
      <c r="C108" s="515"/>
      <c r="D108" s="515"/>
      <c r="E108" s="515"/>
      <c r="F108" s="515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14" t="str">
        <f>+VLOOKUP(LEFT($A109,LEN(A109)-1)*1,[1]Master!$D$25:$G$223,4,FALSE)</f>
        <v>Porez na promet nepokretnosti</v>
      </c>
      <c r="C109" s="515"/>
      <c r="D109" s="515"/>
      <c r="E109" s="515"/>
      <c r="F109" s="515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14" t="str">
        <f>+VLOOKUP(LEFT($A110,LEN(A110)-1)*1,[1]Master!$D$25:$G$223,4,FALSE)</f>
        <v>Porez na dodatu vrijednost</v>
      </c>
      <c r="C110" s="515"/>
      <c r="D110" s="515"/>
      <c r="E110" s="515"/>
      <c r="F110" s="515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14" t="str">
        <f>+VLOOKUP(LEFT($A111,LEN(A111)-1)*1,[1]Master!$D$25:$G$223,4,FALSE)</f>
        <v>Akcize</v>
      </c>
      <c r="C111" s="515"/>
      <c r="D111" s="515"/>
      <c r="E111" s="515"/>
      <c r="F111" s="515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14" t="str">
        <f>+VLOOKUP(LEFT($A112,LEN(A112)-1)*1,[1]Master!$D$25:$G$223,4,FALSE)</f>
        <v>Porez na međunarodnu trgovinu i transakcije</v>
      </c>
      <c r="C112" s="515"/>
      <c r="D112" s="515"/>
      <c r="E112" s="515"/>
      <c r="F112" s="515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14" t="str">
        <f>+VLOOKUP(LEFT($A113,LEN(A113)-1)*1,[1]Master!$D$25:$G$223,4,FALSE)</f>
        <v>Ostali državni porezi</v>
      </c>
      <c r="C113" s="515"/>
      <c r="D113" s="515"/>
      <c r="E113" s="515"/>
      <c r="F113" s="515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26" t="str">
        <f>+VLOOKUP(LEFT($A114,LEN(A114)-1)*1,[1]Master!$D$25:$G$223,4,FALSE)</f>
        <v>Doprinosi</v>
      </c>
      <c r="C114" s="527"/>
      <c r="D114" s="527"/>
      <c r="E114" s="527"/>
      <c r="F114" s="527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14" t="str">
        <f>+VLOOKUP(LEFT($A115,LEN(A115)-1)*1,[1]Master!$D$25:$G$223,4,FALSE)</f>
        <v>Doprinosi za penzijsko i invalidsko osiguranje</v>
      </c>
      <c r="C115" s="515"/>
      <c r="D115" s="515"/>
      <c r="E115" s="515"/>
      <c r="F115" s="515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14" t="str">
        <f>+VLOOKUP(LEFT($A116,LEN(A116)-1)*1,[1]Master!$D$25:$G$223,4,FALSE)</f>
        <v>Doprinosi za zdravstveno osiguranje</v>
      </c>
      <c r="C116" s="515"/>
      <c r="D116" s="515"/>
      <c r="E116" s="515"/>
      <c r="F116" s="515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14" t="str">
        <f>+VLOOKUP(LEFT($A117,LEN(A117)-1)*1,[1]Master!$D$25:$G$223,4,FALSE)</f>
        <v>Doprinosi za osiguranje od nezaposlenosti</v>
      </c>
      <c r="C117" s="515"/>
      <c r="D117" s="515"/>
      <c r="E117" s="515"/>
      <c r="F117" s="515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14" t="str">
        <f>+VLOOKUP(LEFT($A118,LEN(A118)-1)*1,[1]Master!$D$25:$G$223,4,FALSE)</f>
        <v>Ostali doprinosi</v>
      </c>
      <c r="C118" s="515"/>
      <c r="D118" s="515"/>
      <c r="E118" s="515"/>
      <c r="F118" s="515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18" t="str">
        <f>+VLOOKUP(LEFT($A119,LEN(A119)-1)*1,[1]Master!$D$25:$G$223,4,FALSE)</f>
        <v>Takse</v>
      </c>
      <c r="C119" s="519"/>
      <c r="D119" s="519"/>
      <c r="E119" s="519"/>
      <c r="F119" s="519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18" t="str">
        <f>+VLOOKUP(LEFT($A120,LEN(A120)-1)*1,[1]Master!$D$25:$G$223,4,FALSE)</f>
        <v>Naknade</v>
      </c>
      <c r="C120" s="519"/>
      <c r="D120" s="519"/>
      <c r="E120" s="519"/>
      <c r="F120" s="519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18" t="str">
        <f>+VLOOKUP(LEFT($A121,LEN(A121)-1)*1,[1]Master!$D$25:$G$223,4,FALSE)</f>
        <v>Ostali prihodi</v>
      </c>
      <c r="C121" s="519"/>
      <c r="D121" s="519"/>
      <c r="E121" s="519"/>
      <c r="F121" s="519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18" t="str">
        <f>+VLOOKUP(LEFT($A122,LEN(A122)-1)*1,[1]Master!$D$25:$G$223,4,FALSE)</f>
        <v>Primici od otplate kredita i sredstva prenesena iz prethodne godine</v>
      </c>
      <c r="C122" s="519"/>
      <c r="D122" s="519"/>
      <c r="E122" s="519"/>
      <c r="F122" s="519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20" t="str">
        <f>+VLOOKUP(LEFT($A123,LEN(A123)-1)*1,[1]Master!$D$25:$G$223,4,FALSE)</f>
        <v>Donacije i transferi</v>
      </c>
      <c r="C123" s="521"/>
      <c r="D123" s="521"/>
      <c r="E123" s="521"/>
      <c r="F123" s="521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06" t="str">
        <f>+VLOOKUP(LEFT($A124,LEN(A124)-1)*1,[1]Master!$D$25:$G$223,4,FALSE)</f>
        <v>Budžetki izdaci</v>
      </c>
      <c r="C124" s="507"/>
      <c r="D124" s="507"/>
      <c r="E124" s="507"/>
      <c r="F124" s="507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41p</v>
      </c>
      <c r="B125" s="522" t="str">
        <f>+VLOOKUP(LEFT($A125,LEN(A125)-1)*1,[1]Master!$D$25:$G$223,4,FALSE)</f>
        <v>Tekući izdaci</v>
      </c>
      <c r="C125" s="523"/>
      <c r="D125" s="523"/>
      <c r="E125" s="523"/>
      <c r="F125" s="523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40p</v>
      </c>
      <c r="B126" s="524" t="str">
        <f>+VLOOKUP(LEFT($A126,LEN(A126)-1)*1,[1]Master!$D$25:$G$223,4,FALSE)</f>
        <v>Tekući budžetski izdaci</v>
      </c>
      <c r="C126" s="525"/>
      <c r="D126" s="525"/>
      <c r="E126" s="525"/>
      <c r="F126" s="525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14" t="str">
        <f>+VLOOKUP(LEFT($A127,LEN(A127)-1)*1,[1]Master!$D$25:$G$223,4,FALSE)</f>
        <v>Bruto zarade i doprinosi na teret poslodavca</v>
      </c>
      <c r="C127" s="515"/>
      <c r="D127" s="515"/>
      <c r="E127" s="515"/>
      <c r="F127" s="515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14" t="str">
        <f>+VLOOKUP(LEFT($A128,LEN(A128)-1)*1,[1]Master!$D$25:$G$223,4,FALSE)</f>
        <v>Ostala lična primanja</v>
      </c>
      <c r="C128" s="515"/>
      <c r="D128" s="515"/>
      <c r="E128" s="515"/>
      <c r="F128" s="515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14" t="str">
        <f>+VLOOKUP(LEFT($A129,LEN(A129)-1)*1,[1]Master!$D$25:$G$223,4,FALSE)</f>
        <v>Rashodi za materijal</v>
      </c>
      <c r="C129" s="515"/>
      <c r="D129" s="515"/>
      <c r="E129" s="515"/>
      <c r="F129" s="515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14" t="str">
        <f>+VLOOKUP(LEFT($A130,LEN(A130)-1)*1,[1]Master!$D$25:$G$223,4,FALSE)</f>
        <v>Rashodi za usluge</v>
      </c>
      <c r="C130" s="515"/>
      <c r="D130" s="515"/>
      <c r="E130" s="515"/>
      <c r="F130" s="515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14" t="str">
        <f>+VLOOKUP(LEFT($A131,LEN(A131)-1)*1,[1]Master!$D$25:$G$223,4,FALSE)</f>
        <v>Rashodi za tekuće održavanje</v>
      </c>
      <c r="C131" s="515"/>
      <c r="D131" s="515"/>
      <c r="E131" s="515"/>
      <c r="F131" s="515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14" t="str">
        <f>+VLOOKUP(LEFT($A132,LEN(A132)-1)*1,[1]Master!$D$25:$G$223,4,FALSE)</f>
        <v>Kamate</v>
      </c>
      <c r="C132" s="515"/>
      <c r="D132" s="515"/>
      <c r="E132" s="515"/>
      <c r="F132" s="515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14" t="str">
        <f>+VLOOKUP(LEFT($A133,LEN(A133)-1)*1,[1]Master!$D$25:$G$223,4,FALSE)</f>
        <v>Renta</v>
      </c>
      <c r="C133" s="515"/>
      <c r="D133" s="515"/>
      <c r="E133" s="515"/>
      <c r="F133" s="515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14" t="str">
        <f>+VLOOKUP(LEFT($A134,LEN(A134)-1)*1,[1]Master!$D$25:$G$223,4,FALSE)</f>
        <v>Subvencije</v>
      </c>
      <c r="C134" s="515"/>
      <c r="D134" s="515"/>
      <c r="E134" s="515"/>
      <c r="F134" s="515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14" t="str">
        <f>+VLOOKUP(LEFT($A135,LEN(A135)-1)*1,[1]Master!$D$25:$G$223,4,FALSE)</f>
        <v>Ostali izdaci</v>
      </c>
      <c r="C135" s="515"/>
      <c r="D135" s="515"/>
      <c r="E135" s="515"/>
      <c r="F135" s="515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14" t="str">
        <f>+VLOOKUP(LEFT($A136,LEN(A136)-1)*1,[1]Master!$D$25:$G$223,4,FALSE)</f>
        <v>Kapitalni izdaci u tekućem budžetu</v>
      </c>
      <c r="C136" s="515"/>
      <c r="D136" s="515"/>
      <c r="E136" s="515"/>
      <c r="F136" s="515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12" t="str">
        <f>+VLOOKUP(LEFT($A137,LEN(A137)-1)*1,[1]Master!$D$25:$G$223,4,FALSE)</f>
        <v>Transferi za socijalnu zaštitu</v>
      </c>
      <c r="C137" s="513"/>
      <c r="D137" s="513"/>
      <c r="E137" s="513"/>
      <c r="F137" s="513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14" t="str">
        <f>+VLOOKUP(LEFT($A138,LEN(A138)-1)*1,[1]Master!$D$25:$G$223,4,FALSE)</f>
        <v>Prava iz oblasti socijalne zaštite</v>
      </c>
      <c r="C138" s="515"/>
      <c r="D138" s="515"/>
      <c r="E138" s="515"/>
      <c r="F138" s="515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14" t="str">
        <f>+VLOOKUP(LEFT($A139,LEN(A139)-1)*1,[1]Master!$D$25:$G$223,4,FALSE)</f>
        <v>Sredstva za tehnološke viškove</v>
      </c>
      <c r="C139" s="515"/>
      <c r="D139" s="515"/>
      <c r="E139" s="515"/>
      <c r="F139" s="515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14" t="str">
        <f>+VLOOKUP(LEFT($A140,LEN(A140)-1)*1,[1]Master!$D$25:$G$223,4,FALSE)</f>
        <v>Prava iz oblasti penzijskog i invalidskog osiguranja</v>
      </c>
      <c r="C140" s="515"/>
      <c r="D140" s="515"/>
      <c r="E140" s="515"/>
      <c r="F140" s="515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14" t="str">
        <f>+VLOOKUP(LEFT($A141,LEN(A141)-1)*1,[1]Master!$D$25:$G$223,4,FALSE)</f>
        <v>Ostala prava iz oblasti zdravstvene zaštite</v>
      </c>
      <c r="C141" s="515"/>
      <c r="D141" s="515"/>
      <c r="E141" s="515"/>
      <c r="F141" s="515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14" t="str">
        <f>+VLOOKUP(LEFT($A142,LEN(A142)-1)*1,[1]Master!$D$25:$G$223,4,FALSE)</f>
        <v>Ostala prava iz zdravstvenog osiguranja</v>
      </c>
      <c r="C142" s="515"/>
      <c r="D142" s="515"/>
      <c r="E142" s="515"/>
      <c r="F142" s="515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16" t="str">
        <f>+VLOOKUP(LEFT($A143,LEN(A143)-1)*1,[1]Master!$D$25:$G$223,4,FALSE)</f>
        <v xml:space="preserve">Transferi institucijama, pojedincima, nevladinom i javnom sektoru </v>
      </c>
      <c r="C143" s="517"/>
      <c r="D143" s="517"/>
      <c r="E143" s="517"/>
      <c r="F143" s="517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16" t="str">
        <f>+VLOOKUP(LEFT($A144,LEN(A144)-1)*1,[1]Master!$D$25:$G$223,4,FALSE)</f>
        <v>Kapitalni budžet</v>
      </c>
      <c r="C144" s="517"/>
      <c r="D144" s="517"/>
      <c r="E144" s="517"/>
      <c r="F144" s="517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00" t="str">
        <f>+VLOOKUP(LEFT($A145,LEN(A145)-1)*1,[1]Master!$D$25:$G$223,4,FALSE)</f>
        <v>Pozajmice i krediti</v>
      </c>
      <c r="C145" s="501"/>
      <c r="D145" s="501"/>
      <c r="E145" s="501"/>
      <c r="F145" s="501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00" t="str">
        <f>+VLOOKUP(LEFT($A146,LEN(A146)-1)*1,[1]Master!$D$25:$G$223,4,FALSE)</f>
        <v>Rezerve</v>
      </c>
      <c r="C146" s="501"/>
      <c r="D146" s="501"/>
      <c r="E146" s="501"/>
      <c r="F146" s="501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00" t="str">
        <f>+VLOOKUP(LEFT($A147,LEN(A147)-1)*1,[1]Master!$D$25:$G$223,4,FALSE)</f>
        <v>Otplata garancija</v>
      </c>
      <c r="C147" s="501"/>
      <c r="D147" s="501"/>
      <c r="E147" s="501"/>
      <c r="F147" s="501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13" t="s">
        <v>696</v>
      </c>
      <c r="C148" s="414"/>
      <c r="D148" s="414"/>
      <c r="E148" s="414"/>
      <c r="F148" s="414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08" t="str">
        <f>+VLOOKUP(LEFT($A149,LEN(A149)-1)*1,[1]Master!$D$25:$G$223,4,FALSE)</f>
        <v>Suficit / deficit</v>
      </c>
      <c r="C149" s="509"/>
      <c r="D149" s="509"/>
      <c r="E149" s="509"/>
      <c r="F149" s="509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10" t="str">
        <f>+VLOOKUP(LEFT($A150,LEN(A150)-1)*1,[1]Master!$D$25:$G$223,4,FALSE)</f>
        <v>Primarni bilans</v>
      </c>
      <c r="C150" s="511"/>
      <c r="D150" s="511"/>
      <c r="E150" s="511"/>
      <c r="F150" s="511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12" t="str">
        <f>+VLOOKUP(LEFT($A151,LEN(A151)-1)*1,[1]Master!$D$25:$G$223,4,FALSE)</f>
        <v>Otplata dugova</v>
      </c>
      <c r="C151" s="513"/>
      <c r="D151" s="513"/>
      <c r="E151" s="513"/>
      <c r="F151" s="513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02" t="str">
        <f>+VLOOKUP(LEFT($A152,LEN(A152)-1)*1,[1]Master!$D$25:$G$223,4,FALSE)</f>
        <v>Otplata hartija od vrijednosti i kredita rezidentima</v>
      </c>
      <c r="C152" s="503"/>
      <c r="D152" s="503"/>
      <c r="E152" s="503"/>
      <c r="F152" s="503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00" t="str">
        <f>+VLOOKUP(LEFT($A153,LEN(A153)-1)*1,[1]Master!$D$25:$G$223,4,FALSE)</f>
        <v>Otplata hartija od vrijednosti i kredita nerezidentima</v>
      </c>
      <c r="C153" s="501"/>
      <c r="D153" s="501"/>
      <c r="E153" s="501"/>
      <c r="F153" s="501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54" t="str">
        <f>+VLOOKUP(LEFT($A154,LEN(A154)-1)*1,[1]Master!$D$25:$G$223,4,FALSE)</f>
        <v>Otplata obaveza iz prethodnih godina</v>
      </c>
      <c r="C154" s="555"/>
      <c r="D154" s="555"/>
      <c r="E154" s="555"/>
      <c r="F154" s="555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04" t="str">
        <f>+VLOOKUP(LEFT($A155,LEN(A155)-1)*1,[1]Master!$D$25:$G$223,4,FALSE)</f>
        <v>Nedostajuća sredstva</v>
      </c>
      <c r="C155" s="505"/>
      <c r="D155" s="505"/>
      <c r="E155" s="505"/>
      <c r="F155" s="505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06" t="str">
        <f>+VLOOKUP(LEFT($A156,LEN(A156)-1)*1,[1]Master!$D$25:$G$223,4,FALSE)</f>
        <v>Finansiranje</v>
      </c>
      <c r="C156" s="507"/>
      <c r="D156" s="507"/>
      <c r="E156" s="507"/>
      <c r="F156" s="507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02" t="str">
        <f>+VLOOKUP(LEFT($A157,LEN(A157)-1)*1,[1]Master!$D$25:$G$223,4,FALSE)</f>
        <v>Pozajmice i krediti od domaćih izvora</v>
      </c>
      <c r="C157" s="503"/>
      <c r="D157" s="503"/>
      <c r="E157" s="503"/>
      <c r="F157" s="503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00" t="str">
        <f>+VLOOKUP(LEFT($A158,LEN(A158)-1)*1,[1]Master!$D$25:$G$223,4,FALSE)</f>
        <v>Pozajmice i krediti od inostranih izvora</v>
      </c>
      <c r="C158" s="501"/>
      <c r="D158" s="501"/>
      <c r="E158" s="501"/>
      <c r="F158" s="501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00" t="str">
        <f>+VLOOKUP(LEFT($A159,LEN(A159)-1)*1,[1]Master!$D$25:$G$223,4,FALSE)</f>
        <v>Primici od prodaje imovine</v>
      </c>
      <c r="C159" s="501"/>
      <c r="D159" s="501"/>
      <c r="E159" s="501"/>
      <c r="F159" s="501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A102" sqref="A102:A16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705</v>
      </c>
      <c r="H6" s="259" t="s">
        <v>706</v>
      </c>
      <c r="I6" s="259" t="s">
        <v>707</v>
      </c>
      <c r="J6" s="259" t="s">
        <v>708</v>
      </c>
      <c r="K6" s="259" t="s">
        <v>709</v>
      </c>
      <c r="L6" s="259" t="s">
        <v>710</v>
      </c>
      <c r="M6" s="259" t="s">
        <v>711</v>
      </c>
      <c r="N6" s="259" t="s">
        <v>712</v>
      </c>
      <c r="O6" s="259" t="s">
        <v>713</v>
      </c>
      <c r="P6" s="259" t="s">
        <v>714</v>
      </c>
      <c r="Q6" s="259" t="s">
        <v>715</v>
      </c>
      <c r="R6" s="259" t="s">
        <v>716</v>
      </c>
      <c r="S6" s="258"/>
      <c r="T6" s="258"/>
    </row>
    <row r="7" spans="1:20" ht="15" customHeight="1" thickBot="1">
      <c r="A7" s="169"/>
      <c r="B7" s="553" t="str">
        <f>+Master!G251</f>
        <v>Ostvarenje budžeta</v>
      </c>
      <c r="C7" s="453"/>
      <c r="D7" s="453"/>
      <c r="E7" s="453"/>
      <c r="F7" s="453"/>
      <c r="G7" s="461">
        <v>2016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+Master!G248</f>
        <v>BDP</v>
      </c>
      <c r="T7" s="261">
        <v>3954200000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1" t="str">
        <f>+Master!G245</f>
        <v>Jan - Feb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82" t="str">
        <f>+VLOOKUP($A47,Master!$D$27:$G$225,4,FALSE)</f>
        <v>Ostala prava iz zdravstvenog osiguranja</v>
      </c>
      <c r="C47" s="483"/>
      <c r="D47" s="483"/>
      <c r="E47" s="483"/>
      <c r="F47" s="483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50" t="str">
        <f>+VLOOKUP($A50,Master!$D$27:$G$225,4,FALSE)</f>
        <v>Pozajmice i krediti</v>
      </c>
      <c r="C50" s="451"/>
      <c r="D50" s="451"/>
      <c r="E50" s="451"/>
      <c r="F50" s="451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68" t="str">
        <f>+VLOOKUP($A53,Master!$D$27:$G$225,4,TRUE)</f>
        <v>Otplata obaveza iz prethodnih godina</v>
      </c>
      <c r="C53" s="469"/>
      <c r="D53" s="469"/>
      <c r="E53" s="469"/>
      <c r="F53" s="469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54" t="str">
        <f>+VLOOKUP($A54,Master!$D$27:$G$227,4,FALSE)</f>
        <v>Neto povećanje obaveza</v>
      </c>
      <c r="C54" s="555"/>
      <c r="D54" s="555"/>
      <c r="E54" s="555"/>
      <c r="F54" s="555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74" t="str">
        <f>+VLOOKUP($A55,Master!$D$27:$G$225,4,FALSE)</f>
        <v>Suficit / deficit</v>
      </c>
      <c r="C55" s="475"/>
      <c r="D55" s="475"/>
      <c r="E55" s="475"/>
      <c r="F55" s="475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34" t="s">
        <v>775</v>
      </c>
      <c r="C56" s="435"/>
      <c r="D56" s="435"/>
      <c r="E56" s="435"/>
      <c r="F56" s="435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76" t="str">
        <f>+VLOOKUP($A57,Master!$D$27:$G$225,4,FALSE)</f>
        <v>Primarni bilans</v>
      </c>
      <c r="C57" s="477"/>
      <c r="D57" s="477"/>
      <c r="E57" s="477"/>
      <c r="F57" s="477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78" t="str">
        <f>+VLOOKUP($A58,Master!$D$27:$G$225,4,FALSE)</f>
        <v>Otplata dugova</v>
      </c>
      <c r="C58" s="479"/>
      <c r="D58" s="479"/>
      <c r="E58" s="479"/>
      <c r="F58" s="479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66" t="str">
        <f>+VLOOKUP($A59,Master!$D$27:$G$225,4,FALSE)</f>
        <v>Otplata hartija od vrijednosti i kredita rezidentima</v>
      </c>
      <c r="C59" s="467"/>
      <c r="D59" s="467"/>
      <c r="E59" s="467"/>
      <c r="F59" s="467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50" t="str">
        <f>+VLOOKUP($A60,Master!$D$27:$G$225,4,FALSE)</f>
        <v>Otplata hartija od vrijednosti i kredita nerezidentima</v>
      </c>
      <c r="C60" s="451"/>
      <c r="D60" s="451"/>
      <c r="E60" s="451"/>
      <c r="F60" s="451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70" t="str">
        <f>+VLOOKUP($A61,Master!$D$27:$G$225,4,FALSE)</f>
        <v>Nedostajuća sredstva</v>
      </c>
      <c r="C61" s="471"/>
      <c r="D61" s="471"/>
      <c r="E61" s="471"/>
      <c r="F61" s="471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2" t="str">
        <f>+VLOOKUP($A62,Master!$D$27:$G$225,4,FALSE)</f>
        <v>Finansiranje</v>
      </c>
      <c r="C62" s="473"/>
      <c r="D62" s="473"/>
      <c r="E62" s="473"/>
      <c r="F62" s="473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66" t="str">
        <f>+VLOOKUP($A63,Master!$D$27:$G$225,4,FALSE)</f>
        <v>Pozajmice i krediti od domaćih izvora</v>
      </c>
      <c r="C63" s="467"/>
      <c r="D63" s="467"/>
      <c r="E63" s="467"/>
      <c r="F63" s="467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50" t="str">
        <f>+VLOOKUP($A64,Master!$D$27:$G$225,4,FALSE)</f>
        <v>Pozajmice i krediti od inostranih izvora</v>
      </c>
      <c r="C64" s="451"/>
      <c r="D64" s="451"/>
      <c r="E64" s="451"/>
      <c r="F64" s="451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50" t="str">
        <f>+VLOOKUP($A65,Master!$D$27:$G$225,4,FALSE)</f>
        <v>Primici od prodaje imovine</v>
      </c>
      <c r="C65" s="451"/>
      <c r="D65" s="451"/>
      <c r="E65" s="451"/>
      <c r="F65" s="451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35" t="str">
        <f>+Master!G252</f>
        <v>Plan ostvarenja budžeta</v>
      </c>
      <c r="C102" s="536"/>
      <c r="D102" s="536"/>
      <c r="E102" s="536"/>
      <c r="F102" s="536"/>
      <c r="G102" s="528">
        <v>2016</v>
      </c>
      <c r="H102" s="529"/>
      <c r="I102" s="529"/>
      <c r="J102" s="529"/>
      <c r="K102" s="529"/>
      <c r="L102" s="529"/>
      <c r="M102" s="529"/>
      <c r="N102" s="529"/>
      <c r="O102" s="529"/>
      <c r="P102" s="529"/>
      <c r="Q102" s="529"/>
      <c r="R102" s="530"/>
      <c r="S102" s="115" t="str">
        <f>+S7</f>
        <v>BDP</v>
      </c>
      <c r="T102" s="116">
        <f>+T7</f>
        <v>3954200000</v>
      </c>
    </row>
    <row r="103" spans="1:21" ht="15.75" customHeight="1">
      <c r="B103" s="537"/>
      <c r="C103" s="538"/>
      <c r="D103" s="538"/>
      <c r="E103" s="538"/>
      <c r="F103" s="539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28" t="str">
        <f>+Master!G246</f>
        <v>Jan - Dec</v>
      </c>
      <c r="T103" s="530">
        <f>+T8</f>
        <v>0</v>
      </c>
    </row>
    <row r="104" spans="1:21" ht="13.5" thickBot="1">
      <c r="B104" s="540"/>
      <c r="C104" s="541"/>
      <c r="D104" s="541"/>
      <c r="E104" s="541"/>
      <c r="F104" s="542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1" t="str">
        <f>+VLOOKUP(LEFT($A105,LEN(A105)-1)*1,Master!$D$27:$G$225,4,FALSE)</f>
        <v>Prihodi budžeta</v>
      </c>
      <c r="C105" s="532"/>
      <c r="D105" s="532"/>
      <c r="E105" s="532"/>
      <c r="F105" s="532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33" t="str">
        <f>+VLOOKUP(LEFT($A106,LEN(A106)-1)*1,Master!$D$27:$G$225,4,FALSE)</f>
        <v>Porezi</v>
      </c>
      <c r="C106" s="534"/>
      <c r="D106" s="534"/>
      <c r="E106" s="534"/>
      <c r="F106" s="534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14" t="str">
        <f>+VLOOKUP(LEFT($A107,LEN(A107)-1)*1,Master!$D$27:$G$225,4,FALSE)</f>
        <v>Porez na dohodak fizičkih lica</v>
      </c>
      <c r="C107" s="515"/>
      <c r="D107" s="515"/>
      <c r="E107" s="515"/>
      <c r="F107" s="515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14" t="str">
        <f>+VLOOKUP(LEFT($A108,LEN(A108)-1)*1,Master!$D$27:$G$225,4,FALSE)</f>
        <v>Porez na dobit pravnih lica</v>
      </c>
      <c r="C108" s="515"/>
      <c r="D108" s="515"/>
      <c r="E108" s="515"/>
      <c r="F108" s="515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14" t="str">
        <f>+VLOOKUP(LEFT($A109,LEN(A109)-1)*1,Master!$D$27:$G$225,4,FALSE)</f>
        <v>Porez na promet nepokretnosti</v>
      </c>
      <c r="C109" s="515"/>
      <c r="D109" s="515"/>
      <c r="E109" s="515"/>
      <c r="F109" s="515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14" t="str">
        <f>+VLOOKUP(LEFT($A110,LEN(A110)-1)*1,Master!$D$27:$G$225,4,FALSE)</f>
        <v>Porez na dodatu vrijednost</v>
      </c>
      <c r="C110" s="515"/>
      <c r="D110" s="515"/>
      <c r="E110" s="515"/>
      <c r="F110" s="515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14" t="str">
        <f>+VLOOKUP(LEFT($A111,LEN(A111)-1)*1,Master!$D$27:$G$225,4,FALSE)</f>
        <v>Akcize</v>
      </c>
      <c r="C111" s="515"/>
      <c r="D111" s="515"/>
      <c r="E111" s="515"/>
      <c r="F111" s="515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14" t="str">
        <f>+VLOOKUP(LEFT($A112,LEN(A112)-1)*1,Master!$D$27:$G$225,4,FALSE)</f>
        <v>Porez na međunarodnu trgovinu i transakcije</v>
      </c>
      <c r="C112" s="515"/>
      <c r="D112" s="515"/>
      <c r="E112" s="515"/>
      <c r="F112" s="515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14" t="str">
        <f>+VLOOKUP(LEFT($A113,LEN(A113)-1)*1,Master!$D$27:$G$225,4,FALSE)</f>
        <v>Ostali državni porezi</v>
      </c>
      <c r="C113" s="515"/>
      <c r="D113" s="515"/>
      <c r="E113" s="515"/>
      <c r="F113" s="515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26" t="str">
        <f>+VLOOKUP(LEFT($A114,LEN(A114)-1)*1,Master!$D$27:$G$225,4,FALSE)</f>
        <v>Doprinosi</v>
      </c>
      <c r="C114" s="527"/>
      <c r="D114" s="527"/>
      <c r="E114" s="527"/>
      <c r="F114" s="527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14" t="str">
        <f>+VLOOKUP(LEFT($A115,LEN(A115)-1)*1,Master!$D$27:$G$225,4,FALSE)</f>
        <v>Doprinosi za penzijsko i invalidsko osiguranje</v>
      </c>
      <c r="C115" s="515"/>
      <c r="D115" s="515"/>
      <c r="E115" s="515"/>
      <c r="F115" s="515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14" t="str">
        <f>+VLOOKUP(LEFT($A116,LEN(A116)-1)*1,Master!$D$27:$G$225,4,FALSE)</f>
        <v>Doprinosi za zdravstveno osiguranje</v>
      </c>
      <c r="C116" s="515"/>
      <c r="D116" s="515"/>
      <c r="E116" s="515"/>
      <c r="F116" s="515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14" t="str">
        <f>+VLOOKUP(LEFT($A117,LEN(A117)-1)*1,Master!$D$27:$G$225,4,FALSE)</f>
        <v>Doprinosi za osiguranje od nezaposlenosti</v>
      </c>
      <c r="C117" s="515"/>
      <c r="D117" s="515"/>
      <c r="E117" s="515"/>
      <c r="F117" s="515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14" t="str">
        <f>+VLOOKUP(LEFT($A118,LEN(A118)-1)*1,Master!$D$27:$G$225,4,FALSE)</f>
        <v>Ostali doprinosi</v>
      </c>
      <c r="C118" s="515"/>
      <c r="D118" s="515"/>
      <c r="E118" s="515"/>
      <c r="F118" s="515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18" t="str">
        <f>+VLOOKUP(LEFT($A119,LEN(A119)-1)*1,Master!$D$27:$G$225,4,FALSE)</f>
        <v>Takse</v>
      </c>
      <c r="C119" s="519"/>
      <c r="D119" s="519"/>
      <c r="E119" s="519"/>
      <c r="F119" s="519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18" t="str">
        <f>+VLOOKUP(LEFT($A120,LEN(A120)-1)*1,Master!$D$27:$G$225,4,FALSE)</f>
        <v>Naknade</v>
      </c>
      <c r="C120" s="519"/>
      <c r="D120" s="519"/>
      <c r="E120" s="519"/>
      <c r="F120" s="519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18" t="str">
        <f>+VLOOKUP(LEFT($A121,LEN(A121)-1)*1,Master!$D$27:$G$225,4,FALSE)</f>
        <v>Ostali prihodi</v>
      </c>
      <c r="C121" s="519"/>
      <c r="D121" s="519"/>
      <c r="E121" s="519"/>
      <c r="F121" s="519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18" t="str">
        <f>+VLOOKUP(LEFT($A122,LEN(A122)-1)*1,Master!$D$27:$G$225,4,FALSE)</f>
        <v>Primici od otplate kredita i sredstva prenesena iz prethodne godine</v>
      </c>
      <c r="C122" s="519"/>
      <c r="D122" s="519"/>
      <c r="E122" s="519"/>
      <c r="F122" s="519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20" t="str">
        <f>+VLOOKUP(LEFT($A123,LEN(A123)-1)*1,Master!$D$27:$G$225,4,FALSE)</f>
        <v>Donacije i transferi</v>
      </c>
      <c r="C123" s="521"/>
      <c r="D123" s="521"/>
      <c r="E123" s="521"/>
      <c r="F123" s="521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06" t="str">
        <f>+VLOOKUP(LEFT($A124,LEN(A124)-1)*1,Master!$D$27:$G$225,4,FALSE)</f>
        <v>Budžetski izdaci</v>
      </c>
      <c r="C124" s="507"/>
      <c r="D124" s="507"/>
      <c r="E124" s="507"/>
      <c r="F124" s="507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41p</v>
      </c>
      <c r="B125" s="522" t="str">
        <f>+VLOOKUP(LEFT($A125,LEN(A125)-1)*1,Master!$D$27:$G$225,4,FALSE)</f>
        <v>Tekući izdaci</v>
      </c>
      <c r="C125" s="523"/>
      <c r="D125" s="523"/>
      <c r="E125" s="523"/>
      <c r="F125" s="523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40p</v>
      </c>
      <c r="B126" s="524" t="str">
        <f>+VLOOKUP(LEFT($A126,LEN(A126)-1)*1,Master!$D$27:$G$225,4,FALSE)</f>
        <v>Tekući budžetski izdaci</v>
      </c>
      <c r="C126" s="525"/>
      <c r="D126" s="525"/>
      <c r="E126" s="525"/>
      <c r="F126" s="525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14" t="str">
        <f>+VLOOKUP(LEFT($A127,LEN(A127)-1)*1,Master!$D$27:$G$225,4,FALSE)</f>
        <v>Bruto zarade i doprinosi na teret poslodavca</v>
      </c>
      <c r="C127" s="515"/>
      <c r="D127" s="515"/>
      <c r="E127" s="515"/>
      <c r="F127" s="515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14" t="str">
        <f>+VLOOKUP(LEFT($A128,LEN(A128)-1)*1,Master!$D$27:$G$225,4,FALSE)</f>
        <v>Ostala lična primanja</v>
      </c>
      <c r="C128" s="515"/>
      <c r="D128" s="515"/>
      <c r="E128" s="515"/>
      <c r="F128" s="515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14" t="str">
        <f>+VLOOKUP(LEFT($A129,LEN(A129)-1)*1,Master!$D$27:$G$225,4,FALSE)</f>
        <v>Rashodi za materijal</v>
      </c>
      <c r="C129" s="515"/>
      <c r="D129" s="515"/>
      <c r="E129" s="515"/>
      <c r="F129" s="515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14" t="str">
        <f>+VLOOKUP(LEFT($A130,LEN(A130)-1)*1,Master!$D$27:$G$225,4,FALSE)</f>
        <v>Rashodi za usluge</v>
      </c>
      <c r="C130" s="515"/>
      <c r="D130" s="515"/>
      <c r="E130" s="515"/>
      <c r="F130" s="515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14" t="str">
        <f>+VLOOKUP(LEFT($A131,LEN(A131)-1)*1,Master!$D$27:$G$225,4,FALSE)</f>
        <v>Rashodi za tekuće održavanje</v>
      </c>
      <c r="C131" s="515"/>
      <c r="D131" s="515"/>
      <c r="E131" s="515"/>
      <c r="F131" s="515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14" t="str">
        <f>+VLOOKUP(LEFT($A132,LEN(A132)-1)*1,Master!$D$27:$G$225,4,FALSE)</f>
        <v>Kamate</v>
      </c>
      <c r="C132" s="515"/>
      <c r="D132" s="515"/>
      <c r="E132" s="515"/>
      <c r="F132" s="515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14" t="str">
        <f>+VLOOKUP(LEFT($A133,LEN(A133)-1)*1,Master!$D$27:$G$225,4,FALSE)</f>
        <v>Renta</v>
      </c>
      <c r="C133" s="515"/>
      <c r="D133" s="515"/>
      <c r="E133" s="515"/>
      <c r="F133" s="515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14" t="str">
        <f>+VLOOKUP(LEFT($A134,LEN(A134)-1)*1,Master!$D$27:$G$225,4,FALSE)</f>
        <v>Subvencije</v>
      </c>
      <c r="C134" s="515"/>
      <c r="D134" s="515"/>
      <c r="E134" s="515"/>
      <c r="F134" s="515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14" t="str">
        <f>+VLOOKUP(LEFT($A135,LEN(A135)-1)*1,Master!$D$27:$G$225,4,FALSE)</f>
        <v>Ostali izdaci</v>
      </c>
      <c r="C135" s="515"/>
      <c r="D135" s="515"/>
      <c r="E135" s="515"/>
      <c r="F135" s="515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14" t="str">
        <f>+VLOOKUP(LEFT($A136,LEN(A136)-1)*1,Master!$D$27:$G$225,4,FALSE)</f>
        <v>Kapitalni izdaci u tekućem budžetu</v>
      </c>
      <c r="C136" s="515"/>
      <c r="D136" s="515"/>
      <c r="E136" s="515"/>
      <c r="F136" s="515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12" t="str">
        <f>+VLOOKUP(LEFT($A137,LEN(A137)-1)*1,Master!$D$27:$G$225,4,FALSE)</f>
        <v>Transferi za socijalnu zaštitu</v>
      </c>
      <c r="C137" s="513"/>
      <c r="D137" s="513"/>
      <c r="E137" s="513"/>
      <c r="F137" s="513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14" t="str">
        <f>+VLOOKUP(LEFT($A138,LEN(A138)-1)*1,Master!$D$27:$G$225,4,FALSE)</f>
        <v>Prava iz oblasti socijalne zaštite</v>
      </c>
      <c r="C138" s="515"/>
      <c r="D138" s="515"/>
      <c r="E138" s="515"/>
      <c r="F138" s="515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14" t="str">
        <f>+VLOOKUP(LEFT($A139,LEN(A139)-1)*1,Master!$D$27:$G$225,4,FALSE)</f>
        <v>Sredstva za tehnološke viškove</v>
      </c>
      <c r="C139" s="515"/>
      <c r="D139" s="515"/>
      <c r="E139" s="515"/>
      <c r="F139" s="515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14" t="str">
        <f>+VLOOKUP(LEFT($A140,LEN(A140)-1)*1,Master!$D$27:$G$225,4,FALSE)</f>
        <v>Prava iz oblasti penzijskog i invalidskog osiguranja</v>
      </c>
      <c r="C140" s="515"/>
      <c r="D140" s="515"/>
      <c r="E140" s="515"/>
      <c r="F140" s="515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14" t="str">
        <f>+VLOOKUP(LEFT($A141,LEN(A141)-1)*1,Master!$D$27:$G$225,4,FALSE)</f>
        <v>Ostala prava iz oblasti zdravstvene zaštite</v>
      </c>
      <c r="C141" s="515"/>
      <c r="D141" s="515"/>
      <c r="E141" s="515"/>
      <c r="F141" s="515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14" t="str">
        <f>+VLOOKUP(LEFT($A142,LEN(A142)-1)*1,Master!$D$27:$G$225,4,FALSE)</f>
        <v>Ostala prava iz zdravstvenog osiguranja</v>
      </c>
      <c r="C142" s="515"/>
      <c r="D142" s="515"/>
      <c r="E142" s="515"/>
      <c r="F142" s="515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16" t="str">
        <f>+VLOOKUP(LEFT($A143,LEN(A143)-1)*1,Master!$D$27:$G$225,4,FALSE)</f>
        <v xml:space="preserve">Transferi institucijama, pojedincima, nevladinom i javnom sektoru </v>
      </c>
      <c r="C143" s="517"/>
      <c r="D143" s="517"/>
      <c r="E143" s="517"/>
      <c r="F143" s="517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16" t="str">
        <f>+VLOOKUP(LEFT($A144,LEN(A144)-1)*1,Master!$D$27:$G$225,4,FALSE)</f>
        <v>Kapitalni budžet</v>
      </c>
      <c r="C144" s="517"/>
      <c r="D144" s="517"/>
      <c r="E144" s="517"/>
      <c r="F144" s="517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00" t="str">
        <f>+VLOOKUP(LEFT($A145,LEN(A145)-1)*1,Master!$D$27:$G$225,4,FALSE)</f>
        <v>Pozajmice i krediti</v>
      </c>
      <c r="C145" s="501"/>
      <c r="D145" s="501"/>
      <c r="E145" s="501"/>
      <c r="F145" s="501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00" t="str">
        <f>+VLOOKUP(LEFT($A146,LEN(A146)-1)*1,Master!$D$27:$G$225,4,FALSE)</f>
        <v>Rezerve</v>
      </c>
      <c r="C146" s="501"/>
      <c r="D146" s="501"/>
      <c r="E146" s="501"/>
      <c r="F146" s="501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00" t="str">
        <f>+VLOOKUP(LEFT($A147,LEN(A147)-1)*1,Master!$D$27:$G$225,4,FALSE)</f>
        <v>Otplata garancija</v>
      </c>
      <c r="C147" s="501"/>
      <c r="D147" s="501"/>
      <c r="E147" s="501"/>
      <c r="F147" s="501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696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08" t="str">
        <f>+VLOOKUP(LEFT($A149,LEN(A149)-1)*1,Master!$D$27:$G$225,4,FALSE)</f>
        <v>Suficit / deficit</v>
      </c>
      <c r="C149" s="509"/>
      <c r="D149" s="509"/>
      <c r="E149" s="509"/>
      <c r="F149" s="509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10" t="str">
        <f>+VLOOKUP(LEFT($A150,LEN(A150)-1)*1,Master!$D$27:$G$225,4,FALSE)</f>
        <v>Primarni bilans</v>
      </c>
      <c r="C150" s="511"/>
      <c r="D150" s="511"/>
      <c r="E150" s="511"/>
      <c r="F150" s="511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12" t="str">
        <f>+VLOOKUP(LEFT($A151,LEN(A151)-1)*1,Master!$D$27:$G$225,4,FALSE)</f>
        <v>Otplata dugova</v>
      </c>
      <c r="C151" s="513"/>
      <c r="D151" s="513"/>
      <c r="E151" s="513"/>
      <c r="F151" s="513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02" t="str">
        <f>+VLOOKUP(LEFT($A152,LEN(A152)-1)*1,Master!$D$27:$G$225,4,FALSE)</f>
        <v>Otplata hartija od vrijednosti i kredita rezidentima</v>
      </c>
      <c r="C152" s="503"/>
      <c r="D152" s="503"/>
      <c r="E152" s="503"/>
      <c r="F152" s="503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00" t="str">
        <f>+VLOOKUP(LEFT($A153,LEN(A153)-1)*1,Master!$D$27:$G$225,4,FALSE)</f>
        <v>Otplata hartija od vrijednosti i kredita nerezidentima</v>
      </c>
      <c r="C153" s="501"/>
      <c r="D153" s="501"/>
      <c r="E153" s="501"/>
      <c r="F153" s="501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54" t="str">
        <f>+VLOOKUP(LEFT($A154,LEN(A154)-1)*1,Master!$D$27:$G$225,4,FALSE)</f>
        <v>Otplata obaveza iz prethodnih godina</v>
      </c>
      <c r="C154" s="555"/>
      <c r="D154" s="555"/>
      <c r="E154" s="555"/>
      <c r="F154" s="555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04" t="str">
        <f>+VLOOKUP(LEFT($A155,LEN(A155)-1)*1,Master!$D$27:$G$225,4,FALSE)</f>
        <v>Nedostajuća sredstva</v>
      </c>
      <c r="C155" s="505"/>
      <c r="D155" s="505"/>
      <c r="E155" s="505"/>
      <c r="F155" s="505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06" t="str">
        <f>+VLOOKUP(LEFT($A156,LEN(A156)-1)*1,Master!$D$27:$G$225,4,FALSE)</f>
        <v>Finansiranje</v>
      </c>
      <c r="C156" s="507"/>
      <c r="D156" s="507"/>
      <c r="E156" s="507"/>
      <c r="F156" s="507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02" t="str">
        <f>+VLOOKUP(LEFT($A157,LEN(A157)-1)*1,Master!$D$27:$G$225,4,FALSE)</f>
        <v>Pozajmice i krediti od domaćih izvora</v>
      </c>
      <c r="C157" s="503"/>
      <c r="D157" s="503"/>
      <c r="E157" s="503"/>
      <c r="F157" s="503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00" t="str">
        <f>+VLOOKUP(LEFT($A158,LEN(A158)-1)*1,Master!$D$27:$G$225,4,FALSE)</f>
        <v>Pozajmice i krediti od inostranih izvora</v>
      </c>
      <c r="C158" s="501"/>
      <c r="D158" s="501"/>
      <c r="E158" s="501"/>
      <c r="F158" s="501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00" t="str">
        <f>+VLOOKUP(LEFT($A159,LEN(A159)-1)*1,Master!$D$27:$G$225,4,FALSE)</f>
        <v>Primici od prodaje imovine</v>
      </c>
      <c r="C159" s="501"/>
      <c r="D159" s="501"/>
      <c r="E159" s="501"/>
      <c r="F159" s="501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539</v>
      </c>
      <c r="H6" s="259" t="s">
        <v>540</v>
      </c>
      <c r="I6" s="259" t="s">
        <v>541</v>
      </c>
      <c r="J6" s="259" t="s">
        <v>542</v>
      </c>
      <c r="K6" s="259" t="s">
        <v>543</v>
      </c>
      <c r="L6" s="259" t="s">
        <v>544</v>
      </c>
      <c r="M6" s="259" t="s">
        <v>545</v>
      </c>
      <c r="N6" s="259" t="s">
        <v>546</v>
      </c>
      <c r="O6" s="259" t="s">
        <v>547</v>
      </c>
      <c r="P6" s="259" t="s">
        <v>548</v>
      </c>
      <c r="Q6" s="259" t="s">
        <v>549</v>
      </c>
      <c r="R6" s="259" t="s">
        <v>550</v>
      </c>
      <c r="S6" s="258"/>
      <c r="T6" s="258"/>
    </row>
    <row r="7" spans="1:20" ht="15" customHeight="1" thickBot="1">
      <c r="A7" s="169"/>
      <c r="B7" s="553" t="str">
        <f>+Master!G251</f>
        <v>Ostvarenje budžeta</v>
      </c>
      <c r="C7" s="453"/>
      <c r="D7" s="453"/>
      <c r="E7" s="453"/>
      <c r="F7" s="453"/>
      <c r="G7" s="461">
        <v>2015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+Master!G248</f>
        <v>BDP</v>
      </c>
      <c r="T7" s="261">
        <v>3655000000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1" t="s">
        <v>737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82" t="str">
        <f>+VLOOKUP($A47,Master!$D$27:$G$225,4,FALSE)</f>
        <v>Ostala prava iz zdravstvenog osiguranja</v>
      </c>
      <c r="C47" s="483"/>
      <c r="D47" s="483"/>
      <c r="E47" s="483"/>
      <c r="F47" s="483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50" t="str">
        <f>+VLOOKUP($A50,Master!$D$27:$G$225,4,FALSE)</f>
        <v>Pozajmice i krediti</v>
      </c>
      <c r="C50" s="451"/>
      <c r="D50" s="451"/>
      <c r="E50" s="451"/>
      <c r="F50" s="451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68" t="str">
        <f>+VLOOKUP($A53,Master!$D$27:$G$225,4,TRUE)</f>
        <v>Otplata obaveza iz prethodnih godina</v>
      </c>
      <c r="C53" s="469"/>
      <c r="D53" s="469"/>
      <c r="E53" s="469"/>
      <c r="F53" s="469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54" t="str">
        <f>+VLOOKUP($A54,Master!$D$27:$G$227,4,FALSE)</f>
        <v>Neto povećanje obaveza</v>
      </c>
      <c r="C54" s="555"/>
      <c r="D54" s="555"/>
      <c r="E54" s="555"/>
      <c r="F54" s="555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74" t="str">
        <f>+VLOOKUP($A55,Master!$D$27:$G$225,4,FALSE)</f>
        <v>Suficit / deficit</v>
      </c>
      <c r="C55" s="475"/>
      <c r="D55" s="475"/>
      <c r="E55" s="475"/>
      <c r="F55" s="475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34" t="s">
        <v>775</v>
      </c>
      <c r="C56" s="435"/>
      <c r="D56" s="435"/>
      <c r="E56" s="435"/>
      <c r="F56" s="435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76" t="str">
        <f>+VLOOKUP($A57,Master!$D$27:$G$225,4,FALSE)</f>
        <v>Primarni bilans</v>
      </c>
      <c r="C57" s="477"/>
      <c r="D57" s="477"/>
      <c r="E57" s="477"/>
      <c r="F57" s="477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78" t="str">
        <f>+VLOOKUP($A58,Master!$D$27:$G$225,4,FALSE)</f>
        <v>Otplata dugova</v>
      </c>
      <c r="C58" s="479"/>
      <c r="D58" s="479"/>
      <c r="E58" s="479"/>
      <c r="F58" s="479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66" t="str">
        <f>+VLOOKUP($A59,Master!$D$27:$G$225,4,FALSE)</f>
        <v>Otplata hartija od vrijednosti i kredita rezidentima</v>
      </c>
      <c r="C59" s="467"/>
      <c r="D59" s="467"/>
      <c r="E59" s="467"/>
      <c r="F59" s="467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50" t="str">
        <f>+VLOOKUP($A60,Master!$D$27:$G$225,4,FALSE)</f>
        <v>Otplata hartija od vrijednosti i kredita nerezidentima</v>
      </c>
      <c r="C60" s="451"/>
      <c r="D60" s="451"/>
      <c r="E60" s="451"/>
      <c r="F60" s="451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70" t="str">
        <f>+VLOOKUP($A61,Master!$D$27:$G$225,4,FALSE)</f>
        <v>Nedostajuća sredstva</v>
      </c>
      <c r="C61" s="471"/>
      <c r="D61" s="471"/>
      <c r="E61" s="471"/>
      <c r="F61" s="471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2" t="str">
        <f>+VLOOKUP($A62,Master!$D$27:$G$225,4,FALSE)</f>
        <v>Finansiranje</v>
      </c>
      <c r="C62" s="473"/>
      <c r="D62" s="473"/>
      <c r="E62" s="473"/>
      <c r="F62" s="473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66" t="str">
        <f>+VLOOKUP($A63,Master!$D$27:$G$225,4,FALSE)</f>
        <v>Pozajmice i krediti od domaćih izvora</v>
      </c>
      <c r="C63" s="467"/>
      <c r="D63" s="467"/>
      <c r="E63" s="467"/>
      <c r="F63" s="467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50" t="str">
        <f>+VLOOKUP($A64,Master!$D$27:$G$225,4,FALSE)</f>
        <v>Pozajmice i krediti od inostranih izvora</v>
      </c>
      <c r="C64" s="451"/>
      <c r="D64" s="451"/>
      <c r="E64" s="451"/>
      <c r="F64" s="451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50" t="str">
        <f>+VLOOKUP($A65,Master!$D$27:$G$225,4,FALSE)</f>
        <v>Primici od prodaje imovine</v>
      </c>
      <c r="C65" s="451"/>
      <c r="D65" s="451"/>
      <c r="E65" s="451"/>
      <c r="F65" s="451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8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35" t="str">
        <f>+Master!G252</f>
        <v>Plan ostvarenja budžeta</v>
      </c>
      <c r="C102" s="536"/>
      <c r="D102" s="536"/>
      <c r="E102" s="536"/>
      <c r="F102" s="536"/>
      <c r="G102" s="528">
        <v>2015</v>
      </c>
      <c r="H102" s="529"/>
      <c r="I102" s="529"/>
      <c r="J102" s="529"/>
      <c r="K102" s="529"/>
      <c r="L102" s="529"/>
      <c r="M102" s="529"/>
      <c r="N102" s="529"/>
      <c r="O102" s="529"/>
      <c r="P102" s="529"/>
      <c r="Q102" s="529"/>
      <c r="R102" s="530"/>
      <c r="S102" s="115" t="str">
        <f>+S7</f>
        <v>BDP</v>
      </c>
      <c r="T102" s="116">
        <f>+T7</f>
        <v>3655000000</v>
      </c>
    </row>
    <row r="103" spans="1:21" ht="15.75" customHeight="1">
      <c r="B103" s="537"/>
      <c r="C103" s="538"/>
      <c r="D103" s="538"/>
      <c r="E103" s="538"/>
      <c r="F103" s="539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28" t="str">
        <f>+Master!G246</f>
        <v>Jan - Dec</v>
      </c>
      <c r="T103" s="530">
        <f>+T8</f>
        <v>0</v>
      </c>
    </row>
    <row r="104" spans="1:21" ht="13.5" thickBot="1">
      <c r="B104" s="540"/>
      <c r="C104" s="541"/>
      <c r="D104" s="541"/>
      <c r="E104" s="541"/>
      <c r="F104" s="542"/>
      <c r="G104" s="68" t="s">
        <v>425</v>
      </c>
      <c r="H104" s="68" t="s">
        <v>425</v>
      </c>
      <c r="I104" s="68" t="s">
        <v>425</v>
      </c>
      <c r="J104" s="68" t="s">
        <v>425</v>
      </c>
      <c r="K104" s="68" t="s">
        <v>425</v>
      </c>
      <c r="L104" s="68" t="s">
        <v>425</v>
      </c>
      <c r="M104" s="68" t="s">
        <v>425</v>
      </c>
      <c r="N104" s="68" t="s">
        <v>425</v>
      </c>
      <c r="O104" s="68" t="s">
        <v>425</v>
      </c>
      <c r="P104" s="68" t="s">
        <v>425</v>
      </c>
      <c r="Q104" s="68" t="s">
        <v>425</v>
      </c>
      <c r="R104" s="68" t="s">
        <v>425</v>
      </c>
      <c r="S104" s="66" t="s">
        <v>425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1" t="str">
        <f>+VLOOKUP(LEFT($A105,LEN(A105)-1)*1,Master!$D$27:$G$225,4,FALSE)</f>
        <v>Prihodi budžeta</v>
      </c>
      <c r="C105" s="532"/>
      <c r="D105" s="532"/>
      <c r="E105" s="532"/>
      <c r="F105" s="532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33" t="str">
        <f>+VLOOKUP(LEFT($A106,LEN(A106)-1)*1,Master!$D$27:$G$225,4,FALSE)</f>
        <v>Porezi</v>
      </c>
      <c r="C106" s="534"/>
      <c r="D106" s="534"/>
      <c r="E106" s="534"/>
      <c r="F106" s="534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14" t="str">
        <f>+VLOOKUP(LEFT($A107,LEN(A107)-1)*1,Master!$D$27:$G$225,4,FALSE)</f>
        <v>Porez na dohodak fizičkih lica</v>
      </c>
      <c r="C107" s="515"/>
      <c r="D107" s="515"/>
      <c r="E107" s="515"/>
      <c r="F107" s="515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14" t="str">
        <f>+VLOOKUP(LEFT($A108,LEN(A108)-1)*1,Master!$D$27:$G$225,4,FALSE)</f>
        <v>Porez na dobit pravnih lica</v>
      </c>
      <c r="C108" s="515"/>
      <c r="D108" s="515"/>
      <c r="E108" s="515"/>
      <c r="F108" s="515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14" t="str">
        <f>+VLOOKUP(LEFT($A109,LEN(A109)-1)*1,Master!$D$27:$G$225,4,FALSE)</f>
        <v>Porez na promet nepokretnosti</v>
      </c>
      <c r="C109" s="515"/>
      <c r="D109" s="515"/>
      <c r="E109" s="515"/>
      <c r="F109" s="515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14" t="str">
        <f>+VLOOKUP(LEFT($A110,LEN(A110)-1)*1,Master!$D$27:$G$225,4,FALSE)</f>
        <v>Porez na dodatu vrijednost</v>
      </c>
      <c r="C110" s="515"/>
      <c r="D110" s="515"/>
      <c r="E110" s="515"/>
      <c r="F110" s="515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14" t="str">
        <f>+VLOOKUP(LEFT($A111,LEN(A111)-1)*1,Master!$D$27:$G$225,4,FALSE)</f>
        <v>Akcize</v>
      </c>
      <c r="C111" s="515"/>
      <c r="D111" s="515"/>
      <c r="E111" s="515"/>
      <c r="F111" s="515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14" t="str">
        <f>+VLOOKUP(LEFT($A112,LEN(A112)-1)*1,Master!$D$27:$G$225,4,FALSE)</f>
        <v>Porez na međunarodnu trgovinu i transakcije</v>
      </c>
      <c r="C112" s="515"/>
      <c r="D112" s="515"/>
      <c r="E112" s="515"/>
      <c r="F112" s="515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14" t="str">
        <f>+VLOOKUP(LEFT($A113,LEN(A113)-1)*1,Master!$D$27:$G$225,4,FALSE)</f>
        <v>Ostali državni porezi</v>
      </c>
      <c r="C113" s="515"/>
      <c r="D113" s="515"/>
      <c r="E113" s="515"/>
      <c r="F113" s="515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26" t="str">
        <f>+VLOOKUP(LEFT($A114,LEN(A114)-1)*1,Master!$D$27:$G$225,4,FALSE)</f>
        <v>Doprinosi</v>
      </c>
      <c r="C114" s="527"/>
      <c r="D114" s="527"/>
      <c r="E114" s="527"/>
      <c r="F114" s="527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14" t="str">
        <f>+VLOOKUP(LEFT($A115,LEN(A115)-1)*1,Master!$D$27:$G$225,4,FALSE)</f>
        <v>Doprinosi za penzijsko i invalidsko osiguranje</v>
      </c>
      <c r="C115" s="515"/>
      <c r="D115" s="515"/>
      <c r="E115" s="515"/>
      <c r="F115" s="515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14" t="str">
        <f>+VLOOKUP(LEFT($A116,LEN(A116)-1)*1,Master!$D$27:$G$225,4,FALSE)</f>
        <v>Doprinosi za zdravstveno osiguranje</v>
      </c>
      <c r="C116" s="515"/>
      <c r="D116" s="515"/>
      <c r="E116" s="515"/>
      <c r="F116" s="515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14" t="str">
        <f>+VLOOKUP(LEFT($A117,LEN(A117)-1)*1,Master!$D$27:$G$225,4,FALSE)</f>
        <v>Doprinosi za osiguranje od nezaposlenosti</v>
      </c>
      <c r="C117" s="515"/>
      <c r="D117" s="515"/>
      <c r="E117" s="515"/>
      <c r="F117" s="515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14" t="str">
        <f>+VLOOKUP(LEFT($A118,LEN(A118)-1)*1,Master!$D$27:$G$225,4,FALSE)</f>
        <v>Ostali doprinosi</v>
      </c>
      <c r="C118" s="515"/>
      <c r="D118" s="515"/>
      <c r="E118" s="515"/>
      <c r="F118" s="515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18" t="str">
        <f>+VLOOKUP(LEFT($A119,LEN(A119)-1)*1,Master!$D$27:$G$225,4,FALSE)</f>
        <v>Takse</v>
      </c>
      <c r="C119" s="519"/>
      <c r="D119" s="519"/>
      <c r="E119" s="519"/>
      <c r="F119" s="519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18" t="str">
        <f>+VLOOKUP(LEFT($A120,LEN(A120)-1)*1,Master!$D$27:$G$225,4,FALSE)</f>
        <v>Naknade</v>
      </c>
      <c r="C120" s="519"/>
      <c r="D120" s="519"/>
      <c r="E120" s="519"/>
      <c r="F120" s="519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18" t="str">
        <f>+VLOOKUP(LEFT($A121,LEN(A121)-1)*1,Master!$D$27:$G$225,4,FALSE)</f>
        <v>Ostali prihodi</v>
      </c>
      <c r="C121" s="519"/>
      <c r="D121" s="519"/>
      <c r="E121" s="519"/>
      <c r="F121" s="519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18" t="str">
        <f>+VLOOKUP(LEFT($A122,LEN(A122)-1)*1,Master!$D$27:$G$225,4,FALSE)</f>
        <v>Primici od otplate kredita i sredstva prenesena iz prethodne godine</v>
      </c>
      <c r="C122" s="519"/>
      <c r="D122" s="519"/>
      <c r="E122" s="519"/>
      <c r="F122" s="519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20" t="str">
        <f>+VLOOKUP(LEFT($A123,LEN(A123)-1)*1,Master!$D$27:$G$225,4,FALSE)</f>
        <v>Donacije i transferi</v>
      </c>
      <c r="C123" s="521"/>
      <c r="D123" s="521"/>
      <c r="E123" s="521"/>
      <c r="F123" s="521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06" t="str">
        <f>+VLOOKUP(LEFT($A124,LEN(A124)-1)*1,Master!$D$27:$G$225,4,FALSE)</f>
        <v>Budžetski izdaci</v>
      </c>
      <c r="C124" s="507"/>
      <c r="D124" s="507"/>
      <c r="E124" s="507"/>
      <c r="F124" s="507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22" t="str">
        <f>+VLOOKUP(LEFT($A125,LEN(A125)-1)*1,Master!$D$27:$G$225,4,FALSE)</f>
        <v>Tekući izdaci</v>
      </c>
      <c r="C125" s="523"/>
      <c r="D125" s="523"/>
      <c r="E125" s="523"/>
      <c r="F125" s="523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24" t="str">
        <f>+VLOOKUP(LEFT($A126,LEN(A126)-1)*1,Master!$D$27:$G$225,4,FALSE)</f>
        <v>Tekući budžetski izdaci</v>
      </c>
      <c r="C126" s="525"/>
      <c r="D126" s="525"/>
      <c r="E126" s="525"/>
      <c r="F126" s="525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14" t="str">
        <f>+VLOOKUP(LEFT($A127,LEN(A127)-1)*1,Master!$D$27:$G$225,4,FALSE)</f>
        <v>Bruto zarade i doprinosi na teret poslodavca</v>
      </c>
      <c r="C127" s="515"/>
      <c r="D127" s="515"/>
      <c r="E127" s="515"/>
      <c r="F127" s="515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14" t="str">
        <f>+VLOOKUP(LEFT($A128,LEN(A128)-1)*1,Master!$D$27:$G$225,4,FALSE)</f>
        <v>Ostala lična primanja</v>
      </c>
      <c r="C128" s="515"/>
      <c r="D128" s="515"/>
      <c r="E128" s="515"/>
      <c r="F128" s="515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14" t="str">
        <f>+VLOOKUP(LEFT($A129,LEN(A129)-1)*1,Master!$D$27:$G$225,4,FALSE)</f>
        <v>Rashodi za materijal</v>
      </c>
      <c r="C129" s="515"/>
      <c r="D129" s="515"/>
      <c r="E129" s="515"/>
      <c r="F129" s="515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14" t="str">
        <f>+VLOOKUP(LEFT($A130,LEN(A130)-1)*1,Master!$D$27:$G$225,4,FALSE)</f>
        <v>Rashodi za usluge</v>
      </c>
      <c r="C130" s="515"/>
      <c r="D130" s="515"/>
      <c r="E130" s="515"/>
      <c r="F130" s="515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14" t="str">
        <f>+VLOOKUP(LEFT($A131,LEN(A131)-1)*1,Master!$D$27:$G$225,4,FALSE)</f>
        <v>Rashodi za tekuće održavanje</v>
      </c>
      <c r="C131" s="515"/>
      <c r="D131" s="515"/>
      <c r="E131" s="515"/>
      <c r="F131" s="515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14" t="str">
        <f>+VLOOKUP(LEFT($A132,LEN(A132)-1)*1,Master!$D$27:$G$225,4,FALSE)</f>
        <v>Kamate</v>
      </c>
      <c r="C132" s="515"/>
      <c r="D132" s="515"/>
      <c r="E132" s="515"/>
      <c r="F132" s="515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14" t="str">
        <f>+VLOOKUP(LEFT($A133,LEN(A133)-1)*1,Master!$D$27:$G$225,4,FALSE)</f>
        <v>Renta</v>
      </c>
      <c r="C133" s="515"/>
      <c r="D133" s="515"/>
      <c r="E133" s="515"/>
      <c r="F133" s="515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14" t="str">
        <f>+VLOOKUP(LEFT($A134,LEN(A134)-1)*1,Master!$D$27:$G$225,4,FALSE)</f>
        <v>Subvencije</v>
      </c>
      <c r="C134" s="515"/>
      <c r="D134" s="515"/>
      <c r="E134" s="515"/>
      <c r="F134" s="515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14" t="str">
        <f>+VLOOKUP(LEFT($A135,LEN(A135)-1)*1,Master!$D$27:$G$225,4,FALSE)</f>
        <v>Ostali izdaci</v>
      </c>
      <c r="C135" s="515"/>
      <c r="D135" s="515"/>
      <c r="E135" s="515"/>
      <c r="F135" s="515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14" t="str">
        <f>+VLOOKUP(LEFT($A136,LEN(A136)-1)*1,Master!$D$27:$G$225,4,FALSE)</f>
        <v>Kapitalni izdaci u tekućem budžetu</v>
      </c>
      <c r="C136" s="515"/>
      <c r="D136" s="515"/>
      <c r="E136" s="515"/>
      <c r="F136" s="515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12" t="str">
        <f>+VLOOKUP(LEFT($A137,LEN(A137)-1)*1,Master!$D$27:$G$225,4,FALSE)</f>
        <v>Transferi za socijalnu zaštitu</v>
      </c>
      <c r="C137" s="513"/>
      <c r="D137" s="513"/>
      <c r="E137" s="513"/>
      <c r="F137" s="513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14" t="str">
        <f>+VLOOKUP(LEFT($A138,LEN(A138)-1)*1,Master!$D$27:$G$225,4,FALSE)</f>
        <v>Prava iz oblasti socijalne zaštite</v>
      </c>
      <c r="C138" s="515"/>
      <c r="D138" s="515"/>
      <c r="E138" s="515"/>
      <c r="F138" s="515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14" t="str">
        <f>+VLOOKUP(LEFT($A139,LEN(A139)-1)*1,Master!$D$27:$G$225,4,FALSE)</f>
        <v>Sredstva za tehnološke viškove</v>
      </c>
      <c r="C139" s="515"/>
      <c r="D139" s="515"/>
      <c r="E139" s="515"/>
      <c r="F139" s="515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14" t="str">
        <f>+VLOOKUP(LEFT($A140,LEN(A140)-1)*1,Master!$D$27:$G$225,4,FALSE)</f>
        <v>Prava iz oblasti penzijskog i invalidskog osiguranja</v>
      </c>
      <c r="C140" s="515"/>
      <c r="D140" s="515"/>
      <c r="E140" s="515"/>
      <c r="F140" s="515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14" t="str">
        <f>+VLOOKUP(LEFT($A141,LEN(A141)-1)*1,Master!$D$27:$G$225,4,FALSE)</f>
        <v>Ostala prava iz oblasti zdravstvene zaštite</v>
      </c>
      <c r="C141" s="515"/>
      <c r="D141" s="515"/>
      <c r="E141" s="515"/>
      <c r="F141" s="515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14" t="str">
        <f>+VLOOKUP(LEFT($A142,LEN(A142)-1)*1,Master!$D$27:$G$225,4,FALSE)</f>
        <v>Ostala prava iz zdravstvenog osiguranja</v>
      </c>
      <c r="C142" s="515"/>
      <c r="D142" s="515"/>
      <c r="E142" s="515"/>
      <c r="F142" s="515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16" t="str">
        <f>+VLOOKUP(LEFT($A143,LEN(A143)-1)*1,Master!$D$27:$G$225,4,FALSE)</f>
        <v xml:space="preserve">Transferi institucijama, pojedincima, nevladinom i javnom sektoru </v>
      </c>
      <c r="C143" s="517"/>
      <c r="D143" s="517"/>
      <c r="E143" s="517"/>
      <c r="F143" s="517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16" t="str">
        <f>+VLOOKUP(LEFT($A144,LEN(A144)-1)*1,Master!$D$27:$G$225,4,FALSE)</f>
        <v>Kapitalni budžet</v>
      </c>
      <c r="C144" s="517"/>
      <c r="D144" s="517"/>
      <c r="E144" s="517"/>
      <c r="F144" s="517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00" t="str">
        <f>+VLOOKUP(LEFT($A145,LEN(A145)-1)*1,Master!$D$27:$G$225,4,FALSE)</f>
        <v>Pozajmice i krediti</v>
      </c>
      <c r="C145" s="501"/>
      <c r="D145" s="501"/>
      <c r="E145" s="501"/>
      <c r="F145" s="501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00" t="str">
        <f>+VLOOKUP(LEFT($A146,LEN(A146)-1)*1,Master!$D$27:$G$225,4,FALSE)</f>
        <v>Rezerve</v>
      </c>
      <c r="C146" s="501"/>
      <c r="D146" s="501"/>
      <c r="E146" s="501"/>
      <c r="F146" s="501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54" t="str">
        <f>+VLOOKUP(LEFT($A147,LEN(A147)-1)*1,Master!$D$27:$G$225,4,FALSE)</f>
        <v>Otplata garancija</v>
      </c>
      <c r="C147" s="555"/>
      <c r="D147" s="555"/>
      <c r="E147" s="555"/>
      <c r="F147" s="555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08" t="str">
        <f>+VLOOKUP(LEFT($A148,LEN(A148)-1)*1,Master!$D$27:$G$225,4,FALSE)</f>
        <v>Suficit / deficit</v>
      </c>
      <c r="C148" s="509"/>
      <c r="D148" s="509"/>
      <c r="E148" s="509"/>
      <c r="F148" s="509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10" t="str">
        <f>+VLOOKUP(LEFT($A149,LEN(A149)-1)*1,Master!$D$27:$G$225,4,FALSE)</f>
        <v>Primarni bilans</v>
      </c>
      <c r="C149" s="511"/>
      <c r="D149" s="511"/>
      <c r="E149" s="511"/>
      <c r="F149" s="511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12" t="str">
        <f>+VLOOKUP(LEFT($A150,LEN(A150)-1)*1,Master!$D$27:$G$225,4,FALSE)</f>
        <v>Otplata dugova</v>
      </c>
      <c r="C150" s="513"/>
      <c r="D150" s="513"/>
      <c r="E150" s="513"/>
      <c r="F150" s="513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02" t="str">
        <f>+VLOOKUP(LEFT($A151,LEN(A151)-1)*1,Master!$D$27:$G$225,4,FALSE)</f>
        <v>Otplata hartija od vrijednosti i kredita rezidentima</v>
      </c>
      <c r="C151" s="503"/>
      <c r="D151" s="503"/>
      <c r="E151" s="503"/>
      <c r="F151" s="503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00" t="str">
        <f>+VLOOKUP(LEFT($A152,LEN(A152)-1)*1,Master!$D$27:$G$225,4,FALSE)</f>
        <v>Otplata hartija od vrijednosti i kredita nerezidentima</v>
      </c>
      <c r="C152" s="501"/>
      <c r="D152" s="501"/>
      <c r="E152" s="501"/>
      <c r="F152" s="501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54" t="str">
        <f>+VLOOKUP(LEFT($A153,LEN(A153)-1)*1,Master!$D$27:$G$225,4,FALSE)</f>
        <v>Otplata obaveza iz prethodnih godina</v>
      </c>
      <c r="C153" s="555"/>
      <c r="D153" s="555"/>
      <c r="E153" s="555"/>
      <c r="F153" s="555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04" t="str">
        <f>+VLOOKUP(LEFT($A154,LEN(A154)-1)*1,Master!$D$27:$G$225,4,FALSE)</f>
        <v>Nedostajuća sredstva</v>
      </c>
      <c r="C154" s="505"/>
      <c r="D154" s="505"/>
      <c r="E154" s="505"/>
      <c r="F154" s="505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06" t="str">
        <f>+VLOOKUP(LEFT($A155,LEN(A155)-1)*1,Master!$D$27:$G$225,4,FALSE)</f>
        <v>Finansiranje</v>
      </c>
      <c r="C155" s="507"/>
      <c r="D155" s="507"/>
      <c r="E155" s="507"/>
      <c r="F155" s="507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02" t="str">
        <f>+VLOOKUP(LEFT($A156,LEN(A156)-1)*1,Master!$D$27:$G$225,4,FALSE)</f>
        <v>Pozajmice i krediti od domaćih izvora</v>
      </c>
      <c r="C156" s="503"/>
      <c r="D156" s="503"/>
      <c r="E156" s="503"/>
      <c r="F156" s="503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00" t="str">
        <f>+VLOOKUP(LEFT($A157,LEN(A157)-1)*1,Master!$D$27:$G$225,4,FALSE)</f>
        <v>Pozajmice i krediti od inostranih izvora</v>
      </c>
      <c r="C157" s="501"/>
      <c r="D157" s="501"/>
      <c r="E157" s="501"/>
      <c r="F157" s="501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00" t="str">
        <f>+VLOOKUP(LEFT($A158,LEN(A158)-1)*1,Master!$D$27:$G$225,4,FALSE)</f>
        <v>Primici od prodaje imovine</v>
      </c>
      <c r="C158" s="501"/>
      <c r="D158" s="501"/>
      <c r="E158" s="501"/>
      <c r="F158" s="501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527</v>
      </c>
      <c r="H6" s="259" t="s">
        <v>528</v>
      </c>
      <c r="I6" s="259" t="s">
        <v>529</v>
      </c>
      <c r="J6" s="259" t="s">
        <v>530</v>
      </c>
      <c r="K6" s="259" t="s">
        <v>531</v>
      </c>
      <c r="L6" s="259" t="s">
        <v>532</v>
      </c>
      <c r="M6" s="259" t="s">
        <v>533</v>
      </c>
      <c r="N6" s="259" t="s">
        <v>534</v>
      </c>
      <c r="O6" s="259" t="s">
        <v>535</v>
      </c>
      <c r="P6" s="259" t="s">
        <v>536</v>
      </c>
      <c r="Q6" s="259" t="s">
        <v>537</v>
      </c>
      <c r="R6" s="259" t="s">
        <v>538</v>
      </c>
      <c r="S6" s="258"/>
      <c r="T6" s="258"/>
    </row>
    <row r="7" spans="1:20" ht="15" customHeight="1" thickBot="1">
      <c r="A7" s="169"/>
      <c r="B7" s="553" t="str">
        <f>+Master!G251</f>
        <v>Ostvarenje budžeta</v>
      </c>
      <c r="C7" s="453"/>
      <c r="D7" s="453"/>
      <c r="E7" s="453"/>
      <c r="F7" s="453"/>
      <c r="G7" s="461">
        <v>2014</v>
      </c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5"/>
      <c r="S7" s="260" t="str">
        <f>+Master!G248</f>
        <v>BDP</v>
      </c>
      <c r="T7" s="261">
        <v>3457880000</v>
      </c>
    </row>
    <row r="8" spans="1:20" ht="16.5" customHeight="1">
      <c r="A8" s="169"/>
      <c r="B8" s="454"/>
      <c r="C8" s="455"/>
      <c r="D8" s="455"/>
      <c r="E8" s="455"/>
      <c r="F8" s="456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1" t="s">
        <v>702</v>
      </c>
      <c r="T8" s="465"/>
    </row>
    <row r="9" spans="1:20" ht="13.5" thickBot="1">
      <c r="A9" s="169"/>
      <c r="B9" s="457"/>
      <c r="C9" s="458"/>
      <c r="D9" s="458"/>
      <c r="E9" s="458"/>
      <c r="F9" s="459"/>
      <c r="G9" s="162" t="s">
        <v>425</v>
      </c>
      <c r="H9" s="162" t="s">
        <v>425</v>
      </c>
      <c r="I9" s="162" t="s">
        <v>425</v>
      </c>
      <c r="J9" s="162" t="s">
        <v>425</v>
      </c>
      <c r="K9" s="162" t="s">
        <v>425</v>
      </c>
      <c r="L9" s="162" t="s">
        <v>425</v>
      </c>
      <c r="M9" s="162" t="s">
        <v>425</v>
      </c>
      <c r="N9" s="162" t="s">
        <v>425</v>
      </c>
      <c r="O9" s="162" t="s">
        <v>425</v>
      </c>
      <c r="P9" s="162" t="s">
        <v>425</v>
      </c>
      <c r="Q9" s="162" t="s">
        <v>425</v>
      </c>
      <c r="R9" s="162" t="s">
        <v>425</v>
      </c>
      <c r="S9" s="262" t="s">
        <v>425</v>
      </c>
      <c r="T9" s="263" t="str">
        <f>+Master!G249</f>
        <v>% BDP</v>
      </c>
    </row>
    <row r="10" spans="1:20" ht="13.5" thickBot="1">
      <c r="A10" s="175">
        <v>7</v>
      </c>
      <c r="B10" s="494" t="str">
        <f>+VLOOKUP($A10,Master!$D$27:$G$225,4,FALSE)</f>
        <v>Prihodi budžeta</v>
      </c>
      <c r="C10" s="495"/>
      <c r="D10" s="495"/>
      <c r="E10" s="495"/>
      <c r="F10" s="495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96" t="str">
        <f>+VLOOKUP($A11,Master!$D$27:$G$225,4,FALSE)</f>
        <v>Porezi</v>
      </c>
      <c r="C11" s="497"/>
      <c r="D11" s="497"/>
      <c r="E11" s="497"/>
      <c r="F11" s="497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2" t="str">
        <f>+VLOOKUP($A12,Master!$D$27:$G$225,4,FALSE)</f>
        <v>Porez na dohodak fizičkih lica</v>
      </c>
      <c r="C12" s="483"/>
      <c r="D12" s="483"/>
      <c r="E12" s="483"/>
      <c r="F12" s="483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2" t="str">
        <f>+VLOOKUP($A13,Master!$D$27:$G$225,4,FALSE)</f>
        <v>Porez na dobit pravnih lica</v>
      </c>
      <c r="C13" s="483"/>
      <c r="D13" s="483"/>
      <c r="E13" s="483"/>
      <c r="F13" s="483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2" t="str">
        <f>+VLOOKUP($A14,Master!$D$27:$G$225,4,FALSE)</f>
        <v>Porez na promet nepokretnosti</v>
      </c>
      <c r="C14" s="483"/>
      <c r="D14" s="483"/>
      <c r="E14" s="483"/>
      <c r="F14" s="483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2" t="str">
        <f>+VLOOKUP($A15,Master!$D$27:$G$225,4,FALSE)</f>
        <v>Porez na dodatu vrijednost</v>
      </c>
      <c r="C15" s="483"/>
      <c r="D15" s="483"/>
      <c r="E15" s="483"/>
      <c r="F15" s="483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2" t="str">
        <f>+VLOOKUP($A16,Master!$D$27:$G$225,4,FALSE)</f>
        <v>Akcize</v>
      </c>
      <c r="C16" s="483"/>
      <c r="D16" s="483"/>
      <c r="E16" s="483"/>
      <c r="F16" s="483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2" t="str">
        <f>+VLOOKUP($A17,Master!$D$27:$G$225,4,FALSE)</f>
        <v>Porez na međunarodnu trgovinu i transakcije</v>
      </c>
      <c r="C17" s="483"/>
      <c r="D17" s="483"/>
      <c r="E17" s="483"/>
      <c r="F17" s="483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2" t="str">
        <f>+VLOOKUP($A18,Master!$D$27:$G$225,4,FALSE)</f>
        <v>Ostali državni porezi</v>
      </c>
      <c r="C18" s="483"/>
      <c r="D18" s="483"/>
      <c r="E18" s="483"/>
      <c r="F18" s="483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2" t="str">
        <f>+VLOOKUP($A19,Master!$D$27:$G$225,4,FALSE)</f>
        <v>Doprinosi</v>
      </c>
      <c r="C19" s="493"/>
      <c r="D19" s="493"/>
      <c r="E19" s="493"/>
      <c r="F19" s="493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2" t="str">
        <f>+VLOOKUP($A20,Master!$D$27:$G$225,4,FALSE)</f>
        <v>Doprinosi za penzijsko i invalidsko osiguranje</v>
      </c>
      <c r="C20" s="483"/>
      <c r="D20" s="483"/>
      <c r="E20" s="483"/>
      <c r="F20" s="483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2" t="str">
        <f>+VLOOKUP($A21,Master!$D$27:$G$225,4,FALSE)</f>
        <v>Doprinosi za zdravstveno osiguranje</v>
      </c>
      <c r="C21" s="483"/>
      <c r="D21" s="483"/>
      <c r="E21" s="483"/>
      <c r="F21" s="483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2" t="str">
        <f>+VLOOKUP($A22,Master!$D$27:$G$225,4,FALSE)</f>
        <v>Doprinosi za osiguranje od nezaposlenosti</v>
      </c>
      <c r="C22" s="483"/>
      <c r="D22" s="483"/>
      <c r="E22" s="483"/>
      <c r="F22" s="483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2" t="str">
        <f>+VLOOKUP($A23,Master!$D$27:$G$225,4,FALSE)</f>
        <v>Ostali doprinosi</v>
      </c>
      <c r="C23" s="483"/>
      <c r="D23" s="483"/>
      <c r="E23" s="483"/>
      <c r="F23" s="483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84" t="str">
        <f>+VLOOKUP($A24,Master!$D$27:$G$225,4,FALSE)</f>
        <v>Takse</v>
      </c>
      <c r="C24" s="485"/>
      <c r="D24" s="485"/>
      <c r="E24" s="485"/>
      <c r="F24" s="485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84" t="str">
        <f>+VLOOKUP($A25,Master!$D$27:$G$225,4,FALSE)</f>
        <v>Naknade</v>
      </c>
      <c r="C25" s="485"/>
      <c r="D25" s="485"/>
      <c r="E25" s="485"/>
      <c r="F25" s="485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84" t="str">
        <f>+VLOOKUP($A26,Master!$D$27:$G$225,4,FALSE)</f>
        <v>Ostali prihodi</v>
      </c>
      <c r="C26" s="485"/>
      <c r="D26" s="485"/>
      <c r="E26" s="485"/>
      <c r="F26" s="485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84" t="str">
        <f>+VLOOKUP($A27,Master!$D$27:$G$225,4,FALSE)</f>
        <v>Primici od otplate kredita i sredstva prenesena iz prethodne godine</v>
      </c>
      <c r="C27" s="485"/>
      <c r="D27" s="485"/>
      <c r="E27" s="485"/>
      <c r="F27" s="485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86" t="str">
        <f>+VLOOKUP($A28,Master!$D$27:$G$225,4,FALSE)</f>
        <v>Donacije i transferi</v>
      </c>
      <c r="C28" s="487"/>
      <c r="D28" s="487"/>
      <c r="E28" s="487"/>
      <c r="F28" s="487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2" t="str">
        <f>+VLOOKUP($A29,Master!$D$27:$G$225,4,FALSE)</f>
        <v>Budžetski izdaci</v>
      </c>
      <c r="C29" s="473"/>
      <c r="D29" s="473"/>
      <c r="E29" s="473"/>
      <c r="F29" s="473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88" t="str">
        <f>+VLOOKUP($A30,Master!$D$27:$G$225,4,FALSE)</f>
        <v>Tekući izdaci</v>
      </c>
      <c r="C30" s="489"/>
      <c r="D30" s="489"/>
      <c r="E30" s="489"/>
      <c r="F30" s="489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90" t="str">
        <f>+VLOOKUP($A31,Master!$D$27:$G$225,4,FALSE)</f>
        <v>Tekući budžetski izdaci</v>
      </c>
      <c r="C31" s="491"/>
      <c r="D31" s="491"/>
      <c r="E31" s="491"/>
      <c r="F31" s="491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2" t="str">
        <f>+VLOOKUP($A32,Master!$D$27:$G$225,4,FALSE)</f>
        <v>Bruto zarade i doprinosi na teret poslodavca</v>
      </c>
      <c r="C32" s="483"/>
      <c r="D32" s="483"/>
      <c r="E32" s="483"/>
      <c r="F32" s="483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2" t="str">
        <f>+VLOOKUP($A33,Master!$D$27:$G$225,4,FALSE)</f>
        <v>Ostala lična primanja</v>
      </c>
      <c r="C33" s="483"/>
      <c r="D33" s="483"/>
      <c r="E33" s="483"/>
      <c r="F33" s="483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2" t="str">
        <f>+VLOOKUP($A34,Master!$D$27:$G$225,4,FALSE)</f>
        <v>Rashodi za materijal</v>
      </c>
      <c r="C34" s="483"/>
      <c r="D34" s="483"/>
      <c r="E34" s="483"/>
      <c r="F34" s="483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2" t="str">
        <f>+VLOOKUP($A35,Master!$D$27:$G$225,4,FALSE)</f>
        <v>Rashodi za usluge</v>
      </c>
      <c r="C35" s="483"/>
      <c r="D35" s="483"/>
      <c r="E35" s="483"/>
      <c r="F35" s="483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2" t="str">
        <f>+VLOOKUP($A36,Master!$D$27:$G$225,4,FALSE)</f>
        <v>Rashodi za tekuće održavanje</v>
      </c>
      <c r="C36" s="483"/>
      <c r="D36" s="483"/>
      <c r="E36" s="483"/>
      <c r="F36" s="483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2" t="str">
        <f>+VLOOKUP($A37,Master!$D$27:$G$225,4,FALSE)</f>
        <v>Kamate</v>
      </c>
      <c r="C37" s="483"/>
      <c r="D37" s="483"/>
      <c r="E37" s="483"/>
      <c r="F37" s="483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2" t="str">
        <f>+VLOOKUP($A38,Master!$D$27:$G$225,4,FALSE)</f>
        <v>Renta</v>
      </c>
      <c r="C38" s="483"/>
      <c r="D38" s="483"/>
      <c r="E38" s="483"/>
      <c r="F38" s="483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2" t="str">
        <f>+VLOOKUP($A39,Master!$D$27:$G$225,4,FALSE)</f>
        <v>Subvencije</v>
      </c>
      <c r="C39" s="483"/>
      <c r="D39" s="483"/>
      <c r="E39" s="483"/>
      <c r="F39" s="483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2" t="str">
        <f>+VLOOKUP($A40,Master!$D$27:$G$225,4,FALSE)</f>
        <v>Ostali izdaci</v>
      </c>
      <c r="C40" s="483"/>
      <c r="D40" s="483"/>
      <c r="E40" s="483"/>
      <c r="F40" s="483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2" t="str">
        <f>+VLOOKUP($A41,Master!$D$27:$G$225,4,FALSE)</f>
        <v>Kapitalni izdaci u tekućem budžetu</v>
      </c>
      <c r="C41" s="483"/>
      <c r="D41" s="483"/>
      <c r="E41" s="483"/>
      <c r="F41" s="483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78" t="str">
        <f>+VLOOKUP($A42,Master!$D$27:$G$225,4,FALSE)</f>
        <v>Transferi za socijalnu zaštitu</v>
      </c>
      <c r="C42" s="479"/>
      <c r="D42" s="479"/>
      <c r="E42" s="479"/>
      <c r="F42" s="479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2" t="str">
        <f>+VLOOKUP($A43,Master!$D$27:$G$225,4,FALSE)</f>
        <v>Prava iz oblasti socijalne zaštite</v>
      </c>
      <c r="C43" s="483"/>
      <c r="D43" s="483"/>
      <c r="E43" s="483"/>
      <c r="F43" s="483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2" t="str">
        <f>+VLOOKUP($A44,Master!$D$27:$G$225,4,FALSE)</f>
        <v>Sredstva za tehnološke viškove</v>
      </c>
      <c r="C44" s="483"/>
      <c r="D44" s="483"/>
      <c r="E44" s="483"/>
      <c r="F44" s="483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2" t="str">
        <f>+VLOOKUP($A45,Master!$D$27:$G$225,4,FALSE)</f>
        <v>Prava iz oblasti penzijskog i invalidskog osiguranja</v>
      </c>
      <c r="C45" s="483"/>
      <c r="D45" s="483"/>
      <c r="E45" s="483"/>
      <c r="F45" s="483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2" t="str">
        <f>+VLOOKUP($A46,Master!$D$27:$G$225,4,FALSE)</f>
        <v>Ostala prava iz oblasti zdravstvene zaštite</v>
      </c>
      <c r="C46" s="483"/>
      <c r="D46" s="483"/>
      <c r="E46" s="483"/>
      <c r="F46" s="483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2" t="str">
        <f>+VLOOKUP($A47,Master!$D$27:$G$225,4,FALSE)</f>
        <v>Ostala prava iz zdravstvenog osiguranja</v>
      </c>
      <c r="C47" s="483"/>
      <c r="D47" s="483"/>
      <c r="E47" s="483"/>
      <c r="F47" s="483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0" t="str">
        <f>+VLOOKUP($A48,Master!$D$27:$G$225,4,FALSE)</f>
        <v xml:space="preserve">Transferi institucijama, pojedincima, nevladinom i javnom sektoru </v>
      </c>
      <c r="C48" s="481"/>
      <c r="D48" s="481"/>
      <c r="E48" s="481"/>
      <c r="F48" s="481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0" t="str">
        <f>+VLOOKUP($A49,Master!$D$27:$G$225,4,FALSE)</f>
        <v>Kapitalni budžet</v>
      </c>
      <c r="C49" s="481"/>
      <c r="D49" s="481"/>
      <c r="E49" s="481"/>
      <c r="F49" s="481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50" t="str">
        <f>+VLOOKUP($A50,Master!$D$27:$G$225,4,FALSE)</f>
        <v>Pozajmice i krediti</v>
      </c>
      <c r="C50" s="451"/>
      <c r="D50" s="451"/>
      <c r="E50" s="451"/>
      <c r="F50" s="451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50" t="str">
        <f>+VLOOKUP($A51,Master!$D$27:$G$225,4,FALSE)</f>
        <v>Rezerve</v>
      </c>
      <c r="C51" s="451"/>
      <c r="D51" s="451"/>
      <c r="E51" s="451"/>
      <c r="F51" s="451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68" t="str">
        <f>+VLOOKUP($A52,Master!$D$27:$G$225,4,FALSE)</f>
        <v>Otplata garancija</v>
      </c>
      <c r="C52" s="469"/>
      <c r="D52" s="469"/>
      <c r="E52" s="469"/>
      <c r="F52" s="469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68" t="str">
        <f>+VLOOKUP($A53,Master!$D$27:$G$225,4,TRUE)</f>
        <v>Otplata obaveza iz prethodnih godina</v>
      </c>
      <c r="C53" s="469"/>
      <c r="D53" s="469"/>
      <c r="E53" s="469"/>
      <c r="F53" s="469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4" t="str">
        <f>+VLOOKUP($A54,Master!$D$27:$G$227,4,FALSE)</f>
        <v>Neto povećanje obaveza</v>
      </c>
      <c r="C54" s="555"/>
      <c r="D54" s="555"/>
      <c r="E54" s="555"/>
      <c r="F54" s="555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56" t="str">
        <f>+VLOOKUP($A55,Master!$D$27:$G$225,4,FALSE)</f>
        <v>Suficit / deficit</v>
      </c>
      <c r="C55" s="557"/>
      <c r="D55" s="557"/>
      <c r="E55" s="557"/>
      <c r="F55" s="557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76" t="str">
        <f>+VLOOKUP($A56,Master!$D$27:$G$225,4,FALSE)</f>
        <v>Primarni bilans</v>
      </c>
      <c r="C56" s="477"/>
      <c r="D56" s="477"/>
      <c r="E56" s="477"/>
      <c r="F56" s="477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78" t="str">
        <f>+VLOOKUP($A57,Master!$D$27:$G$225,4,FALSE)</f>
        <v>Otplata dugova</v>
      </c>
      <c r="C57" s="479"/>
      <c r="D57" s="479"/>
      <c r="E57" s="479"/>
      <c r="F57" s="479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66" t="str">
        <f>+VLOOKUP($A58,Master!$D$27:$G$225,4,FALSE)</f>
        <v>Otplata hartija od vrijednosti i kredita rezidentima</v>
      </c>
      <c r="C58" s="467"/>
      <c r="D58" s="467"/>
      <c r="E58" s="467"/>
      <c r="F58" s="467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50" t="str">
        <f>+VLOOKUP($A59,Master!$D$27:$G$225,4,FALSE)</f>
        <v>Otplata hartija od vrijednosti i kredita nerezidentima</v>
      </c>
      <c r="C59" s="451"/>
      <c r="D59" s="451"/>
      <c r="E59" s="451"/>
      <c r="F59" s="451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70" t="str">
        <f>+VLOOKUP($A60,Master!$D$27:$G$225,4,FALSE)</f>
        <v>Nedostajuća sredstva</v>
      </c>
      <c r="C60" s="471"/>
      <c r="D60" s="471"/>
      <c r="E60" s="471"/>
      <c r="F60" s="471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2" t="str">
        <f>+VLOOKUP($A61,Master!$D$27:$G$225,4,FALSE)</f>
        <v>Finansiranje</v>
      </c>
      <c r="C61" s="473"/>
      <c r="D61" s="473"/>
      <c r="E61" s="473"/>
      <c r="F61" s="473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66" t="str">
        <f>+VLOOKUP($A62,Master!$D$27:$G$225,4,FALSE)</f>
        <v>Pozajmice i krediti od domaćih izvora</v>
      </c>
      <c r="C62" s="467"/>
      <c r="D62" s="467"/>
      <c r="E62" s="467"/>
      <c r="F62" s="467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50" t="str">
        <f>+VLOOKUP($A63,Master!$D$27:$G$225,4,FALSE)</f>
        <v>Pozajmice i krediti od inostranih izvora</v>
      </c>
      <c r="C63" s="451"/>
      <c r="D63" s="451"/>
      <c r="E63" s="451"/>
      <c r="F63" s="451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50" t="str">
        <f>+VLOOKUP($A64,Master!$D$27:$G$225,4,FALSE)</f>
        <v>Primici od prodaje imovine</v>
      </c>
      <c r="C64" s="451"/>
      <c r="D64" s="451"/>
      <c r="E64" s="451"/>
      <c r="F64" s="451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+VLOOKUP($A65,Master!$D$27:$G$225,4,FALSE)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35" t="str">
        <f>+Master!G252</f>
        <v>Plan ostvarenja budžeta</v>
      </c>
      <c r="C101" s="536"/>
      <c r="D101" s="536"/>
      <c r="E101" s="536"/>
      <c r="F101" s="536"/>
      <c r="G101" s="528">
        <v>2014</v>
      </c>
      <c r="H101" s="529"/>
      <c r="I101" s="529"/>
      <c r="J101" s="529"/>
      <c r="K101" s="529"/>
      <c r="L101" s="529"/>
      <c r="M101" s="529"/>
      <c r="N101" s="529"/>
      <c r="O101" s="529"/>
      <c r="P101" s="529"/>
      <c r="Q101" s="529"/>
      <c r="R101" s="530"/>
      <c r="S101" s="115" t="str">
        <f>+S7</f>
        <v>BDP</v>
      </c>
      <c r="T101" s="116">
        <v>3393200615</v>
      </c>
    </row>
    <row r="102" spans="1:21" ht="15.75" customHeight="1">
      <c r="B102" s="537"/>
      <c r="C102" s="538"/>
      <c r="D102" s="538"/>
      <c r="E102" s="538"/>
      <c r="F102" s="539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28" t="str">
        <f>+Master!G246</f>
        <v>Jan - Dec</v>
      </c>
      <c r="T102" s="530">
        <f>+T8</f>
        <v>0</v>
      </c>
    </row>
    <row r="103" spans="1:21" ht="13.5" thickBot="1">
      <c r="B103" s="540"/>
      <c r="C103" s="541"/>
      <c r="D103" s="541"/>
      <c r="E103" s="541"/>
      <c r="F103" s="542"/>
      <c r="G103" s="68" t="s">
        <v>425</v>
      </c>
      <c r="H103" s="68" t="s">
        <v>425</v>
      </c>
      <c r="I103" s="68" t="s">
        <v>425</v>
      </c>
      <c r="J103" s="68" t="s">
        <v>425</v>
      </c>
      <c r="K103" s="68" t="s">
        <v>425</v>
      </c>
      <c r="L103" s="68" t="s">
        <v>425</v>
      </c>
      <c r="M103" s="68" t="s">
        <v>425</v>
      </c>
      <c r="N103" s="68" t="s">
        <v>425</v>
      </c>
      <c r="O103" s="68" t="s">
        <v>425</v>
      </c>
      <c r="P103" s="68" t="s">
        <v>425</v>
      </c>
      <c r="Q103" s="68" t="s">
        <v>425</v>
      </c>
      <c r="R103" s="68" t="s">
        <v>425</v>
      </c>
      <c r="S103" s="66" t="s">
        <v>425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31" t="str">
        <f>+VLOOKUP(LEFT($A104,LEN(A104)-1)*1,Master!$D$27:$G$225,4,FALSE)</f>
        <v>Prihodi budžeta</v>
      </c>
      <c r="C104" s="532"/>
      <c r="D104" s="532"/>
      <c r="E104" s="532"/>
      <c r="F104" s="532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33" t="str">
        <f>+VLOOKUP(LEFT($A105,LEN(A105)-1)*1,Master!$D$27:$G$225,4,FALSE)</f>
        <v>Porezi</v>
      </c>
      <c r="C105" s="534"/>
      <c r="D105" s="534"/>
      <c r="E105" s="534"/>
      <c r="F105" s="534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14" t="str">
        <f>+VLOOKUP(LEFT($A106,LEN(A106)-1)*1,Master!$D$27:$G$225,4,FALSE)</f>
        <v>Porez na dohodak fizičkih lica</v>
      </c>
      <c r="C106" s="515"/>
      <c r="D106" s="515"/>
      <c r="E106" s="515"/>
      <c r="F106" s="515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14" t="str">
        <f>+VLOOKUP(LEFT($A107,LEN(A107)-1)*1,Master!$D$27:$G$225,4,FALSE)</f>
        <v>Porez na dobit pravnih lica</v>
      </c>
      <c r="C107" s="515"/>
      <c r="D107" s="515"/>
      <c r="E107" s="515"/>
      <c r="F107" s="515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14" t="str">
        <f>+VLOOKUP(LEFT($A108,LEN(A108)-1)*1,Master!$D$27:$G$225,4,FALSE)</f>
        <v>Porez na promet nepokretnosti</v>
      </c>
      <c r="C108" s="515"/>
      <c r="D108" s="515"/>
      <c r="E108" s="515"/>
      <c r="F108" s="515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14" t="str">
        <f>+VLOOKUP(LEFT($A109,LEN(A109)-1)*1,Master!$D$27:$G$225,4,FALSE)</f>
        <v>Porez na dodatu vrijednost</v>
      </c>
      <c r="C109" s="515"/>
      <c r="D109" s="515"/>
      <c r="E109" s="515"/>
      <c r="F109" s="515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14" t="str">
        <f>+VLOOKUP(LEFT($A110,LEN(A110)-1)*1,Master!$D$27:$G$225,4,FALSE)</f>
        <v>Akcize</v>
      </c>
      <c r="C110" s="515"/>
      <c r="D110" s="515"/>
      <c r="E110" s="515"/>
      <c r="F110" s="515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14" t="str">
        <f>+VLOOKUP(LEFT($A111,LEN(A111)-1)*1,Master!$D$27:$G$225,4,FALSE)</f>
        <v>Porez na međunarodnu trgovinu i transakcije</v>
      </c>
      <c r="C111" s="515"/>
      <c r="D111" s="515"/>
      <c r="E111" s="515"/>
      <c r="F111" s="515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14" t="e">
        <f>+VLOOKUP(LEFT($A112,LEN(A112)-1)*1,Master!$D$27:$G$225,4,FALSE)</f>
        <v>#REF!</v>
      </c>
      <c r="C112" s="515"/>
      <c r="D112" s="515"/>
      <c r="E112" s="515"/>
      <c r="F112" s="515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14" t="str">
        <f>+VLOOKUP(LEFT($A113,LEN(A113)-1)*1,Master!$D$27:$G$225,4,FALSE)</f>
        <v>Ostali državni porezi</v>
      </c>
      <c r="C113" s="515"/>
      <c r="D113" s="515"/>
      <c r="E113" s="515"/>
      <c r="F113" s="515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26" t="str">
        <f>+VLOOKUP(LEFT($A114,LEN(A114)-1)*1,Master!$D$27:$G$225,4,FALSE)</f>
        <v>Doprinosi</v>
      </c>
      <c r="C114" s="527"/>
      <c r="D114" s="527"/>
      <c r="E114" s="527"/>
      <c r="F114" s="527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14" t="str">
        <f>+VLOOKUP(LEFT($A115,LEN(A115)-1)*1,Master!$D$27:$G$225,4,FALSE)</f>
        <v>Doprinosi za penzijsko i invalidsko osiguranje</v>
      </c>
      <c r="C115" s="515"/>
      <c r="D115" s="515"/>
      <c r="E115" s="515"/>
      <c r="F115" s="515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14" t="str">
        <f>+VLOOKUP(LEFT($A116,LEN(A116)-1)*1,Master!$D$27:$G$225,4,FALSE)</f>
        <v>Doprinosi za zdravstveno osiguranje</v>
      </c>
      <c r="C116" s="515"/>
      <c r="D116" s="515"/>
      <c r="E116" s="515"/>
      <c r="F116" s="515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14" t="str">
        <f>+VLOOKUP(LEFT($A117,LEN(A117)-1)*1,Master!$D$27:$G$225,4,FALSE)</f>
        <v>Doprinosi za osiguranje od nezaposlenosti</v>
      </c>
      <c r="C117" s="515"/>
      <c r="D117" s="515"/>
      <c r="E117" s="515"/>
      <c r="F117" s="515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14" t="str">
        <f>+VLOOKUP(LEFT($A118,LEN(A118)-1)*1,Master!$D$27:$G$225,4,FALSE)</f>
        <v>Ostali doprinosi</v>
      </c>
      <c r="C118" s="515"/>
      <c r="D118" s="515"/>
      <c r="E118" s="515"/>
      <c r="F118" s="515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18" t="str">
        <f>+VLOOKUP(LEFT($A119,LEN(A119)-1)*1,Master!$D$27:$G$225,4,FALSE)</f>
        <v>Takse</v>
      </c>
      <c r="C119" s="519"/>
      <c r="D119" s="519"/>
      <c r="E119" s="519"/>
      <c r="F119" s="519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18" t="str">
        <f>+VLOOKUP(LEFT($A120,LEN(A120)-1)*1,Master!$D$27:$G$225,4,FALSE)</f>
        <v>Naknade</v>
      </c>
      <c r="C120" s="519"/>
      <c r="D120" s="519"/>
      <c r="E120" s="519"/>
      <c r="F120" s="519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18" t="str">
        <f>+VLOOKUP(LEFT($A121,LEN(A121)-1)*1,Master!$D$27:$G$225,4,FALSE)</f>
        <v>Ostali prihodi</v>
      </c>
      <c r="C121" s="519"/>
      <c r="D121" s="519"/>
      <c r="E121" s="519"/>
      <c r="F121" s="519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18" t="str">
        <f>+VLOOKUP(LEFT($A122,LEN(A122)-1)*1,Master!$D$27:$G$225,4,FALSE)</f>
        <v>Primici od otplate kredita i sredstva prenesena iz prethodne godine</v>
      </c>
      <c r="C122" s="519"/>
      <c r="D122" s="519"/>
      <c r="E122" s="519"/>
      <c r="F122" s="519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20" t="str">
        <f>+VLOOKUP(LEFT($A123,LEN(A123)-1)*1,Master!$D$27:$G$225,4,FALSE)</f>
        <v>Donacije i transferi</v>
      </c>
      <c r="C123" s="521"/>
      <c r="D123" s="521"/>
      <c r="E123" s="521"/>
      <c r="F123" s="521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06" t="str">
        <f>+VLOOKUP(LEFT($A124,LEN(A124)-1)*1,Master!$D$27:$G$225,4,FALSE)</f>
        <v>Budžetski izdaci</v>
      </c>
      <c r="C124" s="507"/>
      <c r="D124" s="507"/>
      <c r="E124" s="507"/>
      <c r="F124" s="507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22" t="str">
        <f>+VLOOKUP(LEFT($A125,LEN(A125)-1)*1,Master!$D$27:$G$225,4,FALSE)</f>
        <v>Tekući izdaci</v>
      </c>
      <c r="C125" s="523"/>
      <c r="D125" s="523"/>
      <c r="E125" s="523"/>
      <c r="F125" s="523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24" t="str">
        <f>+VLOOKUP(LEFT($A126,LEN(A126)-1)*1,Master!$D$27:$G$225,4,FALSE)</f>
        <v>Tekući budžetski izdaci</v>
      </c>
      <c r="C126" s="525"/>
      <c r="D126" s="525"/>
      <c r="E126" s="525"/>
      <c r="F126" s="525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14" t="str">
        <f>+VLOOKUP(LEFT($A127,LEN(A127)-1)*1,Master!$D$27:$G$225,4,FALSE)</f>
        <v>Bruto zarade i doprinosi na teret poslodavca</v>
      </c>
      <c r="C127" s="515"/>
      <c r="D127" s="515"/>
      <c r="E127" s="515"/>
      <c r="F127" s="515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14" t="str">
        <f>+VLOOKUP(LEFT($A128,LEN(A128)-1)*1,Master!$D$27:$G$225,4,FALSE)</f>
        <v>Ostala lična primanja</v>
      </c>
      <c r="C128" s="515"/>
      <c r="D128" s="515"/>
      <c r="E128" s="515"/>
      <c r="F128" s="515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14" t="str">
        <f>+VLOOKUP(LEFT($A129,LEN(A129)-1)*1,Master!$D$27:$G$225,4,FALSE)</f>
        <v>Rashodi za materijal</v>
      </c>
      <c r="C129" s="515"/>
      <c r="D129" s="515"/>
      <c r="E129" s="515"/>
      <c r="F129" s="515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14" t="str">
        <f>+VLOOKUP(LEFT($A130,LEN(A130)-1)*1,Master!$D$27:$G$225,4,FALSE)</f>
        <v>Rashodi za usluge</v>
      </c>
      <c r="C130" s="515"/>
      <c r="D130" s="515"/>
      <c r="E130" s="515"/>
      <c r="F130" s="515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14" t="str">
        <f>+VLOOKUP(LEFT($A131,LEN(A131)-1)*1,Master!$D$27:$G$225,4,FALSE)</f>
        <v>Rashodi za tekuće održavanje</v>
      </c>
      <c r="C131" s="515"/>
      <c r="D131" s="515"/>
      <c r="E131" s="515"/>
      <c r="F131" s="515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14" t="str">
        <f>+VLOOKUP(LEFT($A132,LEN(A132)-1)*1,Master!$D$27:$G$225,4,FALSE)</f>
        <v>Kamate</v>
      </c>
      <c r="C132" s="515"/>
      <c r="D132" s="515"/>
      <c r="E132" s="515"/>
      <c r="F132" s="515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14" t="str">
        <f>+VLOOKUP(LEFT($A133,LEN(A133)-1)*1,Master!$D$27:$G$225,4,FALSE)</f>
        <v>Renta</v>
      </c>
      <c r="C133" s="515"/>
      <c r="D133" s="515"/>
      <c r="E133" s="515"/>
      <c r="F133" s="515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14" t="str">
        <f>+VLOOKUP(LEFT($A134,LEN(A134)-1)*1,Master!$D$27:$G$225,4,FALSE)</f>
        <v>Subvencije</v>
      </c>
      <c r="C134" s="515"/>
      <c r="D134" s="515"/>
      <c r="E134" s="515"/>
      <c r="F134" s="515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14" t="str">
        <f>+VLOOKUP(LEFT($A135,LEN(A135)-1)*1,Master!$D$27:$G$225,4,FALSE)</f>
        <v>Ostali izdaci</v>
      </c>
      <c r="C135" s="515"/>
      <c r="D135" s="515"/>
      <c r="E135" s="515"/>
      <c r="F135" s="515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14" t="str">
        <f>+VLOOKUP(LEFT($A136,LEN(A136)-1)*1,Master!$D$27:$G$225,4,FALSE)</f>
        <v>Kapitalni izdaci u tekućem budžetu</v>
      </c>
      <c r="C136" s="515"/>
      <c r="D136" s="515"/>
      <c r="E136" s="515"/>
      <c r="F136" s="515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2" t="str">
        <f>+VLOOKUP(LEFT($A137,LEN(A137)-1)*1,Master!$D$27:$G$225,4,FALSE)</f>
        <v>Transferi za socijalnu zaštitu</v>
      </c>
      <c r="C137" s="513"/>
      <c r="D137" s="513"/>
      <c r="E137" s="513"/>
      <c r="F137" s="513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14" t="str">
        <f>+VLOOKUP(LEFT($A138,LEN(A138)-1)*1,Master!$D$27:$G$225,4,FALSE)</f>
        <v>Prava iz oblasti socijalne zaštite</v>
      </c>
      <c r="C138" s="515"/>
      <c r="D138" s="515"/>
      <c r="E138" s="515"/>
      <c r="F138" s="515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14" t="str">
        <f>+VLOOKUP(LEFT($A139,LEN(A139)-1)*1,Master!$D$27:$G$225,4,FALSE)</f>
        <v>Sredstva za tehnološke viškove</v>
      </c>
      <c r="C139" s="515"/>
      <c r="D139" s="515"/>
      <c r="E139" s="515"/>
      <c r="F139" s="515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14" t="str">
        <f>+VLOOKUP(LEFT($A140,LEN(A140)-1)*1,Master!$D$27:$G$225,4,FALSE)</f>
        <v>Prava iz oblasti penzijskog i invalidskog osiguranja</v>
      </c>
      <c r="C140" s="515"/>
      <c r="D140" s="515"/>
      <c r="E140" s="515"/>
      <c r="F140" s="515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14" t="str">
        <f>+VLOOKUP(LEFT($A141,LEN(A141)-1)*1,Master!$D$27:$G$225,4,FALSE)</f>
        <v>Ostala prava iz oblasti zdravstvene zaštite</v>
      </c>
      <c r="C141" s="515"/>
      <c r="D141" s="515"/>
      <c r="E141" s="515"/>
      <c r="F141" s="515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14" t="str">
        <f>+VLOOKUP(LEFT($A142,LEN(A142)-1)*1,Master!$D$27:$G$225,4,FALSE)</f>
        <v>Ostala prava iz zdravstvenog osiguranja</v>
      </c>
      <c r="C142" s="515"/>
      <c r="D142" s="515"/>
      <c r="E142" s="515"/>
      <c r="F142" s="515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16" t="str">
        <f>+VLOOKUP(LEFT($A143,LEN(A143)-1)*1,Master!$D$27:$G$225,4,FALSE)</f>
        <v xml:space="preserve">Transferi institucijama, pojedincima, nevladinom i javnom sektoru </v>
      </c>
      <c r="C143" s="517"/>
      <c r="D143" s="517"/>
      <c r="E143" s="517"/>
      <c r="F143" s="517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16" t="str">
        <f>+VLOOKUP(LEFT($A144,LEN(A144)-1)*1,Master!$D$27:$G$225,4,FALSE)</f>
        <v>Kapitalni budžet</v>
      </c>
      <c r="C144" s="517"/>
      <c r="D144" s="517"/>
      <c r="E144" s="517"/>
      <c r="F144" s="517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00" t="str">
        <f>+VLOOKUP(LEFT($A145,LEN(A145)-1)*1,Master!$D$27:$G$225,4,FALSE)</f>
        <v>Pozajmice i krediti</v>
      </c>
      <c r="C145" s="501"/>
      <c r="D145" s="501"/>
      <c r="E145" s="501"/>
      <c r="F145" s="501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00" t="str">
        <f>+VLOOKUP(LEFT($A146,LEN(A146)-1)*1,Master!$D$27:$G$225,4,FALSE)</f>
        <v>Rezerve</v>
      </c>
      <c r="C146" s="501"/>
      <c r="D146" s="501"/>
      <c r="E146" s="501"/>
      <c r="F146" s="501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4" t="str">
        <f>+VLOOKUP(LEFT($A147,LEN(A147)-1)*1,Master!$D$27:$G$225,4,FALSE)</f>
        <v>Otplata garancija</v>
      </c>
      <c r="C147" s="555"/>
      <c r="D147" s="555"/>
      <c r="E147" s="555"/>
      <c r="F147" s="555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08" t="str">
        <f>+VLOOKUP(LEFT($A148,LEN(A148)-1)*1,Master!$D$27:$G$225,4,FALSE)</f>
        <v>Suficit / deficit</v>
      </c>
      <c r="C148" s="509"/>
      <c r="D148" s="509"/>
      <c r="E148" s="509"/>
      <c r="F148" s="509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10" t="str">
        <f>+VLOOKUP(LEFT($A149,LEN(A149)-1)*1,Master!$D$27:$G$225,4,FALSE)</f>
        <v>Primarni bilans</v>
      </c>
      <c r="C149" s="511"/>
      <c r="D149" s="511"/>
      <c r="E149" s="511"/>
      <c r="F149" s="511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2" t="str">
        <f>+VLOOKUP(LEFT($A150,LEN(A150)-1)*1,Master!$D$27:$G$225,4,FALSE)</f>
        <v>Otplata dugova</v>
      </c>
      <c r="C150" s="513"/>
      <c r="D150" s="513"/>
      <c r="E150" s="513"/>
      <c r="F150" s="513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02" t="str">
        <f>+VLOOKUP(LEFT($A151,LEN(A151)-1)*1,Master!$D$27:$G$225,4,FALSE)</f>
        <v>Otplata hartija od vrijednosti i kredita rezidentima</v>
      </c>
      <c r="C151" s="503"/>
      <c r="D151" s="503"/>
      <c r="E151" s="503"/>
      <c r="F151" s="503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00" t="str">
        <f>+VLOOKUP(LEFT($A152,LEN(A152)-1)*1,Master!$D$27:$G$225,4,FALSE)</f>
        <v>Otplata hartija od vrijednosti i kredita nerezidentima</v>
      </c>
      <c r="C152" s="501"/>
      <c r="D152" s="501"/>
      <c r="E152" s="501"/>
      <c r="F152" s="501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4" t="str">
        <f>+VLOOKUP(LEFT($A153,LEN(A153)-1)*1,Master!$D$27:$G$225,4,FALSE)</f>
        <v>Otplata obaveza iz prethodnih godina</v>
      </c>
      <c r="C153" s="555"/>
      <c r="D153" s="555"/>
      <c r="E153" s="555"/>
      <c r="F153" s="555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04" t="str">
        <f>+VLOOKUP(LEFT($A154,LEN(A154)-1)*1,Master!$D$27:$G$225,4,FALSE)</f>
        <v>Nedostajuća sredstva</v>
      </c>
      <c r="C154" s="505"/>
      <c r="D154" s="505"/>
      <c r="E154" s="505"/>
      <c r="F154" s="505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06" t="str">
        <f>+VLOOKUP(LEFT($A155,LEN(A155)-1)*1,Master!$D$27:$G$225,4,FALSE)</f>
        <v>Finansiranje</v>
      </c>
      <c r="C155" s="507"/>
      <c r="D155" s="507"/>
      <c r="E155" s="507"/>
      <c r="F155" s="507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02" t="str">
        <f>+VLOOKUP(LEFT($A156,LEN(A156)-1)*1,Master!$D$27:$G$225,4,FALSE)</f>
        <v>Pozajmice i krediti od domaćih izvora</v>
      </c>
      <c r="C156" s="503"/>
      <c r="D156" s="503"/>
      <c r="E156" s="503"/>
      <c r="F156" s="503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00" t="str">
        <f>+VLOOKUP(LEFT($A157,LEN(A157)-1)*1,Master!$D$27:$G$225,4,FALSE)</f>
        <v>Pozajmice i krediti od inostranih izvora</v>
      </c>
      <c r="C157" s="501"/>
      <c r="D157" s="501"/>
      <c r="E157" s="501"/>
      <c r="F157" s="501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00" t="str">
        <f>+VLOOKUP(LEFT($A158,LEN(A158)-1)*1,Master!$D$27:$G$225,4,FALSE)</f>
        <v>Primici od prodaje imovine</v>
      </c>
      <c r="C158" s="501"/>
      <c r="D158" s="501"/>
      <c r="E158" s="501"/>
      <c r="F158" s="501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Nevena Cobeljic</cp:lastModifiedBy>
  <cp:lastPrinted>2017-03-01T13:10:49Z</cp:lastPrinted>
  <dcterms:created xsi:type="dcterms:W3CDTF">2014-09-15T13:41:17Z</dcterms:created>
  <dcterms:modified xsi:type="dcterms:W3CDTF">2019-05-08T12:36:15Z</dcterms:modified>
</cp:coreProperties>
</file>