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 Milovic\Desktop\POSAO\GDDS final\02 Februar\"/>
    </mc:Choice>
  </mc:AlternateContent>
  <bookViews>
    <workbookView xWindow="0" yWindow="0" windowWidth="20490" windowHeight="7620" tabRatio="587" firstSheet="1" activeTab="1"/>
  </bookViews>
  <sheets>
    <sheet name="Analitika - 2014" sheetId="3" state="hidden" r:id="rId1"/>
    <sheet name="Pregled" sheetId="1" r:id="rId2"/>
    <sheet name="Analitika - 2020" sheetId="11" r:id="rId3"/>
    <sheet name="2020" sheetId="19" r:id="rId4"/>
    <sheet name="2019" sheetId="20" r:id="rId5"/>
    <sheet name="2018" sheetId="21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'2019'!$A$102:$A$161</definedName>
    <definedName name="_2015plan" localSheetId="3">'2020'!$A$100:$A$157</definedName>
  </definedNames>
  <calcPr calcId="162913"/>
</workbook>
</file>

<file path=xl/calcChain.xml><?xml version="1.0" encoding="utf-8"?>
<calcChain xmlns="http://schemas.openxmlformats.org/spreadsheetml/2006/main">
  <c r="H47" i="20" l="1"/>
  <c r="R45" i="11" l="1"/>
  <c r="I48" i="19"/>
  <c r="J48" i="19"/>
  <c r="K48" i="19"/>
  <c r="L48" i="19"/>
  <c r="M48" i="19"/>
  <c r="N48" i="19"/>
  <c r="O48" i="19"/>
  <c r="P48" i="19"/>
  <c r="Q48" i="19"/>
  <c r="R48" i="19"/>
  <c r="H48" i="19"/>
  <c r="N48" i="11" s="1"/>
  <c r="G48" i="19"/>
  <c r="FS368" i="6" l="1"/>
  <c r="FT368" i="6"/>
  <c r="FU368" i="6"/>
  <c r="FV368" i="6"/>
  <c r="FW368" i="6"/>
  <c r="FX368" i="6"/>
  <c r="FY368" i="6"/>
  <c r="FZ368" i="6"/>
  <c r="GA368" i="6"/>
  <c r="GB368" i="6"/>
  <c r="GC368" i="6"/>
  <c r="FR368" i="6"/>
  <c r="H13" i="1" l="1"/>
  <c r="H17" i="1"/>
  <c r="H21" i="1"/>
  <c r="GE252" i="6" l="1"/>
  <c r="GE225" i="6" l="1"/>
  <c r="FT259" i="6"/>
  <c r="FU259" i="6"/>
  <c r="FV259" i="6"/>
  <c r="FW259" i="6"/>
  <c r="FX259" i="6"/>
  <c r="FY259" i="6"/>
  <c r="FZ259" i="6"/>
  <c r="GA259" i="6"/>
  <c r="GB259" i="6"/>
  <c r="GC259" i="6"/>
  <c r="FS259" i="6"/>
  <c r="GE255" i="6"/>
  <c r="FS249" i="6"/>
  <c r="GE244" i="6"/>
  <c r="GE232" i="6"/>
  <c r="FT249" i="6"/>
  <c r="FU249" i="6"/>
  <c r="FV249" i="6"/>
  <c r="FW249" i="6"/>
  <c r="FX249" i="6"/>
  <c r="FY249" i="6"/>
  <c r="FZ249" i="6"/>
  <c r="GA249" i="6"/>
  <c r="GB249" i="6"/>
  <c r="GC249" i="6"/>
  <c r="GE246" i="6"/>
  <c r="GE247" i="6"/>
  <c r="GE248" i="6"/>
  <c r="GE245" i="6"/>
  <c r="GE239" i="6"/>
  <c r="GE240" i="6"/>
  <c r="GE241" i="6"/>
  <c r="GE242" i="6"/>
  <c r="GE243" i="6"/>
  <c r="GE238" i="6"/>
  <c r="GE234" i="6"/>
  <c r="GE235" i="6"/>
  <c r="GE236" i="6"/>
  <c r="GE233" i="6"/>
  <c r="GE229" i="6"/>
  <c r="GE230" i="6"/>
  <c r="GE231" i="6"/>
  <c r="GE228" i="6"/>
  <c r="GE219" i="6"/>
  <c r="GE220" i="6"/>
  <c r="GE221" i="6"/>
  <c r="GE222" i="6"/>
  <c r="GE223" i="6"/>
  <c r="GE224" i="6"/>
  <c r="GE226" i="6"/>
  <c r="FS270" i="6"/>
  <c r="FT270" i="6"/>
  <c r="FU270" i="6"/>
  <c r="FV270" i="6"/>
  <c r="FW270" i="6"/>
  <c r="FX270" i="6"/>
  <c r="FY270" i="6"/>
  <c r="FZ270" i="6"/>
  <c r="GA270" i="6"/>
  <c r="GB270" i="6"/>
  <c r="GC270" i="6"/>
  <c r="FR270" i="6"/>
  <c r="GE261" i="6"/>
  <c r="GE395" i="6"/>
  <c r="GE396" i="6"/>
  <c r="GE394" i="6"/>
  <c r="FR393" i="6"/>
  <c r="FS393" i="6"/>
  <c r="FT393" i="6"/>
  <c r="FU393" i="6"/>
  <c r="FV393" i="6"/>
  <c r="FW393" i="6"/>
  <c r="FX393" i="6"/>
  <c r="FY393" i="6"/>
  <c r="FZ393" i="6"/>
  <c r="GA393" i="6"/>
  <c r="GB393" i="6"/>
  <c r="GC393" i="6"/>
  <c r="GE392" i="6"/>
  <c r="GE391" i="6"/>
  <c r="GE390" i="6"/>
  <c r="FS389" i="6"/>
  <c r="FT389" i="6"/>
  <c r="FU389" i="6"/>
  <c r="FV389" i="6"/>
  <c r="FV385" i="6" s="1"/>
  <c r="FW389" i="6"/>
  <c r="FX389" i="6"/>
  <c r="FY389" i="6"/>
  <c r="FZ389" i="6"/>
  <c r="FZ385" i="6" s="1"/>
  <c r="GA389" i="6"/>
  <c r="GB389" i="6"/>
  <c r="GC389" i="6"/>
  <c r="FR389" i="6"/>
  <c r="GE389" i="6" s="1"/>
  <c r="FS386" i="6"/>
  <c r="FS385" i="6" s="1"/>
  <c r="FT386" i="6"/>
  <c r="FT385" i="6" s="1"/>
  <c r="FU386" i="6"/>
  <c r="FU385" i="6" s="1"/>
  <c r="FV386" i="6"/>
  <c r="FW386" i="6"/>
  <c r="FW385" i="6" s="1"/>
  <c r="FX386" i="6"/>
  <c r="FX385" i="6" s="1"/>
  <c r="FY386" i="6"/>
  <c r="FY385" i="6" s="1"/>
  <c r="FZ386" i="6"/>
  <c r="GA386" i="6"/>
  <c r="GA385" i="6" s="1"/>
  <c r="GB386" i="6"/>
  <c r="GB385" i="6" s="1"/>
  <c r="GC386" i="6"/>
  <c r="GC385" i="6" s="1"/>
  <c r="FR386" i="6"/>
  <c r="GE386" i="6" s="1"/>
  <c r="GE388" i="6"/>
  <c r="GE387" i="6"/>
  <c r="FS378" i="6"/>
  <c r="FT378" i="6"/>
  <c r="FU378" i="6"/>
  <c r="FV378" i="6"/>
  <c r="FW378" i="6"/>
  <c r="FX378" i="6"/>
  <c r="FY378" i="6"/>
  <c r="FZ378" i="6"/>
  <c r="GA378" i="6"/>
  <c r="GB378" i="6"/>
  <c r="GC378" i="6"/>
  <c r="FR378" i="6"/>
  <c r="GE382" i="6"/>
  <c r="GE380" i="6"/>
  <c r="GE381" i="6"/>
  <c r="GE383" i="6"/>
  <c r="GE384" i="6"/>
  <c r="GE379" i="6"/>
  <c r="GE368" i="6"/>
  <c r="GE370" i="6"/>
  <c r="GE371" i="6"/>
  <c r="GE372" i="6"/>
  <c r="GE373" i="6"/>
  <c r="GE374" i="6"/>
  <c r="GE375" i="6"/>
  <c r="GE376" i="6"/>
  <c r="GE377" i="6"/>
  <c r="GE369" i="6"/>
  <c r="GE363" i="6"/>
  <c r="GE364" i="6"/>
  <c r="GE365" i="6"/>
  <c r="GE366" i="6"/>
  <c r="GE367" i="6"/>
  <c r="FR362" i="6"/>
  <c r="FS362" i="6" s="1"/>
  <c r="GE353" i="6"/>
  <c r="GE354" i="6"/>
  <c r="GE355" i="6"/>
  <c r="GE356" i="6"/>
  <c r="GE357" i="6"/>
  <c r="GE358" i="6"/>
  <c r="GE359" i="6"/>
  <c r="GE360" i="6"/>
  <c r="GE352" i="6"/>
  <c r="FS351" i="6"/>
  <c r="FT351" i="6"/>
  <c r="FU351" i="6"/>
  <c r="FV351" i="6"/>
  <c r="FW351" i="6"/>
  <c r="FX351" i="6"/>
  <c r="FY351" i="6"/>
  <c r="FZ351" i="6"/>
  <c r="GA351" i="6"/>
  <c r="GB351" i="6"/>
  <c r="GC351" i="6"/>
  <c r="FR351" i="6"/>
  <c r="FS346" i="6"/>
  <c r="FT346" i="6"/>
  <c r="FU346" i="6"/>
  <c r="FV346" i="6"/>
  <c r="FW346" i="6"/>
  <c r="FX346" i="6"/>
  <c r="FY346" i="6"/>
  <c r="FZ346" i="6"/>
  <c r="GA346" i="6"/>
  <c r="GB346" i="6"/>
  <c r="GC346" i="6"/>
  <c r="FR346" i="6"/>
  <c r="GE348" i="6"/>
  <c r="GE349" i="6"/>
  <c r="GE347" i="6"/>
  <c r="FS344" i="6"/>
  <c r="FT344" i="6"/>
  <c r="FU344" i="6"/>
  <c r="FV344" i="6"/>
  <c r="FW344" i="6"/>
  <c r="FX344" i="6"/>
  <c r="FY344" i="6"/>
  <c r="FZ344" i="6"/>
  <c r="GA344" i="6"/>
  <c r="GB344" i="6"/>
  <c r="GC344" i="6"/>
  <c r="FR344" i="6"/>
  <c r="GE344" i="6" s="1"/>
  <c r="GE345" i="6"/>
  <c r="FS336" i="6"/>
  <c r="FT336" i="6"/>
  <c r="FU336" i="6"/>
  <c r="FU320" i="6" s="1"/>
  <c r="FV336" i="6"/>
  <c r="FW336" i="6"/>
  <c r="FX336" i="6"/>
  <c r="FY336" i="6"/>
  <c r="FY320" i="6" s="1"/>
  <c r="FZ336" i="6"/>
  <c r="GA336" i="6"/>
  <c r="GB336" i="6"/>
  <c r="GC336" i="6"/>
  <c r="GC320" i="6" s="1"/>
  <c r="FR336" i="6"/>
  <c r="GE338" i="6"/>
  <c r="GE339" i="6"/>
  <c r="GE340" i="6"/>
  <c r="GE341" i="6"/>
  <c r="GE342" i="6"/>
  <c r="GE343" i="6"/>
  <c r="GE337" i="6"/>
  <c r="FS330" i="6"/>
  <c r="FT330" i="6"/>
  <c r="FU330" i="6"/>
  <c r="FV330" i="6"/>
  <c r="FW330" i="6"/>
  <c r="FX330" i="6"/>
  <c r="FY330" i="6"/>
  <c r="FZ330" i="6"/>
  <c r="GA330" i="6"/>
  <c r="GB330" i="6"/>
  <c r="GC330" i="6"/>
  <c r="FR330" i="6"/>
  <c r="GE330" i="6" s="1"/>
  <c r="GE332" i="6"/>
  <c r="GE333" i="6"/>
  <c r="GE334" i="6"/>
  <c r="GE335" i="6"/>
  <c r="GE331" i="6"/>
  <c r="FR321" i="6"/>
  <c r="FR320" i="6" s="1"/>
  <c r="GE320" i="6" s="1"/>
  <c r="FS321" i="6"/>
  <c r="FS320" i="6" s="1"/>
  <c r="FT321" i="6"/>
  <c r="FT320" i="6" s="1"/>
  <c r="FU321" i="6"/>
  <c r="FV321" i="6"/>
  <c r="FV320" i="6" s="1"/>
  <c r="FW321" i="6"/>
  <c r="FW320" i="6" s="1"/>
  <c r="FX321" i="6"/>
  <c r="FX320" i="6" s="1"/>
  <c r="FY321" i="6"/>
  <c r="FZ321" i="6"/>
  <c r="FZ320" i="6" s="1"/>
  <c r="GA321" i="6"/>
  <c r="GA320" i="6" s="1"/>
  <c r="GB321" i="6"/>
  <c r="GB320" i="6" s="1"/>
  <c r="GC321" i="6"/>
  <c r="GE329" i="6"/>
  <c r="GE323" i="6"/>
  <c r="GE324" i="6"/>
  <c r="GE325" i="6"/>
  <c r="GE326" i="6"/>
  <c r="GE327" i="6"/>
  <c r="GE328" i="6"/>
  <c r="GE322" i="6"/>
  <c r="GE312" i="6"/>
  <c r="GE313" i="6"/>
  <c r="GE314" i="6"/>
  <c r="GE315" i="6"/>
  <c r="GE316" i="6"/>
  <c r="GE317" i="6"/>
  <c r="GE318" i="6"/>
  <c r="GE319" i="6"/>
  <c r="GE311" i="6"/>
  <c r="FS310" i="6"/>
  <c r="FT310" i="6"/>
  <c r="FU310" i="6"/>
  <c r="FV310" i="6"/>
  <c r="FW310" i="6"/>
  <c r="FX310" i="6"/>
  <c r="FY310" i="6"/>
  <c r="FZ310" i="6"/>
  <c r="GA310" i="6"/>
  <c r="GB310" i="6"/>
  <c r="GC310" i="6"/>
  <c r="FR310" i="6"/>
  <c r="GE308" i="6"/>
  <c r="GE309" i="6"/>
  <c r="GE307" i="6"/>
  <c r="FS306" i="6"/>
  <c r="FT306" i="6"/>
  <c r="FU306" i="6"/>
  <c r="FV306" i="6"/>
  <c r="FW306" i="6"/>
  <c r="FX306" i="6"/>
  <c r="FY306" i="6"/>
  <c r="FZ306" i="6"/>
  <c r="GA306" i="6"/>
  <c r="GB306" i="6"/>
  <c r="GC306" i="6"/>
  <c r="FR306" i="6"/>
  <c r="GE305" i="6"/>
  <c r="GE304" i="6"/>
  <c r="GE303" i="6"/>
  <c r="FS302" i="6"/>
  <c r="FT302" i="6"/>
  <c r="FU302" i="6"/>
  <c r="FV302" i="6"/>
  <c r="FW302" i="6"/>
  <c r="FX302" i="6"/>
  <c r="FY302" i="6"/>
  <c r="FZ302" i="6"/>
  <c r="GA302" i="6"/>
  <c r="GB302" i="6"/>
  <c r="GC302" i="6"/>
  <c r="FR302" i="6"/>
  <c r="GE302" i="6" s="1"/>
  <c r="GE301" i="6"/>
  <c r="GE300" i="6"/>
  <c r="FS299" i="6"/>
  <c r="FT299" i="6"/>
  <c r="FU299" i="6"/>
  <c r="FV299" i="6"/>
  <c r="FW299" i="6"/>
  <c r="FX299" i="6"/>
  <c r="FY299" i="6"/>
  <c r="FZ299" i="6"/>
  <c r="GA299" i="6"/>
  <c r="GB299" i="6"/>
  <c r="GC299" i="6"/>
  <c r="FR299" i="6"/>
  <c r="GE297" i="6"/>
  <c r="GE298" i="6"/>
  <c r="GE296" i="6"/>
  <c r="FS295" i="6"/>
  <c r="FT295" i="6"/>
  <c r="FU295" i="6"/>
  <c r="FV295" i="6"/>
  <c r="FW295" i="6"/>
  <c r="FX295" i="6"/>
  <c r="FY295" i="6"/>
  <c r="FZ295" i="6"/>
  <c r="GA295" i="6"/>
  <c r="GB295" i="6"/>
  <c r="GC295" i="6"/>
  <c r="FR295" i="6"/>
  <c r="GE287" i="6"/>
  <c r="GE288" i="6"/>
  <c r="GE289" i="6"/>
  <c r="GE290" i="6"/>
  <c r="GE291" i="6"/>
  <c r="GE292" i="6"/>
  <c r="GE293" i="6"/>
  <c r="GE294" i="6"/>
  <c r="GE286" i="6"/>
  <c r="FS285" i="6"/>
  <c r="FT285" i="6"/>
  <c r="FU285" i="6"/>
  <c r="FV285" i="6"/>
  <c r="FW285" i="6"/>
  <c r="FX285" i="6"/>
  <c r="FY285" i="6"/>
  <c r="FZ285" i="6"/>
  <c r="GA285" i="6"/>
  <c r="GB285" i="6"/>
  <c r="GC285" i="6"/>
  <c r="FR285" i="6"/>
  <c r="GE280" i="6"/>
  <c r="GE281" i="6"/>
  <c r="GE282" i="6"/>
  <c r="GE283" i="6"/>
  <c r="GE284" i="6"/>
  <c r="GE279" i="6"/>
  <c r="FS278" i="6"/>
  <c r="FT278" i="6"/>
  <c r="FU278" i="6"/>
  <c r="FV278" i="6"/>
  <c r="FW278" i="6"/>
  <c r="FX278" i="6"/>
  <c r="FY278" i="6"/>
  <c r="FZ278" i="6"/>
  <c r="GA278" i="6"/>
  <c r="GB278" i="6"/>
  <c r="GC278" i="6"/>
  <c r="FR278" i="6"/>
  <c r="GE278" i="6" s="1"/>
  <c r="GE272" i="6"/>
  <c r="GE273" i="6"/>
  <c r="GE274" i="6"/>
  <c r="GE275" i="6"/>
  <c r="GE276" i="6"/>
  <c r="GE277" i="6"/>
  <c r="GE271" i="6"/>
  <c r="GE266" i="6"/>
  <c r="GE267" i="6"/>
  <c r="GE268" i="6"/>
  <c r="GE269" i="6"/>
  <c r="GE265" i="6"/>
  <c r="FS264" i="6"/>
  <c r="FT264" i="6"/>
  <c r="FU264" i="6"/>
  <c r="FV264" i="6"/>
  <c r="FW264" i="6"/>
  <c r="FX264" i="6"/>
  <c r="FY264" i="6"/>
  <c r="FZ264" i="6"/>
  <c r="GA264" i="6"/>
  <c r="GB264" i="6"/>
  <c r="GC264" i="6"/>
  <c r="FR264" i="6"/>
  <c r="GE264" i="6" s="1"/>
  <c r="FR385" i="6" l="1"/>
  <c r="GE385" i="6" s="1"/>
  <c r="GE346" i="6"/>
  <c r="GE378" i="6"/>
  <c r="FR361" i="6"/>
  <c r="GE270" i="6"/>
  <c r="GE249" i="6"/>
  <c r="GE351" i="6"/>
  <c r="GE259" i="6"/>
  <c r="GE336" i="6"/>
  <c r="GE237" i="6"/>
  <c r="GE227" i="6"/>
  <c r="GE218" i="6"/>
  <c r="GE393" i="6"/>
  <c r="FT362" i="6"/>
  <c r="FS361" i="6"/>
  <c r="FS350" i="6" s="1"/>
  <c r="FU362" i="6"/>
  <c r="FU361" i="6" s="1"/>
  <c r="FU350" i="6" s="1"/>
  <c r="GE321" i="6"/>
  <c r="GE285" i="6"/>
  <c r="GE299" i="6"/>
  <c r="GE310" i="6"/>
  <c r="GE295" i="6"/>
  <c r="GE306" i="6"/>
  <c r="FT361" i="6" l="1"/>
  <c r="FT350" i="6" s="1"/>
  <c r="FR350" i="6"/>
  <c r="FV362" i="6"/>
  <c r="FV361" i="6" s="1"/>
  <c r="FV350" i="6" s="1"/>
  <c r="FW362" i="6" l="1"/>
  <c r="FX362" i="6" l="1"/>
  <c r="FX361" i="6" s="1"/>
  <c r="FX350" i="6" s="1"/>
  <c r="FY362" i="6"/>
  <c r="FY361" i="6" s="1"/>
  <c r="FY350" i="6" s="1"/>
  <c r="FZ362" i="6"/>
  <c r="FZ361" i="6" s="1"/>
  <c r="FZ350" i="6" s="1"/>
  <c r="FW361" i="6"/>
  <c r="FW350" i="6" l="1"/>
  <c r="GA362" i="6"/>
  <c r="GA361" i="6" s="1"/>
  <c r="GA350" i="6" s="1"/>
  <c r="GB362" i="6"/>
  <c r="GB361" i="6" l="1"/>
  <c r="GB350" i="6" s="1"/>
  <c r="GC362" i="6"/>
  <c r="GE362" i="6" s="1"/>
  <c r="H151" i="19"/>
  <c r="O58" i="11" s="1"/>
  <c r="I151" i="19"/>
  <c r="J151" i="19"/>
  <c r="K151" i="19"/>
  <c r="L151" i="19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B145" i="21"/>
  <c r="A145" i="2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A143" i="21"/>
  <c r="B143" i="21" s="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B133" i="21"/>
  <c r="A133" i="2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B131" i="21"/>
  <c r="A131" i="2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B120" i="21"/>
  <c r="A120" i="2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B118" i="21"/>
  <c r="A118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A114" i="21"/>
  <c r="B114" i="21" s="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B108" i="21"/>
  <c r="A108" i="2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B67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B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B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B64" i="21"/>
  <c r="B63" i="21"/>
  <c r="B62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B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B60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B59" i="21"/>
  <c r="B58" i="21"/>
  <c r="B57" i="21"/>
  <c r="B55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B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B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B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B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B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B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B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B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B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B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B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B43" i="21"/>
  <c r="B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B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B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B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B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B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B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B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B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B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B32" i="21"/>
  <c r="B31" i="21"/>
  <c r="B30" i="21"/>
  <c r="B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B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B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B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B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B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B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B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B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B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B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B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B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B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B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B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B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B12" i="21"/>
  <c r="B11" i="21"/>
  <c r="B10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B7" i="2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61" i="20"/>
  <c r="B161" i="20" s="1"/>
  <c r="R160" i="20"/>
  <c r="Q160" i="20"/>
  <c r="P160" i="20"/>
  <c r="O160" i="20"/>
  <c r="N160" i="20"/>
  <c r="M160" i="20"/>
  <c r="L160" i="20"/>
  <c r="K160" i="20"/>
  <c r="J160" i="20"/>
  <c r="I160" i="20"/>
  <c r="H160" i="20"/>
  <c r="G160" i="20"/>
  <c r="A160" i="20"/>
  <c r="B160" i="20" s="1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A157" i="20"/>
  <c r="B157" i="20" s="1"/>
  <c r="A156" i="20"/>
  <c r="B156" i="20" s="1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A153" i="20"/>
  <c r="B153" i="20" s="1"/>
  <c r="A152" i="20"/>
  <c r="B152" i="20" s="1"/>
  <c r="A151" i="20"/>
  <c r="B151" i="20" s="1"/>
  <c r="A150" i="20"/>
  <c r="B150" i="20" s="1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A147" i="20"/>
  <c r="B147" i="20" s="1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A126" i="20"/>
  <c r="B126" i="20" s="1"/>
  <c r="A125" i="20"/>
  <c r="B125" i="20" s="1"/>
  <c r="A124" i="20"/>
  <c r="B124" i="20" s="1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B123" i="20" s="1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A106" i="20"/>
  <c r="B106" i="20" s="1"/>
  <c r="A105" i="20"/>
  <c r="B105" i="20" s="1"/>
  <c r="T103" i="20"/>
  <c r="S103" i="20"/>
  <c r="T102" i="20"/>
  <c r="B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B66" i="20"/>
  <c r="R65" i="20"/>
  <c r="Q65" i="20"/>
  <c r="P65" i="20"/>
  <c r="O65" i="20"/>
  <c r="N65" i="20"/>
  <c r="M65" i="20"/>
  <c r="L65" i="20"/>
  <c r="K65" i="20"/>
  <c r="J65" i="20"/>
  <c r="I65" i="20"/>
  <c r="H65" i="20"/>
  <c r="R63" i="11" s="1"/>
  <c r="G65" i="20"/>
  <c r="B65" i="20"/>
  <c r="R64" i="20"/>
  <c r="Q64" i="20"/>
  <c r="P64" i="20"/>
  <c r="O64" i="20"/>
  <c r="N64" i="20"/>
  <c r="M64" i="20"/>
  <c r="L64" i="20"/>
  <c r="K64" i="20"/>
  <c r="J64" i="20"/>
  <c r="I64" i="20"/>
  <c r="H64" i="20"/>
  <c r="R62" i="11" s="1"/>
  <c r="G64" i="20"/>
  <c r="K62" i="11" s="1"/>
  <c r="B64" i="20"/>
  <c r="R63" i="20"/>
  <c r="Q63" i="20"/>
  <c r="P63" i="20"/>
  <c r="O63" i="20"/>
  <c r="N63" i="20"/>
  <c r="M63" i="20"/>
  <c r="L63" i="20"/>
  <c r="K63" i="20"/>
  <c r="J63" i="20"/>
  <c r="I63" i="20"/>
  <c r="H63" i="20"/>
  <c r="R61" i="11" s="1"/>
  <c r="G63" i="20"/>
  <c r="B63" i="20"/>
  <c r="B62" i="20"/>
  <c r="B61" i="20"/>
  <c r="R60" i="20"/>
  <c r="Q60" i="20"/>
  <c r="P60" i="20"/>
  <c r="O60" i="20"/>
  <c r="N60" i="20"/>
  <c r="M60" i="20"/>
  <c r="L60" i="20"/>
  <c r="K60" i="20"/>
  <c r="J60" i="20"/>
  <c r="I60" i="20"/>
  <c r="H60" i="20"/>
  <c r="R58" i="11" s="1"/>
  <c r="G60" i="20"/>
  <c r="B60" i="20"/>
  <c r="R59" i="20"/>
  <c r="Q59" i="20"/>
  <c r="P59" i="20"/>
  <c r="O59" i="20"/>
  <c r="N59" i="20"/>
  <c r="M59" i="20"/>
  <c r="L59" i="20"/>
  <c r="K59" i="20"/>
  <c r="J59" i="20"/>
  <c r="I59" i="20"/>
  <c r="H59" i="20"/>
  <c r="R57" i="11" s="1"/>
  <c r="G59" i="20"/>
  <c r="B59" i="20"/>
  <c r="R58" i="20"/>
  <c r="Q58" i="20"/>
  <c r="P58" i="20"/>
  <c r="O58" i="20"/>
  <c r="N58" i="20"/>
  <c r="M58" i="20"/>
  <c r="L58" i="20"/>
  <c r="K58" i="20"/>
  <c r="J58" i="20"/>
  <c r="I58" i="20"/>
  <c r="H58" i="20"/>
  <c r="R56" i="11" s="1"/>
  <c r="G58" i="20"/>
  <c r="B58" i="20"/>
  <c r="B57" i="20"/>
  <c r="B56" i="20"/>
  <c r="B55" i="20"/>
  <c r="R54" i="20"/>
  <c r="Q54" i="20"/>
  <c r="P54" i="20"/>
  <c r="O54" i="20"/>
  <c r="N54" i="20"/>
  <c r="M54" i="20"/>
  <c r="L54" i="20"/>
  <c r="K54" i="20"/>
  <c r="J54" i="20"/>
  <c r="I54" i="20"/>
  <c r="H54" i="20"/>
  <c r="R52" i="11" s="1"/>
  <c r="G54" i="20"/>
  <c r="B54" i="20"/>
  <c r="R53" i="20"/>
  <c r="Q53" i="20"/>
  <c r="P53" i="20"/>
  <c r="O53" i="20"/>
  <c r="N53" i="20"/>
  <c r="M53" i="20"/>
  <c r="L53" i="20"/>
  <c r="K53" i="20"/>
  <c r="J53" i="20"/>
  <c r="I53" i="20"/>
  <c r="H53" i="20"/>
  <c r="R51" i="11" s="1"/>
  <c r="G53" i="20"/>
  <c r="B53" i="20"/>
  <c r="R52" i="20"/>
  <c r="Q52" i="20"/>
  <c r="P52" i="20"/>
  <c r="O52" i="20"/>
  <c r="N52" i="20"/>
  <c r="M52" i="20"/>
  <c r="L52" i="20"/>
  <c r="K52" i="20"/>
  <c r="J52" i="20"/>
  <c r="I52" i="20"/>
  <c r="H52" i="20"/>
  <c r="R50" i="11" s="1"/>
  <c r="G52" i="20"/>
  <c r="B52" i="20"/>
  <c r="R51" i="20"/>
  <c r="Q51" i="20"/>
  <c r="P51" i="20"/>
  <c r="O51" i="20"/>
  <c r="N51" i="20"/>
  <c r="M51" i="20"/>
  <c r="L51" i="20"/>
  <c r="K51" i="20"/>
  <c r="J51" i="20"/>
  <c r="I51" i="20"/>
  <c r="H51" i="20"/>
  <c r="R49" i="11" s="1"/>
  <c r="G51" i="20"/>
  <c r="B51" i="20"/>
  <c r="R50" i="20"/>
  <c r="Q50" i="20"/>
  <c r="P50" i="20"/>
  <c r="O50" i="20"/>
  <c r="N50" i="20"/>
  <c r="M50" i="20"/>
  <c r="L50" i="20"/>
  <c r="K50" i="20"/>
  <c r="J50" i="20"/>
  <c r="I50" i="20"/>
  <c r="H50" i="20"/>
  <c r="R48" i="11" s="1"/>
  <c r="G50" i="20"/>
  <c r="B50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B49" i="20"/>
  <c r="R48" i="20"/>
  <c r="Q48" i="20"/>
  <c r="P48" i="20"/>
  <c r="O48" i="20"/>
  <c r="N48" i="20"/>
  <c r="M48" i="20"/>
  <c r="L48" i="20"/>
  <c r="K48" i="20"/>
  <c r="J48" i="20"/>
  <c r="I48" i="20"/>
  <c r="H48" i="20"/>
  <c r="R46" i="11" s="1"/>
  <c r="G48" i="20"/>
  <c r="B48" i="20"/>
  <c r="R47" i="20"/>
  <c r="Q47" i="20"/>
  <c r="P47" i="20"/>
  <c r="O47" i="20"/>
  <c r="N47" i="20"/>
  <c r="M47" i="20"/>
  <c r="L47" i="20"/>
  <c r="K47" i="20"/>
  <c r="J47" i="20"/>
  <c r="I47" i="20"/>
  <c r="G47" i="20"/>
  <c r="K45" i="11" s="1"/>
  <c r="B47" i="20"/>
  <c r="R46" i="20"/>
  <c r="Q46" i="20"/>
  <c r="P46" i="20"/>
  <c r="O46" i="20"/>
  <c r="N46" i="20"/>
  <c r="M46" i="20"/>
  <c r="L46" i="20"/>
  <c r="K46" i="20"/>
  <c r="J46" i="20"/>
  <c r="I46" i="20"/>
  <c r="H46" i="20"/>
  <c r="R44" i="11" s="1"/>
  <c r="G46" i="20"/>
  <c r="B46" i="20"/>
  <c r="R45" i="20"/>
  <c r="Q45" i="20"/>
  <c r="P45" i="20"/>
  <c r="O45" i="20"/>
  <c r="N45" i="20"/>
  <c r="M45" i="20"/>
  <c r="L45" i="20"/>
  <c r="K45" i="20"/>
  <c r="J45" i="20"/>
  <c r="I45" i="20"/>
  <c r="H45" i="20"/>
  <c r="R43" i="11" s="1"/>
  <c r="G45" i="20"/>
  <c r="B45" i="20"/>
  <c r="R44" i="20"/>
  <c r="Q44" i="20"/>
  <c r="P44" i="20"/>
  <c r="O44" i="20"/>
  <c r="N44" i="20"/>
  <c r="M44" i="20"/>
  <c r="L44" i="20"/>
  <c r="K44" i="20"/>
  <c r="J44" i="20"/>
  <c r="I44" i="20"/>
  <c r="H44" i="20"/>
  <c r="R42" i="11" s="1"/>
  <c r="G44" i="20"/>
  <c r="B44" i="20"/>
  <c r="R43" i="20"/>
  <c r="Q43" i="20"/>
  <c r="P43" i="20"/>
  <c r="O43" i="20"/>
  <c r="N43" i="20"/>
  <c r="M43" i="20"/>
  <c r="L43" i="20"/>
  <c r="K43" i="20"/>
  <c r="J43" i="20"/>
  <c r="I43" i="20"/>
  <c r="H43" i="20"/>
  <c r="R41" i="11" s="1"/>
  <c r="G43" i="20"/>
  <c r="B43" i="20"/>
  <c r="B42" i="20"/>
  <c r="R41" i="20"/>
  <c r="Q41" i="20"/>
  <c r="P41" i="20"/>
  <c r="O41" i="20"/>
  <c r="N41" i="20"/>
  <c r="M41" i="20"/>
  <c r="L41" i="20"/>
  <c r="K41" i="20"/>
  <c r="J41" i="20"/>
  <c r="I41" i="20"/>
  <c r="H41" i="20"/>
  <c r="R47" i="11" s="1"/>
  <c r="G41" i="20"/>
  <c r="B41" i="20"/>
  <c r="R40" i="20"/>
  <c r="Q40" i="20"/>
  <c r="P40" i="20"/>
  <c r="O40" i="20"/>
  <c r="N40" i="20"/>
  <c r="M40" i="20"/>
  <c r="L40" i="20"/>
  <c r="K40" i="20"/>
  <c r="J40" i="20"/>
  <c r="I40" i="20"/>
  <c r="H40" i="20"/>
  <c r="R39" i="11" s="1"/>
  <c r="G40" i="20"/>
  <c r="B40" i="20"/>
  <c r="R39" i="20"/>
  <c r="Q39" i="20"/>
  <c r="P39" i="20"/>
  <c r="O39" i="20"/>
  <c r="N39" i="20"/>
  <c r="M39" i="20"/>
  <c r="L39" i="20"/>
  <c r="K39" i="20"/>
  <c r="J39" i="20"/>
  <c r="I39" i="20"/>
  <c r="H39" i="20"/>
  <c r="R38" i="11" s="1"/>
  <c r="G39" i="20"/>
  <c r="B39" i="20"/>
  <c r="R38" i="20"/>
  <c r="Q38" i="20"/>
  <c r="P38" i="20"/>
  <c r="O38" i="20"/>
  <c r="N38" i="20"/>
  <c r="M38" i="20"/>
  <c r="L38" i="20"/>
  <c r="K38" i="20"/>
  <c r="J38" i="20"/>
  <c r="I38" i="20"/>
  <c r="H38" i="20"/>
  <c r="R37" i="11" s="1"/>
  <c r="G38" i="20"/>
  <c r="B38" i="20"/>
  <c r="R37" i="20"/>
  <c r="Q37" i="20"/>
  <c r="P37" i="20"/>
  <c r="O37" i="20"/>
  <c r="N37" i="20"/>
  <c r="M37" i="20"/>
  <c r="L37" i="20"/>
  <c r="K37" i="20"/>
  <c r="J37" i="20"/>
  <c r="I37" i="20"/>
  <c r="H37" i="20"/>
  <c r="R36" i="11" s="1"/>
  <c r="G37" i="20"/>
  <c r="B37" i="20"/>
  <c r="R36" i="20"/>
  <c r="Q36" i="20"/>
  <c r="P36" i="20"/>
  <c r="O36" i="20"/>
  <c r="N36" i="20"/>
  <c r="M36" i="20"/>
  <c r="L36" i="20"/>
  <c r="K36" i="20"/>
  <c r="J36" i="20"/>
  <c r="I36" i="20"/>
  <c r="H36" i="20"/>
  <c r="R35" i="11" s="1"/>
  <c r="G36" i="20"/>
  <c r="B36" i="20"/>
  <c r="R35" i="20"/>
  <c r="Q35" i="20"/>
  <c r="P35" i="20"/>
  <c r="O35" i="20"/>
  <c r="N35" i="20"/>
  <c r="M35" i="20"/>
  <c r="L35" i="20"/>
  <c r="K35" i="20"/>
  <c r="J35" i="20"/>
  <c r="I35" i="20"/>
  <c r="H35" i="20"/>
  <c r="R34" i="11" s="1"/>
  <c r="G35" i="20"/>
  <c r="B35" i="20"/>
  <c r="R34" i="20"/>
  <c r="Q34" i="20"/>
  <c r="P34" i="20"/>
  <c r="O34" i="20"/>
  <c r="N34" i="20"/>
  <c r="M34" i="20"/>
  <c r="L34" i="20"/>
  <c r="K34" i="20"/>
  <c r="J34" i="20"/>
  <c r="I34" i="20"/>
  <c r="H34" i="20"/>
  <c r="R33" i="11" s="1"/>
  <c r="G34" i="20"/>
  <c r="B34" i="20"/>
  <c r="R33" i="20"/>
  <c r="Q33" i="20"/>
  <c r="P33" i="20"/>
  <c r="O33" i="20"/>
  <c r="N33" i="20"/>
  <c r="M33" i="20"/>
  <c r="L33" i="20"/>
  <c r="K33" i="20"/>
  <c r="J33" i="20"/>
  <c r="I33" i="20"/>
  <c r="H33" i="20"/>
  <c r="R32" i="11" s="1"/>
  <c r="G33" i="20"/>
  <c r="B33" i="20"/>
  <c r="R32" i="20"/>
  <c r="Q32" i="20"/>
  <c r="P32" i="20"/>
  <c r="O32" i="20"/>
  <c r="N32" i="20"/>
  <c r="M32" i="20"/>
  <c r="L32" i="20"/>
  <c r="K32" i="20"/>
  <c r="J32" i="20"/>
  <c r="I32" i="20"/>
  <c r="H32" i="20"/>
  <c r="R31" i="11" s="1"/>
  <c r="G32" i="20"/>
  <c r="B32" i="20"/>
  <c r="B31" i="20"/>
  <c r="B30" i="20"/>
  <c r="B29" i="20"/>
  <c r="R28" i="20"/>
  <c r="Q28" i="20"/>
  <c r="P28" i="20"/>
  <c r="O28" i="20"/>
  <c r="N28" i="20"/>
  <c r="M28" i="20"/>
  <c r="L28" i="20"/>
  <c r="K28" i="20"/>
  <c r="J28" i="20"/>
  <c r="I28" i="20"/>
  <c r="H28" i="20"/>
  <c r="R28" i="11" s="1"/>
  <c r="G28" i="20"/>
  <c r="B28" i="20"/>
  <c r="R27" i="20"/>
  <c r="Q27" i="20"/>
  <c r="P27" i="20"/>
  <c r="O27" i="20"/>
  <c r="N27" i="20"/>
  <c r="M27" i="20"/>
  <c r="L27" i="20"/>
  <c r="K27" i="20"/>
  <c r="J27" i="20"/>
  <c r="I27" i="20"/>
  <c r="H27" i="20"/>
  <c r="R27" i="11" s="1"/>
  <c r="G27" i="20"/>
  <c r="B27" i="20"/>
  <c r="R26" i="20"/>
  <c r="Q26" i="20"/>
  <c r="P26" i="20"/>
  <c r="O26" i="20"/>
  <c r="N26" i="20"/>
  <c r="M26" i="20"/>
  <c r="L26" i="20"/>
  <c r="K26" i="20"/>
  <c r="J26" i="20"/>
  <c r="I26" i="20"/>
  <c r="H26" i="20"/>
  <c r="R26" i="11" s="1"/>
  <c r="G26" i="20"/>
  <c r="B26" i="20"/>
  <c r="R25" i="20"/>
  <c r="Q25" i="20"/>
  <c r="P25" i="20"/>
  <c r="O25" i="20"/>
  <c r="N25" i="20"/>
  <c r="M25" i="20"/>
  <c r="L25" i="20"/>
  <c r="K25" i="20"/>
  <c r="J25" i="20"/>
  <c r="I25" i="20"/>
  <c r="H25" i="20"/>
  <c r="R25" i="11" s="1"/>
  <c r="G25" i="20"/>
  <c r="B25" i="20"/>
  <c r="R24" i="20"/>
  <c r="Q24" i="20"/>
  <c r="P24" i="20"/>
  <c r="O24" i="20"/>
  <c r="N24" i="20"/>
  <c r="M24" i="20"/>
  <c r="L24" i="20"/>
  <c r="K24" i="20"/>
  <c r="J24" i="20"/>
  <c r="I24" i="20"/>
  <c r="H24" i="20"/>
  <c r="R24" i="11" s="1"/>
  <c r="G24" i="20"/>
  <c r="B24" i="20"/>
  <c r="R23" i="20"/>
  <c r="Q23" i="20"/>
  <c r="P23" i="20"/>
  <c r="O23" i="20"/>
  <c r="N23" i="20"/>
  <c r="M23" i="20"/>
  <c r="L23" i="20"/>
  <c r="K23" i="20"/>
  <c r="J23" i="20"/>
  <c r="I23" i="20"/>
  <c r="H23" i="20"/>
  <c r="R23" i="11" s="1"/>
  <c r="G23" i="20"/>
  <c r="B23" i="20"/>
  <c r="R22" i="20"/>
  <c r="Q22" i="20"/>
  <c r="P22" i="20"/>
  <c r="O22" i="20"/>
  <c r="N22" i="20"/>
  <c r="M22" i="20"/>
  <c r="L22" i="20"/>
  <c r="K22" i="20"/>
  <c r="J22" i="20"/>
  <c r="I22" i="20"/>
  <c r="H22" i="20"/>
  <c r="R22" i="11" s="1"/>
  <c r="G22" i="20"/>
  <c r="B22" i="20"/>
  <c r="R21" i="20"/>
  <c r="Q21" i="20"/>
  <c r="P21" i="20"/>
  <c r="O21" i="20"/>
  <c r="N21" i="20"/>
  <c r="M21" i="20"/>
  <c r="L21" i="20"/>
  <c r="K21" i="20"/>
  <c r="J21" i="20"/>
  <c r="I21" i="20"/>
  <c r="H21" i="20"/>
  <c r="R21" i="11" s="1"/>
  <c r="G21" i="20"/>
  <c r="B21" i="20"/>
  <c r="R20" i="20"/>
  <c r="Q20" i="20"/>
  <c r="P20" i="20"/>
  <c r="O20" i="20"/>
  <c r="N20" i="20"/>
  <c r="M20" i="20"/>
  <c r="L20" i="20"/>
  <c r="K20" i="20"/>
  <c r="J20" i="20"/>
  <c r="I20" i="20"/>
  <c r="H20" i="20"/>
  <c r="R20" i="11" s="1"/>
  <c r="G20" i="20"/>
  <c r="B20" i="20"/>
  <c r="R19" i="20"/>
  <c r="Q19" i="20"/>
  <c r="P19" i="20"/>
  <c r="O19" i="20"/>
  <c r="N19" i="20"/>
  <c r="M19" i="20"/>
  <c r="L19" i="20"/>
  <c r="K19" i="20"/>
  <c r="J19" i="20"/>
  <c r="I19" i="20"/>
  <c r="H19" i="20"/>
  <c r="R19" i="11" s="1"/>
  <c r="G19" i="20"/>
  <c r="B19" i="20"/>
  <c r="R18" i="20"/>
  <c r="Q18" i="20"/>
  <c r="P18" i="20"/>
  <c r="O18" i="20"/>
  <c r="N18" i="20"/>
  <c r="M18" i="20"/>
  <c r="L18" i="20"/>
  <c r="K18" i="20"/>
  <c r="J18" i="20"/>
  <c r="I18" i="20"/>
  <c r="H18" i="20"/>
  <c r="R18" i="11" s="1"/>
  <c r="G18" i="20"/>
  <c r="B18" i="20"/>
  <c r="R17" i="20"/>
  <c r="Q17" i="20"/>
  <c r="P17" i="20"/>
  <c r="O17" i="20"/>
  <c r="N17" i="20"/>
  <c r="M17" i="20"/>
  <c r="L17" i="20"/>
  <c r="K17" i="20"/>
  <c r="J17" i="20"/>
  <c r="I17" i="20"/>
  <c r="H17" i="20"/>
  <c r="R17" i="11" s="1"/>
  <c r="G17" i="20"/>
  <c r="B17" i="20"/>
  <c r="R16" i="20"/>
  <c r="Q16" i="20"/>
  <c r="P16" i="20"/>
  <c r="O16" i="20"/>
  <c r="N16" i="20"/>
  <c r="M16" i="20"/>
  <c r="L16" i="20"/>
  <c r="K16" i="20"/>
  <c r="J16" i="20"/>
  <c r="I16" i="20"/>
  <c r="H16" i="20"/>
  <c r="R16" i="11" s="1"/>
  <c r="G16" i="20"/>
  <c r="B16" i="20"/>
  <c r="R15" i="20"/>
  <c r="Q15" i="20"/>
  <c r="P15" i="20"/>
  <c r="O15" i="20"/>
  <c r="N15" i="20"/>
  <c r="M15" i="20"/>
  <c r="L15" i="20"/>
  <c r="K15" i="20"/>
  <c r="J15" i="20"/>
  <c r="I15" i="20"/>
  <c r="H15" i="20"/>
  <c r="R15" i="11" s="1"/>
  <c r="G15" i="20"/>
  <c r="B15" i="20"/>
  <c r="R14" i="20"/>
  <c r="Q14" i="20"/>
  <c r="P14" i="20"/>
  <c r="O14" i="20"/>
  <c r="N14" i="20"/>
  <c r="M14" i="20"/>
  <c r="L14" i="20"/>
  <c r="K14" i="20"/>
  <c r="J14" i="20"/>
  <c r="I14" i="20"/>
  <c r="H14" i="20"/>
  <c r="R14" i="11" s="1"/>
  <c r="G14" i="20"/>
  <c r="B14" i="20"/>
  <c r="R13" i="20"/>
  <c r="Q13" i="20"/>
  <c r="P13" i="20"/>
  <c r="O13" i="20"/>
  <c r="N13" i="20"/>
  <c r="M13" i="20"/>
  <c r="L13" i="20"/>
  <c r="K13" i="20"/>
  <c r="J13" i="20"/>
  <c r="I13" i="20"/>
  <c r="H13" i="20"/>
  <c r="R13" i="11" s="1"/>
  <c r="G13" i="20"/>
  <c r="B13" i="20"/>
  <c r="R12" i="20"/>
  <c r="Q12" i="20"/>
  <c r="P12" i="20"/>
  <c r="O12" i="20"/>
  <c r="N12" i="20"/>
  <c r="M12" i="20"/>
  <c r="L12" i="20"/>
  <c r="K12" i="20"/>
  <c r="J12" i="20"/>
  <c r="I12" i="20"/>
  <c r="H12" i="20"/>
  <c r="R12" i="11" s="1"/>
  <c r="G12" i="20"/>
  <c r="B12" i="20"/>
  <c r="B11" i="20"/>
  <c r="B10" i="20"/>
  <c r="T9" i="20"/>
  <c r="T104" i="20" s="1"/>
  <c r="S8" i="20"/>
  <c r="R8" i="20"/>
  <c r="R103" i="20" s="1"/>
  <c r="Q8" i="20"/>
  <c r="Q103" i="20" s="1"/>
  <c r="P8" i="20"/>
  <c r="P103" i="20" s="1"/>
  <c r="O8" i="20"/>
  <c r="O103" i="20" s="1"/>
  <c r="N8" i="20"/>
  <c r="N103" i="20" s="1"/>
  <c r="M8" i="20"/>
  <c r="M103" i="20" s="1"/>
  <c r="L8" i="20"/>
  <c r="L103" i="20" s="1"/>
  <c r="K8" i="20"/>
  <c r="K103" i="20" s="1"/>
  <c r="J8" i="20"/>
  <c r="J103" i="20" s="1"/>
  <c r="I8" i="20"/>
  <c r="I103" i="20" s="1"/>
  <c r="H8" i="20"/>
  <c r="H103" i="20" s="1"/>
  <c r="G8" i="20"/>
  <c r="G103" i="20" s="1"/>
  <c r="S7" i="20"/>
  <c r="S102" i="20" s="1"/>
  <c r="B7" i="20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K50" i="11" l="1"/>
  <c r="K58" i="11"/>
  <c r="H152" i="20"/>
  <c r="L152" i="20"/>
  <c r="P152" i="20"/>
  <c r="I152" i="21"/>
  <c r="M152" i="21"/>
  <c r="Q152" i="21"/>
  <c r="K14" i="11"/>
  <c r="K18" i="11"/>
  <c r="K22" i="11"/>
  <c r="K26" i="11"/>
  <c r="K33" i="11"/>
  <c r="K37" i="11"/>
  <c r="K44" i="11"/>
  <c r="K49" i="11"/>
  <c r="K57" i="11"/>
  <c r="K63" i="11"/>
  <c r="K15" i="11"/>
  <c r="K19" i="11"/>
  <c r="K23" i="11"/>
  <c r="K27" i="11"/>
  <c r="K34" i="11"/>
  <c r="K38" i="11"/>
  <c r="K41" i="11"/>
  <c r="K46" i="11"/>
  <c r="K12" i="11"/>
  <c r="K16" i="11"/>
  <c r="K20" i="11"/>
  <c r="K24" i="11"/>
  <c r="K28" i="11"/>
  <c r="K31" i="11"/>
  <c r="K35" i="11"/>
  <c r="K39" i="11"/>
  <c r="K42" i="11"/>
  <c r="K51" i="11"/>
  <c r="K13" i="11"/>
  <c r="K17" i="11"/>
  <c r="K21" i="11"/>
  <c r="K25" i="11"/>
  <c r="K32" i="11"/>
  <c r="K36" i="11"/>
  <c r="K47" i="11"/>
  <c r="K43" i="11"/>
  <c r="K48" i="11"/>
  <c r="K52" i="11"/>
  <c r="K56" i="11"/>
  <c r="K61" i="11"/>
  <c r="R58" i="21"/>
  <c r="G152" i="20"/>
  <c r="K152" i="20"/>
  <c r="O152" i="20"/>
  <c r="M58" i="21"/>
  <c r="Q58" i="21"/>
  <c r="J58" i="21"/>
  <c r="N58" i="21"/>
  <c r="H152" i="21"/>
  <c r="L152" i="21"/>
  <c r="P152" i="21"/>
  <c r="N152" i="21"/>
  <c r="P106" i="20"/>
  <c r="P137" i="20"/>
  <c r="P31" i="20"/>
  <c r="J152" i="21"/>
  <c r="Q126" i="20"/>
  <c r="P11" i="21"/>
  <c r="P10" i="21" s="1"/>
  <c r="O42" i="21"/>
  <c r="J57" i="20"/>
  <c r="N57" i="20"/>
  <c r="R57" i="20"/>
  <c r="J114" i="20"/>
  <c r="I126" i="20"/>
  <c r="N152" i="20"/>
  <c r="H31" i="21"/>
  <c r="H107" i="21"/>
  <c r="P107" i="21"/>
  <c r="O107" i="21"/>
  <c r="K127" i="21"/>
  <c r="H138" i="21"/>
  <c r="L138" i="21"/>
  <c r="P138" i="21"/>
  <c r="I31" i="20"/>
  <c r="M31" i="20"/>
  <c r="Q31" i="20"/>
  <c r="L31" i="20"/>
  <c r="K106" i="20"/>
  <c r="S115" i="20"/>
  <c r="T115" i="20" s="1"/>
  <c r="K114" i="20"/>
  <c r="K105" i="20" s="1"/>
  <c r="O114" i="20"/>
  <c r="N114" i="20"/>
  <c r="I114" i="20"/>
  <c r="M114" i="20"/>
  <c r="Q114" i="20"/>
  <c r="P114" i="20"/>
  <c r="P105" i="20" s="1"/>
  <c r="S119" i="20"/>
  <c r="T119" i="20" s="1"/>
  <c r="S123" i="20"/>
  <c r="T123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6" i="20"/>
  <c r="G107" i="21"/>
  <c r="G115" i="21"/>
  <c r="K115" i="21"/>
  <c r="O115" i="21"/>
  <c r="G42" i="20"/>
  <c r="K42" i="20"/>
  <c r="O42" i="20"/>
  <c r="H114" i="20"/>
  <c r="L114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K106" i="21" s="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L10" i="20" s="1"/>
  <c r="P11" i="20"/>
  <c r="P10" i="20" s="1"/>
  <c r="N106" i="20"/>
  <c r="N105" i="20" s="1"/>
  <c r="I127" i="21"/>
  <c r="M127" i="21"/>
  <c r="Q127" i="21"/>
  <c r="H127" i="21"/>
  <c r="P127" i="21"/>
  <c r="R152" i="21"/>
  <c r="H31" i="20"/>
  <c r="R30" i="11" s="1"/>
  <c r="I57" i="20"/>
  <c r="M57" i="20"/>
  <c r="Q57" i="20"/>
  <c r="H57" i="20"/>
  <c r="R55" i="11" s="1"/>
  <c r="L57" i="20"/>
  <c r="P57" i="20"/>
  <c r="H106" i="20"/>
  <c r="L106" i="20"/>
  <c r="S108" i="20"/>
  <c r="T108" i="20" s="1"/>
  <c r="O106" i="20"/>
  <c r="O105" i="20" s="1"/>
  <c r="J106" i="20"/>
  <c r="R106" i="20"/>
  <c r="S112" i="20"/>
  <c r="T112" i="20" s="1"/>
  <c r="R114" i="20"/>
  <c r="H126" i="20"/>
  <c r="L126" i="20"/>
  <c r="L124" i="20" s="1"/>
  <c r="L125" i="20" s="1"/>
  <c r="P126" i="20"/>
  <c r="P124" i="20" s="1"/>
  <c r="P125" i="20" s="1"/>
  <c r="S128" i="20"/>
  <c r="T128" i="20" s="1"/>
  <c r="O126" i="20"/>
  <c r="J126" i="20"/>
  <c r="N126" i="20"/>
  <c r="R126" i="20"/>
  <c r="M126" i="20"/>
  <c r="S132" i="20"/>
  <c r="T132" i="20" s="1"/>
  <c r="S136" i="20"/>
  <c r="T136" i="20" s="1"/>
  <c r="H137" i="20"/>
  <c r="L137" i="20"/>
  <c r="G137" i="20"/>
  <c r="K137" i="20"/>
  <c r="O137" i="20"/>
  <c r="N137" i="20"/>
  <c r="R137" i="20"/>
  <c r="J152" i="20"/>
  <c r="R152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4" i="20"/>
  <c r="T64" i="20" s="1"/>
  <c r="M11" i="20"/>
  <c r="M10" i="20" s="1"/>
  <c r="S35" i="20"/>
  <c r="T35" i="20" s="1"/>
  <c r="S39" i="20"/>
  <c r="T39" i="20" s="1"/>
  <c r="L42" i="20"/>
  <c r="L29" i="20" s="1"/>
  <c r="L30" i="20" s="1"/>
  <c r="S44" i="20"/>
  <c r="T44" i="20" s="1"/>
  <c r="S48" i="20"/>
  <c r="T48" i="20" s="1"/>
  <c r="S52" i="20"/>
  <c r="T52" i="20" s="1"/>
  <c r="G106" i="20"/>
  <c r="S116" i="20"/>
  <c r="T116" i="20" s="1"/>
  <c r="G126" i="20"/>
  <c r="S129" i="20"/>
  <c r="T129" i="20" s="1"/>
  <c r="S133" i="20"/>
  <c r="T133" i="20" s="1"/>
  <c r="I137" i="20"/>
  <c r="I124" i="20" s="1"/>
  <c r="M137" i="20"/>
  <c r="M124" i="20" s="1"/>
  <c r="M125" i="20" s="1"/>
  <c r="Q137" i="20"/>
  <c r="Q124" i="20" s="1"/>
  <c r="Q125" i="20" s="1"/>
  <c r="S140" i="20"/>
  <c r="T140" i="20" s="1"/>
  <c r="S144" i="20"/>
  <c r="T144" i="20" s="1"/>
  <c r="S148" i="20"/>
  <c r="T148" i="20" s="1"/>
  <c r="S149" i="20"/>
  <c r="T149" i="20" s="1"/>
  <c r="J11" i="21"/>
  <c r="J10" i="21" s="1"/>
  <c r="N11" i="21"/>
  <c r="N10" i="21" s="1"/>
  <c r="R11" i="21"/>
  <c r="R10" i="21" s="1"/>
  <c r="S15" i="21"/>
  <c r="T15" i="21" s="1"/>
  <c r="S43" i="20"/>
  <c r="T43" i="20" s="1"/>
  <c r="S51" i="20"/>
  <c r="T51" i="20" s="1"/>
  <c r="S60" i="20"/>
  <c r="T60" i="20" s="1"/>
  <c r="I11" i="20"/>
  <c r="I10" i="20" s="1"/>
  <c r="S14" i="20"/>
  <c r="T14" i="20" s="1"/>
  <c r="S18" i="20"/>
  <c r="T18" i="20" s="1"/>
  <c r="S22" i="20"/>
  <c r="T22" i="20" s="1"/>
  <c r="S26" i="20"/>
  <c r="T26" i="20" s="1"/>
  <c r="H42" i="20"/>
  <c r="P42" i="20"/>
  <c r="S15" i="20"/>
  <c r="T15" i="20" s="1"/>
  <c r="S19" i="20"/>
  <c r="T19" i="20" s="1"/>
  <c r="S23" i="20"/>
  <c r="T23" i="20" s="1"/>
  <c r="S27" i="20"/>
  <c r="T27" i="20" s="1"/>
  <c r="G31" i="20"/>
  <c r="K30" i="11" s="1"/>
  <c r="K31" i="20"/>
  <c r="K29" i="20" s="1"/>
  <c r="K30" i="20" s="1"/>
  <c r="O31" i="20"/>
  <c r="O29" i="20" s="1"/>
  <c r="O30" i="20" s="1"/>
  <c r="J31" i="20"/>
  <c r="N31" i="20"/>
  <c r="R31" i="20"/>
  <c r="S36" i="20"/>
  <c r="T36" i="20" s="1"/>
  <c r="S40" i="20"/>
  <c r="T40" i="20" s="1"/>
  <c r="S45" i="20"/>
  <c r="T45" i="20" s="1"/>
  <c r="S49" i="20"/>
  <c r="T49" i="20" s="1"/>
  <c r="S53" i="20"/>
  <c r="T53" i="20" s="1"/>
  <c r="G57" i="20"/>
  <c r="K57" i="20"/>
  <c r="O57" i="20"/>
  <c r="G114" i="20"/>
  <c r="J137" i="20"/>
  <c r="I152" i="20"/>
  <c r="M152" i="20"/>
  <c r="Q152" i="20"/>
  <c r="S160" i="20"/>
  <c r="T160" i="20" s="1"/>
  <c r="L31" i="21"/>
  <c r="P31" i="21"/>
  <c r="P125" i="21"/>
  <c r="P126" i="21" s="1"/>
  <c r="S21" i="20"/>
  <c r="T21" i="20" s="1"/>
  <c r="S47" i="20"/>
  <c r="T47" i="20" s="1"/>
  <c r="Q11" i="20"/>
  <c r="Q10" i="20" s="1"/>
  <c r="G11" i="20"/>
  <c r="K11" i="20"/>
  <c r="K10" i="20" s="1"/>
  <c r="K55" i="20" s="1"/>
  <c r="K56" i="20" s="1"/>
  <c r="O11" i="20"/>
  <c r="O10" i="20" s="1"/>
  <c r="J11" i="20"/>
  <c r="J10" i="20" s="1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1" i="20"/>
  <c r="T41" i="20" s="1"/>
  <c r="J42" i="20"/>
  <c r="N42" i="20"/>
  <c r="R42" i="20"/>
  <c r="I42" i="20"/>
  <c r="M42" i="20"/>
  <c r="Q42" i="20"/>
  <c r="S46" i="20"/>
  <c r="T46" i="20" s="1"/>
  <c r="S50" i="20"/>
  <c r="T50" i="20" s="1"/>
  <c r="S54" i="20"/>
  <c r="T54" i="20" s="1"/>
  <c r="S59" i="20"/>
  <c r="T59" i="20" s="1"/>
  <c r="S63" i="20"/>
  <c r="T63" i="20" s="1"/>
  <c r="S107" i="20"/>
  <c r="T107" i="20" s="1"/>
  <c r="I106" i="20"/>
  <c r="M106" i="20"/>
  <c r="Q106" i="20"/>
  <c r="Q105" i="20" s="1"/>
  <c r="S111" i="20"/>
  <c r="T111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41" i="20"/>
  <c r="T141" i="20" s="1"/>
  <c r="S145" i="20"/>
  <c r="T145" i="20" s="1"/>
  <c r="S153" i="20"/>
  <c r="T153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G125" i="21" s="1"/>
  <c r="G126" i="21" s="1"/>
  <c r="S132" i="21"/>
  <c r="T132" i="21" s="1"/>
  <c r="S144" i="21"/>
  <c r="T144" i="21" s="1"/>
  <c r="S120" i="20"/>
  <c r="T120" i="20" s="1"/>
  <c r="S154" i="20"/>
  <c r="T154" i="20" s="1"/>
  <c r="S155" i="20"/>
  <c r="T155" i="20" s="1"/>
  <c r="S159" i="20"/>
  <c r="T159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M29" i="21" s="1"/>
  <c r="Q31" i="21"/>
  <c r="Q29" i="21" s="1"/>
  <c r="Q30" i="21" s="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C361" i="6"/>
  <c r="J29" i="21"/>
  <c r="J30" i="21" s="1"/>
  <c r="N29" i="21"/>
  <c r="N30" i="21" s="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I125" i="21" s="1"/>
  <c r="M138" i="21"/>
  <c r="M125" i="21" s="1"/>
  <c r="M126" i="21" s="1"/>
  <c r="Q138" i="2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M106" i="21" s="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J106" i="21" s="1"/>
  <c r="N107" i="21"/>
  <c r="N106" i="21" s="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7" i="21"/>
  <c r="T127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K61" i="20"/>
  <c r="K66" i="20" s="1"/>
  <c r="K62" i="20" s="1"/>
  <c r="S16" i="20"/>
  <c r="T16" i="20" s="1"/>
  <c r="S17" i="20"/>
  <c r="T17" i="20" s="1"/>
  <c r="S13" i="20"/>
  <c r="T13" i="20" s="1"/>
  <c r="S31" i="20"/>
  <c r="T31" i="20" s="1"/>
  <c r="N29" i="20"/>
  <c r="N30" i="20" s="1"/>
  <c r="R29" i="20"/>
  <c r="R30" i="20" s="1"/>
  <c r="S57" i="20"/>
  <c r="T57" i="20" s="1"/>
  <c r="S58" i="20"/>
  <c r="T58" i="20" s="1"/>
  <c r="S65" i="20"/>
  <c r="T65" i="20" s="1"/>
  <c r="S32" i="20"/>
  <c r="T32" i="20" s="1"/>
  <c r="S109" i="20"/>
  <c r="T109" i="20" s="1"/>
  <c r="S113" i="20"/>
  <c r="T113" i="20" s="1"/>
  <c r="S117" i="20"/>
  <c r="T117" i="20" s="1"/>
  <c r="S121" i="20"/>
  <c r="T121" i="20" s="1"/>
  <c r="S130" i="20"/>
  <c r="T130" i="20" s="1"/>
  <c r="S134" i="20"/>
  <c r="T134" i="20" s="1"/>
  <c r="S138" i="20"/>
  <c r="T138" i="20" s="1"/>
  <c r="S142" i="20"/>
  <c r="T142" i="20" s="1"/>
  <c r="S146" i="20"/>
  <c r="T146" i="20" s="1"/>
  <c r="S158" i="20"/>
  <c r="T158" i="20" s="1"/>
  <c r="S12" i="20"/>
  <c r="T12" i="20" s="1"/>
  <c r="S110" i="20"/>
  <c r="T110" i="20" s="1"/>
  <c r="S114" i="20"/>
  <c r="T114" i="20" s="1"/>
  <c r="S118" i="20"/>
  <c r="T118" i="20" s="1"/>
  <c r="S122" i="20"/>
  <c r="T122" i="20" s="1"/>
  <c r="S127" i="20"/>
  <c r="T127" i="20" s="1"/>
  <c r="S131" i="20"/>
  <c r="T131" i="20" s="1"/>
  <c r="S135" i="20"/>
  <c r="T135" i="20" s="1"/>
  <c r="S139" i="20"/>
  <c r="T139" i="20" s="1"/>
  <c r="S143" i="20"/>
  <c r="T143" i="20" s="1"/>
  <c r="S147" i="20"/>
  <c r="T147" i="20" s="1"/>
  <c r="K29" i="21" l="1"/>
  <c r="K30" i="21" s="1"/>
  <c r="S126" i="20"/>
  <c r="T126" i="20" s="1"/>
  <c r="L105" i="20"/>
  <c r="P106" i="21"/>
  <c r="L125" i="21"/>
  <c r="L126" i="21" s="1"/>
  <c r="S137" i="20"/>
  <c r="T137" i="20" s="1"/>
  <c r="S11" i="20"/>
  <c r="T11" i="20" s="1"/>
  <c r="M105" i="20"/>
  <c r="Q29" i="20"/>
  <c r="Q30" i="20" s="1"/>
  <c r="S42" i="20"/>
  <c r="T42" i="20" s="1"/>
  <c r="S106" i="20"/>
  <c r="T106" i="20" s="1"/>
  <c r="G29" i="20"/>
  <c r="R106" i="21"/>
  <c r="J125" i="21"/>
  <c r="J126" i="21" s="1"/>
  <c r="S152" i="21"/>
  <c r="T152" i="21" s="1"/>
  <c r="O29" i="21"/>
  <c r="O30" i="21" s="1"/>
  <c r="K124" i="20"/>
  <c r="K125" i="20" s="1"/>
  <c r="H125" i="21"/>
  <c r="H126" i="21" s="1"/>
  <c r="Q125" i="21"/>
  <c r="Q126" i="21" s="1"/>
  <c r="I105" i="20"/>
  <c r="M29" i="20"/>
  <c r="M30" i="20" s="1"/>
  <c r="J124" i="20"/>
  <c r="J125" i="20" s="1"/>
  <c r="K55" i="11"/>
  <c r="P29" i="20"/>
  <c r="P30" i="20" s="1"/>
  <c r="G124" i="20"/>
  <c r="G125" i="20" s="1"/>
  <c r="J105" i="20"/>
  <c r="H105" i="20"/>
  <c r="I106" i="21"/>
  <c r="K11" i="11"/>
  <c r="H106" i="21"/>
  <c r="GC350" i="6"/>
  <c r="GE350" i="6" s="1"/>
  <c r="GE361" i="6"/>
  <c r="H10" i="20"/>
  <c r="R10" i="11" s="1"/>
  <c r="R11" i="11"/>
  <c r="H29" i="20"/>
  <c r="R40" i="11"/>
  <c r="K40" i="11"/>
  <c r="R29" i="21"/>
  <c r="R30" i="21" s="1"/>
  <c r="J55" i="21"/>
  <c r="J56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I29" i="20"/>
  <c r="I30" i="20" s="1"/>
  <c r="O55" i="20"/>
  <c r="Q55" i="20"/>
  <c r="S152" i="20"/>
  <c r="T152" i="20" s="1"/>
  <c r="K150" i="20"/>
  <c r="O124" i="20"/>
  <c r="O125" i="20" s="1"/>
  <c r="H124" i="20"/>
  <c r="H125" i="20" s="1"/>
  <c r="P150" i="20"/>
  <c r="R124" i="20"/>
  <c r="R125" i="20" s="1"/>
  <c r="O150" i="20"/>
  <c r="N124" i="20"/>
  <c r="N125" i="20" s="1"/>
  <c r="R105" i="20"/>
  <c r="L106" i="21"/>
  <c r="L150" i="21" s="1"/>
  <c r="I125" i="20"/>
  <c r="M30" i="21"/>
  <c r="M55" i="21"/>
  <c r="M56" i="21" s="1"/>
  <c r="M57" i="21" s="1"/>
  <c r="I150" i="20"/>
  <c r="M55" i="20"/>
  <c r="S138" i="21"/>
  <c r="T138" i="21" s="1"/>
  <c r="R125" i="21"/>
  <c r="R126" i="21" s="1"/>
  <c r="Q106" i="21"/>
  <c r="S11" i="21"/>
  <c r="T11" i="21" s="1"/>
  <c r="G29" i="21"/>
  <c r="H150" i="21"/>
  <c r="P29" i="21"/>
  <c r="J29" i="20"/>
  <c r="J30" i="20" s="1"/>
  <c r="I55" i="20"/>
  <c r="G105" i="20"/>
  <c r="P150" i="21"/>
  <c r="J150" i="20"/>
  <c r="H55" i="21"/>
  <c r="H56" i="21" s="1"/>
  <c r="H62" i="21" s="1"/>
  <c r="H67" i="21" s="1"/>
  <c r="H63" i="21" s="1"/>
  <c r="K55" i="21"/>
  <c r="K56" i="21" s="1"/>
  <c r="Q150" i="20"/>
  <c r="L29" i="21"/>
  <c r="L150" i="20"/>
  <c r="P55" i="20"/>
  <c r="R55" i="21"/>
  <c r="R56" i="21" s="1"/>
  <c r="R57" i="21" s="1"/>
  <c r="N55" i="21"/>
  <c r="N56" i="21" s="1"/>
  <c r="N62" i="21" s="1"/>
  <c r="N67" i="21" s="1"/>
  <c r="N63" i="21" s="1"/>
  <c r="Q55" i="21"/>
  <c r="Q56" i="21" s="1"/>
  <c r="Q62" i="21" s="1"/>
  <c r="Q67" i="21" s="1"/>
  <c r="Q63" i="21" s="1"/>
  <c r="M150" i="20"/>
  <c r="H55" i="20"/>
  <c r="G10" i="20"/>
  <c r="K10" i="11" s="1"/>
  <c r="G150" i="21"/>
  <c r="L55" i="20"/>
  <c r="I126" i="21"/>
  <c r="N150" i="21"/>
  <c r="S58" i="21"/>
  <c r="T58" i="21" s="1"/>
  <c r="R150" i="21"/>
  <c r="Q150" i="21"/>
  <c r="S160" i="21"/>
  <c r="T160" i="21" s="1"/>
  <c r="S10" i="21"/>
  <c r="T10" i="21" s="1"/>
  <c r="J62" i="21"/>
  <c r="J67" i="21" s="1"/>
  <c r="J63" i="21" s="1"/>
  <c r="J57" i="21"/>
  <c r="S159" i="21"/>
  <c r="T159" i="21" s="1"/>
  <c r="M150" i="21"/>
  <c r="N57" i="21"/>
  <c r="J150" i="21"/>
  <c r="I150" i="21"/>
  <c r="S161" i="21"/>
  <c r="T161" i="21" s="1"/>
  <c r="S107" i="21"/>
  <c r="T107" i="21" s="1"/>
  <c r="H57" i="21"/>
  <c r="G30" i="20"/>
  <c r="N55" i="20"/>
  <c r="R55" i="20"/>
  <c r="G55" i="20" l="1"/>
  <c r="K53" i="11" s="1"/>
  <c r="R53" i="11"/>
  <c r="H30" i="20"/>
  <c r="R29" i="11"/>
  <c r="K29" i="11"/>
  <c r="M62" i="21"/>
  <c r="M67" i="21" s="1"/>
  <c r="M63" i="21" s="1"/>
  <c r="S126" i="21"/>
  <c r="T126" i="21" s="1"/>
  <c r="O150" i="21"/>
  <c r="O151" i="21" s="1"/>
  <c r="S29" i="21"/>
  <c r="T29" i="21" s="1"/>
  <c r="G55" i="21"/>
  <c r="G30" i="21"/>
  <c r="I55" i="21"/>
  <c r="I56" i="21" s="1"/>
  <c r="R62" i="21"/>
  <c r="R67" i="21" s="1"/>
  <c r="R63" i="21" s="1"/>
  <c r="S125" i="20"/>
  <c r="T125" i="20" s="1"/>
  <c r="S106" i="21"/>
  <c r="T106" i="21" s="1"/>
  <c r="O56" i="20"/>
  <c r="O61" i="20"/>
  <c r="O66" i="20" s="1"/>
  <c r="O62" i="20" s="1"/>
  <c r="K150" i="21"/>
  <c r="O62" i="21"/>
  <c r="O67" i="21" s="1"/>
  <c r="O63" i="21" s="1"/>
  <c r="O57" i="21"/>
  <c r="S125" i="21"/>
  <c r="T125" i="21" s="1"/>
  <c r="S124" i="20"/>
  <c r="T124" i="20" s="1"/>
  <c r="R150" i="20"/>
  <c r="N150" i="20"/>
  <c r="P156" i="20"/>
  <c r="P161" i="20" s="1"/>
  <c r="P157" i="20" s="1"/>
  <c r="P151" i="20"/>
  <c r="K151" i="20"/>
  <c r="K156" i="20"/>
  <c r="K161" i="20" s="1"/>
  <c r="K157" i="20" s="1"/>
  <c r="O157" i="21"/>
  <c r="O162" i="21" s="1"/>
  <c r="O158" i="21" s="1"/>
  <c r="O156" i="20"/>
  <c r="O161" i="20" s="1"/>
  <c r="O157" i="20" s="1"/>
  <c r="O151" i="20"/>
  <c r="H150" i="20"/>
  <c r="L151" i="21"/>
  <c r="L157" i="21"/>
  <c r="L162" i="21" s="1"/>
  <c r="L158" i="21" s="1"/>
  <c r="Q56" i="20"/>
  <c r="Q61" i="20"/>
  <c r="Q66" i="20" s="1"/>
  <c r="Q62" i="20" s="1"/>
  <c r="H157" i="21"/>
  <c r="H162" i="21" s="1"/>
  <c r="H158" i="21" s="1"/>
  <c r="H151" i="21"/>
  <c r="M61" i="20"/>
  <c r="M66" i="20" s="1"/>
  <c r="M62" i="20" s="1"/>
  <c r="M56" i="20"/>
  <c r="J151" i="20"/>
  <c r="J156" i="20"/>
  <c r="J161" i="20" s="1"/>
  <c r="J157" i="20" s="1"/>
  <c r="L56" i="20"/>
  <c r="L61" i="20"/>
  <c r="L66" i="20" s="1"/>
  <c r="L62" i="20" s="1"/>
  <c r="S10" i="20"/>
  <c r="T10" i="20" s="1"/>
  <c r="P56" i="20"/>
  <c r="P61" i="20"/>
  <c r="P66" i="20" s="1"/>
  <c r="P62" i="20" s="1"/>
  <c r="L30" i="21"/>
  <c r="L55" i="21"/>
  <c r="L56" i="21" s="1"/>
  <c r="P157" i="21"/>
  <c r="P162" i="21" s="1"/>
  <c r="P158" i="21" s="1"/>
  <c r="P151" i="21"/>
  <c r="I151" i="20"/>
  <c r="I156" i="20"/>
  <c r="I161" i="20" s="1"/>
  <c r="I157" i="20" s="1"/>
  <c r="K57" i="21"/>
  <c r="K62" i="21"/>
  <c r="K67" i="21" s="1"/>
  <c r="K63" i="21" s="1"/>
  <c r="S30" i="20"/>
  <c r="T30" i="20" s="1"/>
  <c r="S29" i="20"/>
  <c r="T29" i="20" s="1"/>
  <c r="Q57" i="21"/>
  <c r="G151" i="21"/>
  <c r="G157" i="21"/>
  <c r="G162" i="21" s="1"/>
  <c r="G158" i="21" s="1"/>
  <c r="H56" i="20"/>
  <c r="H61" i="20"/>
  <c r="L151" i="20"/>
  <c r="L156" i="20"/>
  <c r="L161" i="20" s="1"/>
  <c r="L157" i="20" s="1"/>
  <c r="J55" i="20"/>
  <c r="G150" i="20"/>
  <c r="S105" i="20"/>
  <c r="T105" i="20" s="1"/>
  <c r="M151" i="20"/>
  <c r="M156" i="20"/>
  <c r="M161" i="20" s="1"/>
  <c r="M157" i="20" s="1"/>
  <c r="Q151" i="20"/>
  <c r="Q156" i="20"/>
  <c r="Q161" i="20" s="1"/>
  <c r="Q157" i="20" s="1"/>
  <c r="I61" i="20"/>
  <c r="I66" i="20" s="1"/>
  <c r="I62" i="20" s="1"/>
  <c r="I56" i="20"/>
  <c r="P30" i="21"/>
  <c r="S30" i="21" s="1"/>
  <c r="T30" i="21" s="1"/>
  <c r="P55" i="21"/>
  <c r="P56" i="21" s="1"/>
  <c r="M151" i="21"/>
  <c r="M157" i="21"/>
  <c r="M162" i="21" s="1"/>
  <c r="M158" i="21" s="1"/>
  <c r="Q151" i="21"/>
  <c r="Q157" i="21"/>
  <c r="Q162" i="21" s="1"/>
  <c r="Q158" i="21" s="1"/>
  <c r="N151" i="21"/>
  <c r="N157" i="21"/>
  <c r="N162" i="21" s="1"/>
  <c r="N158" i="21" s="1"/>
  <c r="G56" i="21"/>
  <c r="I151" i="21"/>
  <c r="I157" i="21"/>
  <c r="J151" i="21"/>
  <c r="J157" i="21"/>
  <c r="J162" i="21" s="1"/>
  <c r="J158" i="21" s="1"/>
  <c r="R151" i="21"/>
  <c r="R157" i="21"/>
  <c r="R162" i="21" s="1"/>
  <c r="R158" i="21" s="1"/>
  <c r="G56" i="20"/>
  <c r="G61" i="20"/>
  <c r="R56" i="20"/>
  <c r="R61" i="20"/>
  <c r="R66" i="20" s="1"/>
  <c r="R62" i="20" s="1"/>
  <c r="N56" i="20"/>
  <c r="N61" i="20"/>
  <c r="N66" i="20" s="1"/>
  <c r="N62" i="20" s="1"/>
  <c r="H66" i="20" l="1"/>
  <c r="R59" i="11"/>
  <c r="K59" i="11"/>
  <c r="K54" i="11"/>
  <c r="R54" i="11"/>
  <c r="S150" i="21"/>
  <c r="T150" i="21" s="1"/>
  <c r="I62" i="21"/>
  <c r="I67" i="21" s="1"/>
  <c r="I63" i="21" s="1"/>
  <c r="I57" i="21"/>
  <c r="K157" i="21"/>
  <c r="K162" i="21" s="1"/>
  <c r="K158" i="21" s="1"/>
  <c r="K151" i="21"/>
  <c r="S151" i="21" s="1"/>
  <c r="T151" i="21" s="1"/>
  <c r="H156" i="20"/>
  <c r="H161" i="20" s="1"/>
  <c r="H157" i="20" s="1"/>
  <c r="H151" i="20"/>
  <c r="N156" i="20"/>
  <c r="N161" i="20" s="1"/>
  <c r="N157" i="20" s="1"/>
  <c r="N151" i="20"/>
  <c r="R151" i="20"/>
  <c r="R156" i="20"/>
  <c r="R161" i="20" s="1"/>
  <c r="R157" i="20" s="1"/>
  <c r="J56" i="20"/>
  <c r="S56" i="20" s="1"/>
  <c r="T56" i="20" s="1"/>
  <c r="J61" i="20"/>
  <c r="J66" i="20" s="1"/>
  <c r="J62" i="20" s="1"/>
  <c r="L57" i="21"/>
  <c r="L62" i="21"/>
  <c r="L67" i="21" s="1"/>
  <c r="L63" i="21" s="1"/>
  <c r="S55" i="20"/>
  <c r="T55" i="20" s="1"/>
  <c r="P62" i="21"/>
  <c r="P67" i="21" s="1"/>
  <c r="P63" i="21" s="1"/>
  <c r="P57" i="21"/>
  <c r="G151" i="20"/>
  <c r="G156" i="20"/>
  <c r="S150" i="20"/>
  <c r="T150" i="20" s="1"/>
  <c r="S55" i="21"/>
  <c r="T55" i="21" s="1"/>
  <c r="G57" i="21"/>
  <c r="S56" i="21"/>
  <c r="T56" i="21" s="1"/>
  <c r="G62" i="21"/>
  <c r="I162" i="21"/>
  <c r="G66" i="20"/>
  <c r="H62" i="20" l="1"/>
  <c r="R64" i="11"/>
  <c r="K64" i="11"/>
  <c r="S157" i="21"/>
  <c r="T157" i="21" s="1"/>
  <c r="S151" i="20"/>
  <c r="T151" i="20" s="1"/>
  <c r="S61" i="20"/>
  <c r="T61" i="20" s="1"/>
  <c r="S57" i="21"/>
  <c r="T57" i="21" s="1"/>
  <c r="S156" i="20"/>
  <c r="T156" i="20" s="1"/>
  <c r="G161" i="20"/>
  <c r="I158" i="21"/>
  <c r="S158" i="21" s="1"/>
  <c r="T158" i="21" s="1"/>
  <c r="S162" i="21"/>
  <c r="T162" i="21" s="1"/>
  <c r="G67" i="21"/>
  <c r="S62" i="21"/>
  <c r="T62" i="21" s="1"/>
  <c r="S66" i="20"/>
  <c r="T66" i="20" s="1"/>
  <c r="G62" i="20"/>
  <c r="R60" i="11" l="1"/>
  <c r="K60" i="11"/>
  <c r="S62" i="20"/>
  <c r="T62" i="20" s="1"/>
  <c r="S161" i="20"/>
  <c r="T161" i="20" s="1"/>
  <c r="G157" i="20"/>
  <c r="S157" i="20" s="1"/>
  <c r="T157" i="20" s="1"/>
  <c r="S67" i="21"/>
  <c r="T67" i="21" s="1"/>
  <c r="G63" i="21"/>
  <c r="S63" i="21" s="1"/>
  <c r="T63" i="21" s="1"/>
  <c r="N6" i="11" l="1"/>
  <c r="G11" i="2"/>
  <c r="H154" i="19"/>
  <c r="O61" i="11" s="1"/>
  <c r="I154" i="19"/>
  <c r="J154" i="19"/>
  <c r="K154" i="19"/>
  <c r="L154" i="19"/>
  <c r="M154" i="19"/>
  <c r="N154" i="19"/>
  <c r="O154" i="19"/>
  <c r="P154" i="19"/>
  <c r="Q154" i="19"/>
  <c r="R154" i="19"/>
  <c r="H155" i="19"/>
  <c r="O62" i="11" s="1"/>
  <c r="I155" i="19"/>
  <c r="J155" i="19"/>
  <c r="K155" i="19"/>
  <c r="L155" i="19"/>
  <c r="M155" i="19"/>
  <c r="N155" i="19"/>
  <c r="O155" i="19"/>
  <c r="P155" i="19"/>
  <c r="Q155" i="19"/>
  <c r="R155" i="19"/>
  <c r="H156" i="19"/>
  <c r="O63" i="11" s="1"/>
  <c r="I156" i="19"/>
  <c r="J156" i="19"/>
  <c r="K156" i="19"/>
  <c r="L156" i="19"/>
  <c r="M156" i="19"/>
  <c r="N156" i="19"/>
  <c r="O156" i="19"/>
  <c r="P156" i="19"/>
  <c r="Q156" i="19"/>
  <c r="R156" i="19"/>
  <c r="H149" i="19"/>
  <c r="O56" i="11" s="1"/>
  <c r="I149" i="19"/>
  <c r="J149" i="19"/>
  <c r="K149" i="19"/>
  <c r="L149" i="19"/>
  <c r="M149" i="19"/>
  <c r="N149" i="19"/>
  <c r="O149" i="19"/>
  <c r="P149" i="19"/>
  <c r="Q149" i="19"/>
  <c r="R149" i="19"/>
  <c r="H150" i="19"/>
  <c r="O57" i="11" s="1"/>
  <c r="I150" i="19"/>
  <c r="J150" i="19"/>
  <c r="K150" i="19"/>
  <c r="L150" i="19"/>
  <c r="M150" i="19"/>
  <c r="N150" i="19"/>
  <c r="O150" i="19"/>
  <c r="P150" i="19"/>
  <c r="Q150" i="19"/>
  <c r="R150" i="19"/>
  <c r="H141" i="19"/>
  <c r="O48" i="11" s="1"/>
  <c r="I141" i="19"/>
  <c r="J141" i="19"/>
  <c r="K141" i="19"/>
  <c r="L141" i="19"/>
  <c r="M141" i="19"/>
  <c r="N141" i="19"/>
  <c r="O141" i="19"/>
  <c r="P141" i="19"/>
  <c r="Q141" i="19"/>
  <c r="R141" i="19"/>
  <c r="H142" i="19"/>
  <c r="O49" i="11" s="1"/>
  <c r="I142" i="19"/>
  <c r="J142" i="19"/>
  <c r="K142" i="19"/>
  <c r="L142" i="19"/>
  <c r="M142" i="19"/>
  <c r="N142" i="19"/>
  <c r="O142" i="19"/>
  <c r="P142" i="19"/>
  <c r="Q142" i="19"/>
  <c r="R142" i="19"/>
  <c r="H143" i="19"/>
  <c r="O50" i="11" s="1"/>
  <c r="I143" i="19"/>
  <c r="J143" i="19"/>
  <c r="K143" i="19"/>
  <c r="L143" i="19"/>
  <c r="M143" i="19"/>
  <c r="N143" i="19"/>
  <c r="O143" i="19"/>
  <c r="P143" i="19"/>
  <c r="Q143" i="19"/>
  <c r="R143" i="19"/>
  <c r="H144" i="19"/>
  <c r="O51" i="11" s="1"/>
  <c r="I144" i="19"/>
  <c r="J144" i="19"/>
  <c r="K144" i="19"/>
  <c r="L144" i="19"/>
  <c r="M144" i="19"/>
  <c r="N144" i="19"/>
  <c r="O144" i="19"/>
  <c r="P144" i="19"/>
  <c r="Q144" i="19"/>
  <c r="R144" i="19"/>
  <c r="H145" i="19"/>
  <c r="O52" i="11" s="1"/>
  <c r="I145" i="19"/>
  <c r="J145" i="19"/>
  <c r="K145" i="19"/>
  <c r="L145" i="19"/>
  <c r="M145" i="19"/>
  <c r="N145" i="19"/>
  <c r="O145" i="19"/>
  <c r="P145" i="19"/>
  <c r="Q145" i="19"/>
  <c r="R145" i="19"/>
  <c r="H139" i="19"/>
  <c r="O46" i="11" s="1"/>
  <c r="I139" i="19"/>
  <c r="J139" i="19"/>
  <c r="K139" i="19"/>
  <c r="L139" i="19"/>
  <c r="M139" i="19"/>
  <c r="N139" i="19"/>
  <c r="O139" i="19"/>
  <c r="P139" i="19"/>
  <c r="Q139" i="19"/>
  <c r="R139" i="19"/>
  <c r="H140" i="19"/>
  <c r="O47" i="11" s="1"/>
  <c r="I140" i="19"/>
  <c r="J140" i="19"/>
  <c r="K140" i="19"/>
  <c r="L140" i="19"/>
  <c r="M140" i="19"/>
  <c r="N140" i="19"/>
  <c r="O140" i="19"/>
  <c r="P140" i="19"/>
  <c r="Q140" i="19"/>
  <c r="R140" i="19"/>
  <c r="H134" i="19"/>
  <c r="O41" i="11" s="1"/>
  <c r="I134" i="19"/>
  <c r="J134" i="19"/>
  <c r="K134" i="19"/>
  <c r="L134" i="19"/>
  <c r="M134" i="19"/>
  <c r="N134" i="19"/>
  <c r="O134" i="19"/>
  <c r="P134" i="19"/>
  <c r="Q134" i="19"/>
  <c r="R134" i="19"/>
  <c r="H135" i="19"/>
  <c r="O42" i="11" s="1"/>
  <c r="I135" i="19"/>
  <c r="J135" i="19"/>
  <c r="K135" i="19"/>
  <c r="L135" i="19"/>
  <c r="M135" i="19"/>
  <c r="N135" i="19"/>
  <c r="O135" i="19"/>
  <c r="P135" i="19"/>
  <c r="Q135" i="19"/>
  <c r="R135" i="19"/>
  <c r="H136" i="19"/>
  <c r="O43" i="11" s="1"/>
  <c r="I136" i="19"/>
  <c r="J136" i="19"/>
  <c r="K136" i="19"/>
  <c r="L136" i="19"/>
  <c r="M136" i="19"/>
  <c r="N136" i="19"/>
  <c r="O136" i="19"/>
  <c r="P136" i="19"/>
  <c r="Q136" i="19"/>
  <c r="R136" i="19"/>
  <c r="H137" i="19"/>
  <c r="O44" i="11" s="1"/>
  <c r="I137" i="19"/>
  <c r="J137" i="19"/>
  <c r="K137" i="19"/>
  <c r="L137" i="19"/>
  <c r="M137" i="19"/>
  <c r="N137" i="19"/>
  <c r="O137" i="19"/>
  <c r="P137" i="19"/>
  <c r="Q137" i="19"/>
  <c r="R137" i="19"/>
  <c r="H138" i="19"/>
  <c r="O45" i="11" s="1"/>
  <c r="I138" i="19"/>
  <c r="J138" i="19"/>
  <c r="K138" i="19"/>
  <c r="L138" i="19"/>
  <c r="M138" i="19"/>
  <c r="N138" i="19"/>
  <c r="O138" i="19"/>
  <c r="P138" i="19"/>
  <c r="Q138" i="19"/>
  <c r="R138" i="19"/>
  <c r="H124" i="19"/>
  <c r="O31" i="11" s="1"/>
  <c r="I124" i="19"/>
  <c r="J124" i="19"/>
  <c r="K124" i="19"/>
  <c r="L124" i="19"/>
  <c r="M124" i="19"/>
  <c r="N124" i="19"/>
  <c r="O124" i="19"/>
  <c r="P124" i="19"/>
  <c r="Q124" i="19"/>
  <c r="R124" i="19"/>
  <c r="H125" i="19"/>
  <c r="O32" i="11" s="1"/>
  <c r="I125" i="19"/>
  <c r="J125" i="19"/>
  <c r="K125" i="19"/>
  <c r="L125" i="19"/>
  <c r="M125" i="19"/>
  <c r="N125" i="19"/>
  <c r="O125" i="19"/>
  <c r="P125" i="19"/>
  <c r="Q125" i="19"/>
  <c r="R125" i="19"/>
  <c r="H126" i="19"/>
  <c r="O33" i="11" s="1"/>
  <c r="I126" i="19"/>
  <c r="J126" i="19"/>
  <c r="K126" i="19"/>
  <c r="L126" i="19"/>
  <c r="M126" i="19"/>
  <c r="N126" i="19"/>
  <c r="O126" i="19"/>
  <c r="P126" i="19"/>
  <c r="Q126" i="19"/>
  <c r="R126" i="19"/>
  <c r="H127" i="19"/>
  <c r="O34" i="11" s="1"/>
  <c r="I127" i="19"/>
  <c r="J127" i="19"/>
  <c r="K127" i="19"/>
  <c r="L127" i="19"/>
  <c r="M127" i="19"/>
  <c r="N127" i="19"/>
  <c r="O127" i="19"/>
  <c r="P127" i="19"/>
  <c r="Q127" i="19"/>
  <c r="R127" i="19"/>
  <c r="H128" i="19"/>
  <c r="O35" i="11" s="1"/>
  <c r="I128" i="19"/>
  <c r="J128" i="19"/>
  <c r="K128" i="19"/>
  <c r="L128" i="19"/>
  <c r="M128" i="19"/>
  <c r="N128" i="19"/>
  <c r="O128" i="19"/>
  <c r="P128" i="19"/>
  <c r="Q128" i="19"/>
  <c r="R128" i="19"/>
  <c r="H129" i="19"/>
  <c r="O36" i="11" s="1"/>
  <c r="I129" i="19"/>
  <c r="J129" i="19"/>
  <c r="K129" i="19"/>
  <c r="L129" i="19"/>
  <c r="M129" i="19"/>
  <c r="N129" i="19"/>
  <c r="O129" i="19"/>
  <c r="P129" i="19"/>
  <c r="Q129" i="19"/>
  <c r="R129" i="19"/>
  <c r="H130" i="19"/>
  <c r="O37" i="11" s="1"/>
  <c r="I130" i="19"/>
  <c r="J130" i="19"/>
  <c r="K130" i="19"/>
  <c r="L130" i="19"/>
  <c r="M130" i="19"/>
  <c r="N130" i="19"/>
  <c r="O130" i="19"/>
  <c r="P130" i="19"/>
  <c r="Q130" i="19"/>
  <c r="R130" i="19"/>
  <c r="H131" i="19"/>
  <c r="O38" i="11" s="1"/>
  <c r="I131" i="19"/>
  <c r="J131" i="19"/>
  <c r="K131" i="19"/>
  <c r="L131" i="19"/>
  <c r="M131" i="19"/>
  <c r="N131" i="19"/>
  <c r="O131" i="19"/>
  <c r="P131" i="19"/>
  <c r="Q131" i="19"/>
  <c r="R131" i="19"/>
  <c r="H132" i="19"/>
  <c r="O39" i="11" s="1"/>
  <c r="I132" i="19"/>
  <c r="J132" i="19"/>
  <c r="K132" i="19"/>
  <c r="L132" i="19"/>
  <c r="M132" i="19"/>
  <c r="N132" i="19"/>
  <c r="O132" i="19"/>
  <c r="P132" i="19"/>
  <c r="Q132" i="19"/>
  <c r="R132" i="19"/>
  <c r="G156" i="19"/>
  <c r="H63" i="11" s="1"/>
  <c r="G155" i="19"/>
  <c r="H62" i="11" s="1"/>
  <c r="G154" i="19"/>
  <c r="H61" i="11" s="1"/>
  <c r="G151" i="19"/>
  <c r="H58" i="11" s="1"/>
  <c r="G150" i="19"/>
  <c r="G149" i="19"/>
  <c r="G145" i="19"/>
  <c r="H52" i="11" s="1"/>
  <c r="G144" i="19"/>
  <c r="H51" i="11" s="1"/>
  <c r="G143" i="19"/>
  <c r="G142" i="19"/>
  <c r="H49" i="11" s="1"/>
  <c r="G141" i="19"/>
  <c r="H48" i="11" s="1"/>
  <c r="G140" i="19"/>
  <c r="H47" i="11" s="1"/>
  <c r="G139" i="19"/>
  <c r="H46" i="11" s="1"/>
  <c r="G138" i="19"/>
  <c r="G137" i="19"/>
  <c r="G136" i="19"/>
  <c r="H43" i="11" s="1"/>
  <c r="G135" i="19"/>
  <c r="H42" i="11" s="1"/>
  <c r="G134" i="19"/>
  <c r="G132" i="19"/>
  <c r="H39" i="11" s="1"/>
  <c r="G131" i="19"/>
  <c r="H38" i="11" s="1"/>
  <c r="G130" i="19"/>
  <c r="G129" i="19"/>
  <c r="H36" i="11" s="1"/>
  <c r="G128" i="19"/>
  <c r="H35" i="11" s="1"/>
  <c r="G127" i="19"/>
  <c r="H34" i="11" s="1"/>
  <c r="G126" i="19"/>
  <c r="G125" i="19"/>
  <c r="H32" i="11" s="1"/>
  <c r="G124" i="19"/>
  <c r="H31" i="11" s="1"/>
  <c r="R117" i="19"/>
  <c r="R118" i="19"/>
  <c r="R119" i="19"/>
  <c r="R120" i="19"/>
  <c r="R121" i="19"/>
  <c r="H117" i="19"/>
  <c r="O24" i="11" s="1"/>
  <c r="I117" i="19"/>
  <c r="J117" i="19"/>
  <c r="K117" i="19"/>
  <c r="L117" i="19"/>
  <c r="M117" i="19"/>
  <c r="N117" i="19"/>
  <c r="O117" i="19"/>
  <c r="P117" i="19"/>
  <c r="Q117" i="19"/>
  <c r="H118" i="19"/>
  <c r="O25" i="11" s="1"/>
  <c r="I118" i="19"/>
  <c r="J118" i="19"/>
  <c r="K118" i="19"/>
  <c r="L118" i="19"/>
  <c r="M118" i="19"/>
  <c r="N118" i="19"/>
  <c r="O118" i="19"/>
  <c r="P118" i="19"/>
  <c r="Q118" i="19"/>
  <c r="H119" i="19"/>
  <c r="O26" i="11" s="1"/>
  <c r="I119" i="19"/>
  <c r="J119" i="19"/>
  <c r="K119" i="19"/>
  <c r="L119" i="19"/>
  <c r="M119" i="19"/>
  <c r="N119" i="19"/>
  <c r="O119" i="19"/>
  <c r="P119" i="19"/>
  <c r="Q119" i="19"/>
  <c r="H120" i="19"/>
  <c r="O27" i="11" s="1"/>
  <c r="I120" i="19"/>
  <c r="J120" i="19"/>
  <c r="K120" i="19"/>
  <c r="L120" i="19"/>
  <c r="M120" i="19"/>
  <c r="N120" i="19"/>
  <c r="O120" i="19"/>
  <c r="P120" i="19"/>
  <c r="Q120" i="19"/>
  <c r="H121" i="19"/>
  <c r="O28" i="11" s="1"/>
  <c r="I121" i="19"/>
  <c r="J121" i="19"/>
  <c r="K121" i="19"/>
  <c r="L121" i="19"/>
  <c r="M121" i="19"/>
  <c r="N121" i="19"/>
  <c r="O121" i="19"/>
  <c r="P121" i="19"/>
  <c r="Q121" i="19"/>
  <c r="H113" i="19"/>
  <c r="O20" i="11" s="1"/>
  <c r="I113" i="19"/>
  <c r="J113" i="19"/>
  <c r="K113" i="19"/>
  <c r="L113" i="19"/>
  <c r="M113" i="19"/>
  <c r="N113" i="19"/>
  <c r="O113" i="19"/>
  <c r="P113" i="19"/>
  <c r="Q113" i="19"/>
  <c r="R113" i="19"/>
  <c r="H114" i="19"/>
  <c r="O21" i="11" s="1"/>
  <c r="I114" i="19"/>
  <c r="J114" i="19"/>
  <c r="K114" i="19"/>
  <c r="L114" i="19"/>
  <c r="M114" i="19"/>
  <c r="N114" i="19"/>
  <c r="O114" i="19"/>
  <c r="P114" i="19"/>
  <c r="Q114" i="19"/>
  <c r="R114" i="19"/>
  <c r="H115" i="19"/>
  <c r="O22" i="11" s="1"/>
  <c r="I115" i="19"/>
  <c r="J115" i="19"/>
  <c r="K115" i="19"/>
  <c r="L115" i="19"/>
  <c r="M115" i="19"/>
  <c r="N115" i="19"/>
  <c r="O115" i="19"/>
  <c r="P115" i="19"/>
  <c r="Q115" i="19"/>
  <c r="R115" i="19"/>
  <c r="H116" i="19"/>
  <c r="O23" i="11" s="1"/>
  <c r="I116" i="19"/>
  <c r="J116" i="19"/>
  <c r="K116" i="19"/>
  <c r="L116" i="19"/>
  <c r="M116" i="19"/>
  <c r="N116" i="19"/>
  <c r="O116" i="19"/>
  <c r="P116" i="19"/>
  <c r="Q116" i="19"/>
  <c r="R116" i="19"/>
  <c r="H105" i="19"/>
  <c r="O12" i="11" s="1"/>
  <c r="I105" i="19"/>
  <c r="J105" i="19"/>
  <c r="K105" i="19"/>
  <c r="L105" i="19"/>
  <c r="M105" i="19"/>
  <c r="N105" i="19"/>
  <c r="O105" i="19"/>
  <c r="P105" i="19"/>
  <c r="Q105" i="19"/>
  <c r="R105" i="19"/>
  <c r="H106" i="19"/>
  <c r="O13" i="11" s="1"/>
  <c r="I106" i="19"/>
  <c r="J106" i="19"/>
  <c r="K106" i="19"/>
  <c r="L106" i="19"/>
  <c r="M106" i="19"/>
  <c r="N106" i="19"/>
  <c r="O106" i="19"/>
  <c r="P106" i="19"/>
  <c r="Q106" i="19"/>
  <c r="R106" i="19"/>
  <c r="H107" i="19"/>
  <c r="O14" i="11" s="1"/>
  <c r="I107" i="19"/>
  <c r="J107" i="19"/>
  <c r="K107" i="19"/>
  <c r="L107" i="19"/>
  <c r="M107" i="19"/>
  <c r="N107" i="19"/>
  <c r="O107" i="19"/>
  <c r="P107" i="19"/>
  <c r="Q107" i="19"/>
  <c r="R107" i="19"/>
  <c r="H108" i="19"/>
  <c r="O15" i="11" s="1"/>
  <c r="I108" i="19"/>
  <c r="J108" i="19"/>
  <c r="K108" i="19"/>
  <c r="L108" i="19"/>
  <c r="M108" i="19"/>
  <c r="N108" i="19"/>
  <c r="O108" i="19"/>
  <c r="P108" i="19"/>
  <c r="Q108" i="19"/>
  <c r="R108" i="19"/>
  <c r="H109" i="19"/>
  <c r="O16" i="11" s="1"/>
  <c r="I109" i="19"/>
  <c r="J109" i="19"/>
  <c r="K109" i="19"/>
  <c r="L109" i="19"/>
  <c r="M109" i="19"/>
  <c r="N109" i="19"/>
  <c r="O109" i="19"/>
  <c r="P109" i="19"/>
  <c r="Q109" i="19"/>
  <c r="R109" i="19"/>
  <c r="H110" i="19"/>
  <c r="O17" i="11" s="1"/>
  <c r="I110" i="19"/>
  <c r="J110" i="19"/>
  <c r="K110" i="19"/>
  <c r="L110" i="19"/>
  <c r="M110" i="19"/>
  <c r="N110" i="19"/>
  <c r="O110" i="19"/>
  <c r="P110" i="19"/>
  <c r="Q110" i="19"/>
  <c r="R110" i="19"/>
  <c r="H111" i="19"/>
  <c r="O18" i="11" s="1"/>
  <c r="I111" i="19"/>
  <c r="J111" i="19"/>
  <c r="K111" i="19"/>
  <c r="L111" i="19"/>
  <c r="M111" i="19"/>
  <c r="N111" i="19"/>
  <c r="O111" i="19"/>
  <c r="P111" i="19"/>
  <c r="Q111" i="19"/>
  <c r="R111" i="19"/>
  <c r="G111" i="19"/>
  <c r="H18" i="11" s="1"/>
  <c r="G121" i="19"/>
  <c r="H28" i="11" s="1"/>
  <c r="G120" i="19"/>
  <c r="G119" i="19"/>
  <c r="H26" i="11" s="1"/>
  <c r="G118" i="19"/>
  <c r="H25" i="11" s="1"/>
  <c r="G117" i="19"/>
  <c r="H24" i="11" s="1"/>
  <c r="G114" i="19"/>
  <c r="H21" i="11" s="1"/>
  <c r="G115" i="19"/>
  <c r="H22" i="11" s="1"/>
  <c r="G116" i="19"/>
  <c r="H23" i="11" s="1"/>
  <c r="G113" i="19"/>
  <c r="G106" i="19"/>
  <c r="H13" i="11" s="1"/>
  <c r="G107" i="19"/>
  <c r="H14" i="11" s="1"/>
  <c r="G108" i="19"/>
  <c r="H15" i="11" s="1"/>
  <c r="G109" i="19"/>
  <c r="G110" i="19"/>
  <c r="H17" i="11" s="1"/>
  <c r="G105" i="19"/>
  <c r="H12" i="11" s="1"/>
  <c r="H27" i="11" l="1"/>
  <c r="H41" i="11"/>
  <c r="H45" i="11"/>
  <c r="H16" i="11"/>
  <c r="H20" i="11"/>
  <c r="H57" i="11"/>
  <c r="H44" i="11"/>
  <c r="H56" i="11"/>
  <c r="H33" i="11"/>
  <c r="H37" i="11"/>
  <c r="H50" i="11"/>
  <c r="A157" i="19"/>
  <c r="S156" i="19"/>
  <c r="A156" i="19"/>
  <c r="A155" i="19"/>
  <c r="A154" i="19"/>
  <c r="A153" i="19"/>
  <c r="A152" i="19"/>
  <c r="P148" i="19"/>
  <c r="L148" i="19"/>
  <c r="H148" i="19"/>
  <c r="O55" i="11" s="1"/>
  <c r="A150" i="19"/>
  <c r="Q148" i="19"/>
  <c r="M148" i="19"/>
  <c r="I148" i="19"/>
  <c r="A149" i="19"/>
  <c r="R148" i="19"/>
  <c r="O148" i="19"/>
  <c r="N148" i="19"/>
  <c r="K148" i="19"/>
  <c r="J148" i="19"/>
  <c r="G148" i="19"/>
  <c r="H55" i="11" s="1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O40" i="11" s="1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O30" i="11" s="1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O19" i="11" s="1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P103" i="19" s="1"/>
  <c r="A107" i="19"/>
  <c r="A106" i="19"/>
  <c r="R104" i="19"/>
  <c r="L104" i="19"/>
  <c r="J104" i="19"/>
  <c r="A105" i="19"/>
  <c r="N104" i="19"/>
  <c r="H104" i="19"/>
  <c r="O11" i="11" s="1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N63" i="11" s="1"/>
  <c r="G63" i="19"/>
  <c r="R62" i="19"/>
  <c r="Q62" i="19"/>
  <c r="P62" i="19"/>
  <c r="O62" i="19"/>
  <c r="N62" i="19"/>
  <c r="M62" i="19"/>
  <c r="L62" i="19"/>
  <c r="K62" i="19"/>
  <c r="J62" i="19"/>
  <c r="I62" i="19"/>
  <c r="H62" i="19"/>
  <c r="N62" i="11" s="1"/>
  <c r="G62" i="19"/>
  <c r="R61" i="19"/>
  <c r="Q61" i="19"/>
  <c r="P61" i="19"/>
  <c r="O61" i="19"/>
  <c r="N61" i="19"/>
  <c r="M61" i="19"/>
  <c r="L61" i="19"/>
  <c r="K61" i="19"/>
  <c r="J61" i="19"/>
  <c r="I61" i="19"/>
  <c r="H61" i="19"/>
  <c r="N61" i="11" s="1"/>
  <c r="G61" i="19"/>
  <c r="R58" i="19"/>
  <c r="Q58" i="19"/>
  <c r="P58" i="19"/>
  <c r="O58" i="19"/>
  <c r="N58" i="19"/>
  <c r="M58" i="19"/>
  <c r="L58" i="19"/>
  <c r="K58" i="19"/>
  <c r="J58" i="19"/>
  <c r="I58" i="19"/>
  <c r="H58" i="19"/>
  <c r="N58" i="11" s="1"/>
  <c r="G58" i="19"/>
  <c r="R57" i="19"/>
  <c r="Q57" i="19"/>
  <c r="P57" i="19"/>
  <c r="O57" i="19"/>
  <c r="N57" i="19"/>
  <c r="M57" i="19"/>
  <c r="L57" i="19"/>
  <c r="K57" i="19"/>
  <c r="J57" i="19"/>
  <c r="I57" i="19"/>
  <c r="H57" i="19"/>
  <c r="N57" i="11" s="1"/>
  <c r="G57" i="19"/>
  <c r="R56" i="19"/>
  <c r="Q56" i="19"/>
  <c r="P56" i="19"/>
  <c r="O56" i="19"/>
  <c r="N56" i="19"/>
  <c r="M56" i="19"/>
  <c r="L56" i="19"/>
  <c r="K56" i="19"/>
  <c r="J56" i="19"/>
  <c r="I56" i="19"/>
  <c r="H56" i="19"/>
  <c r="N56" i="11" s="1"/>
  <c r="G56" i="19"/>
  <c r="R52" i="19"/>
  <c r="Q52" i="19"/>
  <c r="P52" i="19"/>
  <c r="O52" i="19"/>
  <c r="N52" i="19"/>
  <c r="M52" i="19"/>
  <c r="L52" i="19"/>
  <c r="K52" i="19"/>
  <c r="J52" i="19"/>
  <c r="I52" i="19"/>
  <c r="H52" i="19"/>
  <c r="N52" i="11" s="1"/>
  <c r="G52" i="19"/>
  <c r="R51" i="19"/>
  <c r="Q51" i="19"/>
  <c r="P51" i="19"/>
  <c r="O51" i="19"/>
  <c r="N51" i="19"/>
  <c r="M51" i="19"/>
  <c r="L51" i="19"/>
  <c r="K51" i="19"/>
  <c r="J51" i="19"/>
  <c r="I51" i="19"/>
  <c r="H51" i="19"/>
  <c r="N51" i="11" s="1"/>
  <c r="G51" i="19"/>
  <c r="R50" i="19"/>
  <c r="Q50" i="19"/>
  <c r="P50" i="19"/>
  <c r="O50" i="19"/>
  <c r="N50" i="19"/>
  <c r="M50" i="19"/>
  <c r="L50" i="19"/>
  <c r="K50" i="19"/>
  <c r="J50" i="19"/>
  <c r="I50" i="19"/>
  <c r="H50" i="19"/>
  <c r="N50" i="11" s="1"/>
  <c r="G50" i="19"/>
  <c r="R49" i="19"/>
  <c r="Q49" i="19"/>
  <c r="P49" i="19"/>
  <c r="O49" i="19"/>
  <c r="N49" i="19"/>
  <c r="M49" i="19"/>
  <c r="L49" i="19"/>
  <c r="K49" i="19"/>
  <c r="J49" i="19"/>
  <c r="I49" i="19"/>
  <c r="H49" i="19"/>
  <c r="N49" i="11" s="1"/>
  <c r="G49" i="19"/>
  <c r="R47" i="19"/>
  <c r="Q47" i="19"/>
  <c r="P47" i="19"/>
  <c r="O47" i="19"/>
  <c r="N47" i="19"/>
  <c r="M47" i="19"/>
  <c r="L47" i="19"/>
  <c r="K47" i="19"/>
  <c r="J47" i="19"/>
  <c r="I47" i="19"/>
  <c r="H47" i="19"/>
  <c r="N47" i="11" s="1"/>
  <c r="G47" i="19"/>
  <c r="R46" i="19"/>
  <c r="Q46" i="19"/>
  <c r="P46" i="19"/>
  <c r="O46" i="19"/>
  <c r="N46" i="19"/>
  <c r="M46" i="19"/>
  <c r="L46" i="19"/>
  <c r="K46" i="19"/>
  <c r="J46" i="19"/>
  <c r="I46" i="19"/>
  <c r="H46" i="19"/>
  <c r="N46" i="11" s="1"/>
  <c r="G46" i="19"/>
  <c r="R45" i="19"/>
  <c r="Q45" i="19"/>
  <c r="P45" i="19"/>
  <c r="O45" i="19"/>
  <c r="N45" i="19"/>
  <c r="M45" i="19"/>
  <c r="L45" i="19"/>
  <c r="K45" i="19"/>
  <c r="J45" i="19"/>
  <c r="I45" i="19"/>
  <c r="H45" i="19"/>
  <c r="N45" i="11" s="1"/>
  <c r="G45" i="19"/>
  <c r="R44" i="19"/>
  <c r="Q44" i="19"/>
  <c r="P44" i="19"/>
  <c r="O44" i="19"/>
  <c r="N44" i="19"/>
  <c r="M44" i="19"/>
  <c r="L44" i="19"/>
  <c r="K44" i="19"/>
  <c r="J44" i="19"/>
  <c r="I44" i="19"/>
  <c r="H44" i="19"/>
  <c r="N44" i="11" s="1"/>
  <c r="G44" i="19"/>
  <c r="R43" i="19"/>
  <c r="Q43" i="19"/>
  <c r="P43" i="19"/>
  <c r="O43" i="19"/>
  <c r="N43" i="19"/>
  <c r="M43" i="19"/>
  <c r="L43" i="19"/>
  <c r="K43" i="19"/>
  <c r="J43" i="19"/>
  <c r="I43" i="19"/>
  <c r="H43" i="19"/>
  <c r="N43" i="11" s="1"/>
  <c r="G43" i="19"/>
  <c r="R42" i="19"/>
  <c r="Q42" i="19"/>
  <c r="P42" i="19"/>
  <c r="O42" i="19"/>
  <c r="N42" i="19"/>
  <c r="M42" i="19"/>
  <c r="L42" i="19"/>
  <c r="K42" i="19"/>
  <c r="J42" i="19"/>
  <c r="I42" i="19"/>
  <c r="H42" i="19"/>
  <c r="N42" i="11" s="1"/>
  <c r="G42" i="19"/>
  <c r="R41" i="19"/>
  <c r="Q41" i="19"/>
  <c r="P41" i="19"/>
  <c r="O41" i="19"/>
  <c r="N41" i="19"/>
  <c r="M41" i="19"/>
  <c r="L41" i="19"/>
  <c r="K41" i="19"/>
  <c r="J41" i="19"/>
  <c r="I41" i="19"/>
  <c r="H41" i="19"/>
  <c r="N41" i="11" s="1"/>
  <c r="G41" i="19"/>
  <c r="R39" i="19"/>
  <c r="Q39" i="19"/>
  <c r="P39" i="19"/>
  <c r="O39" i="19"/>
  <c r="N39" i="19"/>
  <c r="M39" i="19"/>
  <c r="L39" i="19"/>
  <c r="K39" i="19"/>
  <c r="J39" i="19"/>
  <c r="I39" i="19"/>
  <c r="H39" i="19"/>
  <c r="N39" i="11" s="1"/>
  <c r="G39" i="19"/>
  <c r="R38" i="19"/>
  <c r="Q38" i="19"/>
  <c r="P38" i="19"/>
  <c r="O38" i="19"/>
  <c r="N38" i="19"/>
  <c r="M38" i="19"/>
  <c r="L38" i="19"/>
  <c r="K38" i="19"/>
  <c r="J38" i="19"/>
  <c r="I38" i="19"/>
  <c r="H38" i="19"/>
  <c r="N38" i="11" s="1"/>
  <c r="G38" i="19"/>
  <c r="R37" i="19"/>
  <c r="Q37" i="19"/>
  <c r="P37" i="19"/>
  <c r="O37" i="19"/>
  <c r="N37" i="19"/>
  <c r="M37" i="19"/>
  <c r="L37" i="19"/>
  <c r="K37" i="19"/>
  <c r="J37" i="19"/>
  <c r="I37" i="19"/>
  <c r="H37" i="19"/>
  <c r="N37" i="11" s="1"/>
  <c r="G37" i="19"/>
  <c r="R36" i="19"/>
  <c r="Q36" i="19"/>
  <c r="P36" i="19"/>
  <c r="O36" i="19"/>
  <c r="N36" i="19"/>
  <c r="M36" i="19"/>
  <c r="L36" i="19"/>
  <c r="K36" i="19"/>
  <c r="J36" i="19"/>
  <c r="I36" i="19"/>
  <c r="H36" i="19"/>
  <c r="N36" i="11" s="1"/>
  <c r="G36" i="19"/>
  <c r="R35" i="19"/>
  <c r="Q35" i="19"/>
  <c r="P35" i="19"/>
  <c r="O35" i="19"/>
  <c r="N35" i="19"/>
  <c r="M35" i="19"/>
  <c r="L35" i="19"/>
  <c r="K35" i="19"/>
  <c r="J35" i="19"/>
  <c r="I35" i="19"/>
  <c r="H35" i="19"/>
  <c r="N35" i="11" s="1"/>
  <c r="G35" i="19"/>
  <c r="R34" i="19"/>
  <c r="Q34" i="19"/>
  <c r="P34" i="19"/>
  <c r="O34" i="19"/>
  <c r="N34" i="19"/>
  <c r="M34" i="19"/>
  <c r="L34" i="19"/>
  <c r="K34" i="19"/>
  <c r="J34" i="19"/>
  <c r="I34" i="19"/>
  <c r="H34" i="19"/>
  <c r="N34" i="11" s="1"/>
  <c r="G34" i="19"/>
  <c r="R33" i="19"/>
  <c r="Q33" i="19"/>
  <c r="P33" i="19"/>
  <c r="O33" i="19"/>
  <c r="N33" i="19"/>
  <c r="M33" i="19"/>
  <c r="L33" i="19"/>
  <c r="K33" i="19"/>
  <c r="J33" i="19"/>
  <c r="I33" i="19"/>
  <c r="H33" i="19"/>
  <c r="N33" i="11" s="1"/>
  <c r="G33" i="19"/>
  <c r="R32" i="19"/>
  <c r="Q32" i="19"/>
  <c r="P32" i="19"/>
  <c r="O32" i="19"/>
  <c r="N32" i="19"/>
  <c r="M32" i="19"/>
  <c r="L32" i="19"/>
  <c r="K32" i="19"/>
  <c r="J32" i="19"/>
  <c r="I32" i="19"/>
  <c r="H32" i="19"/>
  <c r="N32" i="11" s="1"/>
  <c r="G32" i="19"/>
  <c r="R31" i="19"/>
  <c r="Q31" i="19"/>
  <c r="P31" i="19"/>
  <c r="O31" i="19"/>
  <c r="N31" i="19"/>
  <c r="M31" i="19"/>
  <c r="L31" i="19"/>
  <c r="K31" i="19"/>
  <c r="J31" i="19"/>
  <c r="I31" i="19"/>
  <c r="H31" i="19"/>
  <c r="N31" i="11" s="1"/>
  <c r="G31" i="19"/>
  <c r="R28" i="19"/>
  <c r="Q28" i="19"/>
  <c r="P28" i="19"/>
  <c r="O28" i="19"/>
  <c r="N28" i="19"/>
  <c r="M28" i="19"/>
  <c r="L28" i="19"/>
  <c r="K28" i="19"/>
  <c r="J28" i="19"/>
  <c r="I28" i="19"/>
  <c r="H28" i="19"/>
  <c r="N28" i="11" s="1"/>
  <c r="G28" i="19"/>
  <c r="R27" i="19"/>
  <c r="Q27" i="19"/>
  <c r="P27" i="19"/>
  <c r="O27" i="19"/>
  <c r="N27" i="19"/>
  <c r="M27" i="19"/>
  <c r="L27" i="19"/>
  <c r="K27" i="19"/>
  <c r="J27" i="19"/>
  <c r="I27" i="19"/>
  <c r="H27" i="19"/>
  <c r="N27" i="11" s="1"/>
  <c r="G27" i="19"/>
  <c r="R26" i="19"/>
  <c r="Q26" i="19"/>
  <c r="P26" i="19"/>
  <c r="O26" i="19"/>
  <c r="N26" i="19"/>
  <c r="M26" i="19"/>
  <c r="L26" i="19"/>
  <c r="K26" i="19"/>
  <c r="J26" i="19"/>
  <c r="I26" i="19"/>
  <c r="H26" i="19"/>
  <c r="N26" i="11" s="1"/>
  <c r="G26" i="19"/>
  <c r="R25" i="19"/>
  <c r="Q25" i="19"/>
  <c r="P25" i="19"/>
  <c r="O25" i="19"/>
  <c r="N25" i="19"/>
  <c r="M25" i="19"/>
  <c r="L25" i="19"/>
  <c r="K25" i="19"/>
  <c r="J25" i="19"/>
  <c r="I25" i="19"/>
  <c r="H25" i="19"/>
  <c r="N25" i="11" s="1"/>
  <c r="G25" i="19"/>
  <c r="R24" i="19"/>
  <c r="Q24" i="19"/>
  <c r="P24" i="19"/>
  <c r="O24" i="19"/>
  <c r="N24" i="19"/>
  <c r="M24" i="19"/>
  <c r="L24" i="19"/>
  <c r="K24" i="19"/>
  <c r="J24" i="19"/>
  <c r="I24" i="19"/>
  <c r="H24" i="19"/>
  <c r="N24" i="11" s="1"/>
  <c r="G24" i="19"/>
  <c r="R23" i="19"/>
  <c r="Q23" i="19"/>
  <c r="P23" i="19"/>
  <c r="O23" i="19"/>
  <c r="N23" i="19"/>
  <c r="M23" i="19"/>
  <c r="L23" i="19"/>
  <c r="K23" i="19"/>
  <c r="J23" i="19"/>
  <c r="I23" i="19"/>
  <c r="H23" i="19"/>
  <c r="N23" i="11" s="1"/>
  <c r="G23" i="19"/>
  <c r="R22" i="19"/>
  <c r="Q22" i="19"/>
  <c r="P22" i="19"/>
  <c r="O22" i="19"/>
  <c r="N22" i="19"/>
  <c r="M22" i="19"/>
  <c r="L22" i="19"/>
  <c r="K22" i="19"/>
  <c r="J22" i="19"/>
  <c r="I22" i="19"/>
  <c r="H22" i="19"/>
  <c r="N22" i="11" s="1"/>
  <c r="G22" i="19"/>
  <c r="R21" i="19"/>
  <c r="Q21" i="19"/>
  <c r="P21" i="19"/>
  <c r="O21" i="19"/>
  <c r="N21" i="19"/>
  <c r="M21" i="19"/>
  <c r="L21" i="19"/>
  <c r="K21" i="19"/>
  <c r="J21" i="19"/>
  <c r="I21" i="19"/>
  <c r="H21" i="19"/>
  <c r="N21" i="11" s="1"/>
  <c r="G21" i="19"/>
  <c r="R20" i="19"/>
  <c r="Q20" i="19"/>
  <c r="P20" i="19"/>
  <c r="O20" i="19"/>
  <c r="N20" i="19"/>
  <c r="M20" i="19"/>
  <c r="L20" i="19"/>
  <c r="K20" i="19"/>
  <c r="J20" i="19"/>
  <c r="I20" i="19"/>
  <c r="H20" i="19"/>
  <c r="N20" i="11" s="1"/>
  <c r="G20" i="19"/>
  <c r="R19" i="19"/>
  <c r="Q19" i="19"/>
  <c r="P19" i="19"/>
  <c r="O19" i="19"/>
  <c r="N19" i="19"/>
  <c r="M19" i="19"/>
  <c r="L19" i="19"/>
  <c r="K19" i="19"/>
  <c r="J19" i="19"/>
  <c r="I19" i="19"/>
  <c r="H19" i="19"/>
  <c r="N19" i="11" s="1"/>
  <c r="G19" i="19"/>
  <c r="R18" i="19"/>
  <c r="Q18" i="19"/>
  <c r="P18" i="19"/>
  <c r="O18" i="19"/>
  <c r="N18" i="19"/>
  <c r="M18" i="19"/>
  <c r="L18" i="19"/>
  <c r="K18" i="19"/>
  <c r="J18" i="19"/>
  <c r="I18" i="19"/>
  <c r="H18" i="19"/>
  <c r="N18" i="11" s="1"/>
  <c r="G18" i="19"/>
  <c r="R17" i="19"/>
  <c r="Q17" i="19"/>
  <c r="P17" i="19"/>
  <c r="O17" i="19"/>
  <c r="N17" i="19"/>
  <c r="M17" i="19"/>
  <c r="L17" i="19"/>
  <c r="K17" i="19"/>
  <c r="J17" i="19"/>
  <c r="I17" i="19"/>
  <c r="H17" i="19"/>
  <c r="N17" i="11" s="1"/>
  <c r="G17" i="19"/>
  <c r="R16" i="19"/>
  <c r="Q16" i="19"/>
  <c r="P16" i="19"/>
  <c r="O16" i="19"/>
  <c r="N16" i="19"/>
  <c r="M16" i="19"/>
  <c r="L16" i="19"/>
  <c r="K16" i="19"/>
  <c r="J16" i="19"/>
  <c r="I16" i="19"/>
  <c r="H16" i="19"/>
  <c r="N16" i="11" s="1"/>
  <c r="G16" i="19"/>
  <c r="R15" i="19"/>
  <c r="Q15" i="19"/>
  <c r="P15" i="19"/>
  <c r="O15" i="19"/>
  <c r="N15" i="19"/>
  <c r="M15" i="19"/>
  <c r="L15" i="19"/>
  <c r="K15" i="19"/>
  <c r="J15" i="19"/>
  <c r="I15" i="19"/>
  <c r="H15" i="19"/>
  <c r="N15" i="11" s="1"/>
  <c r="G15" i="19"/>
  <c r="R14" i="19"/>
  <c r="Q14" i="19"/>
  <c r="P14" i="19"/>
  <c r="O14" i="19"/>
  <c r="N14" i="19"/>
  <c r="M14" i="19"/>
  <c r="L14" i="19"/>
  <c r="K14" i="19"/>
  <c r="J14" i="19"/>
  <c r="I14" i="19"/>
  <c r="H14" i="19"/>
  <c r="N14" i="11" s="1"/>
  <c r="G14" i="19"/>
  <c r="R13" i="19"/>
  <c r="Q13" i="19"/>
  <c r="P13" i="19"/>
  <c r="O13" i="19"/>
  <c r="N13" i="19"/>
  <c r="M13" i="19"/>
  <c r="L13" i="19"/>
  <c r="K13" i="19"/>
  <c r="J13" i="19"/>
  <c r="I13" i="19"/>
  <c r="H13" i="19"/>
  <c r="N13" i="11" s="1"/>
  <c r="G13" i="19"/>
  <c r="R12" i="19"/>
  <c r="Q12" i="19"/>
  <c r="P12" i="19"/>
  <c r="O12" i="19"/>
  <c r="N12" i="19"/>
  <c r="M12" i="19"/>
  <c r="L12" i="19"/>
  <c r="K12" i="19"/>
  <c r="J12" i="19"/>
  <c r="I12" i="19"/>
  <c r="H12" i="19"/>
  <c r="N12" i="11" s="1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H19" i="11" l="1"/>
  <c r="T125" i="19"/>
  <c r="H40" i="11"/>
  <c r="T156" i="19"/>
  <c r="T129" i="19"/>
  <c r="L103" i="19"/>
  <c r="L122" i="19"/>
  <c r="K122" i="19"/>
  <c r="P122" i="19"/>
  <c r="I55" i="19"/>
  <c r="Q55" i="19"/>
  <c r="O103" i="19"/>
  <c r="H103" i="19"/>
  <c r="O10" i="11" s="1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M122" i="19" s="1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H30" i="11" s="1"/>
  <c r="S137" i="19"/>
  <c r="T137" i="19" s="1"/>
  <c r="S141" i="19"/>
  <c r="T141" i="19" s="1"/>
  <c r="S149" i="19"/>
  <c r="T149" i="19" s="1"/>
  <c r="G104" i="19"/>
  <c r="H11" i="11" s="1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L11" i="19"/>
  <c r="L10" i="19" s="1"/>
  <c r="P11" i="19"/>
  <c r="P10" i="19" s="1"/>
  <c r="H40" i="19"/>
  <c r="N40" i="11" s="1"/>
  <c r="L40" i="19"/>
  <c r="P40" i="19"/>
  <c r="I11" i="19"/>
  <c r="I10" i="19" s="1"/>
  <c r="M11" i="19"/>
  <c r="M10" i="19" s="1"/>
  <c r="Q11" i="19"/>
  <c r="Q10" i="19" s="1"/>
  <c r="H30" i="19"/>
  <c r="N30" i="11" s="1"/>
  <c r="P30" i="19"/>
  <c r="K55" i="19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J10" i="19" s="1"/>
  <c r="N11" i="19"/>
  <c r="N10" i="19" s="1"/>
  <c r="R11" i="19"/>
  <c r="R10" i="19" s="1"/>
  <c r="I40" i="19"/>
  <c r="M40" i="19"/>
  <c r="Q40" i="19"/>
  <c r="H55" i="19"/>
  <c r="N55" i="11" s="1"/>
  <c r="L55" i="19"/>
  <c r="P55" i="19"/>
  <c r="K30" i="19"/>
  <c r="O30" i="19"/>
  <c r="K11" i="19"/>
  <c r="K10" i="19" s="1"/>
  <c r="O11" i="19"/>
  <c r="O10" i="19" s="1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O29" i="11" l="1"/>
  <c r="H10" i="19"/>
  <c r="N10" i="11" s="1"/>
  <c r="N11" i="11"/>
  <c r="G103" i="19"/>
  <c r="H10" i="11" s="1"/>
  <c r="K146" i="19"/>
  <c r="K147" i="19" s="1"/>
  <c r="P146" i="19"/>
  <c r="P147" i="19" s="1"/>
  <c r="L146" i="19"/>
  <c r="L147" i="19" s="1"/>
  <c r="N146" i="19"/>
  <c r="N147" i="19" s="1"/>
  <c r="G122" i="19"/>
  <c r="H29" i="11" s="1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P152" i="19"/>
  <c r="P157" i="19" s="1"/>
  <c r="P153" i="19" s="1"/>
  <c r="S133" i="19"/>
  <c r="T133" i="19" s="1"/>
  <c r="H146" i="19"/>
  <c r="O53" i="11" s="1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M146" i="19" s="1"/>
  <c r="M147" i="19" s="1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FM61" i="6"/>
  <c r="FQ101" i="6"/>
  <c r="FQ86" i="6"/>
  <c r="FQ76" i="6"/>
  <c r="FQ69" i="6"/>
  <c r="FN76" i="6"/>
  <c r="L152" i="19" l="1"/>
  <c r="L157" i="19" s="1"/>
  <c r="L153" i="19" s="1"/>
  <c r="T11" i="19"/>
  <c r="G11" i="11"/>
  <c r="N29" i="11"/>
  <c r="S122" i="19"/>
  <c r="T122" i="19" s="1"/>
  <c r="N152" i="19"/>
  <c r="N157" i="19" s="1"/>
  <c r="N153" i="19" s="1"/>
  <c r="G146" i="19"/>
  <c r="H53" i="11" s="1"/>
  <c r="K152" i="19"/>
  <c r="K157" i="19" s="1"/>
  <c r="K153" i="19" s="1"/>
  <c r="S10" i="19"/>
  <c r="T10" i="19" s="1"/>
  <c r="K53" i="19"/>
  <c r="K59" i="19" s="1"/>
  <c r="K64" i="19" s="1"/>
  <c r="K60" i="19" s="1"/>
  <c r="G55" i="11"/>
  <c r="G30" i="11"/>
  <c r="G40" i="11"/>
  <c r="G53" i="19"/>
  <c r="G54" i="19" s="1"/>
  <c r="H147" i="19"/>
  <c r="O54" i="11" s="1"/>
  <c r="H152" i="19"/>
  <c r="R147" i="19"/>
  <c r="R152" i="19"/>
  <c r="R157" i="19" s="1"/>
  <c r="R153" i="19" s="1"/>
  <c r="O147" i="19"/>
  <c r="O152" i="19"/>
  <c r="O157" i="19" s="1"/>
  <c r="O153" i="19" s="1"/>
  <c r="P53" i="19"/>
  <c r="P54" i="19" s="1"/>
  <c r="R53" i="19"/>
  <c r="R54" i="19" s="1"/>
  <c r="H53" i="19"/>
  <c r="M53" i="19"/>
  <c r="M59" i="19" s="1"/>
  <c r="M64" i="19" s="1"/>
  <c r="M60" i="19" s="1"/>
  <c r="L53" i="19"/>
  <c r="L59" i="19" s="1"/>
  <c r="L64" i="19" s="1"/>
  <c r="L60" i="19" s="1"/>
  <c r="I53" i="19"/>
  <c r="I59" i="19" s="1"/>
  <c r="I64" i="19" s="1"/>
  <c r="I60" i="19" s="1"/>
  <c r="S103" i="19"/>
  <c r="T103" i="19" s="1"/>
  <c r="M152" i="19"/>
  <c r="M157" i="19" s="1"/>
  <c r="M153" i="19" s="1"/>
  <c r="Q152" i="19"/>
  <c r="Q157" i="19" s="1"/>
  <c r="Q153" i="19" s="1"/>
  <c r="O53" i="19"/>
  <c r="O59" i="19" s="1"/>
  <c r="O64" i="19" s="1"/>
  <c r="O60" i="19" s="1"/>
  <c r="Q53" i="19"/>
  <c r="Q54" i="19" s="1"/>
  <c r="J53" i="19"/>
  <c r="J59" i="19" s="1"/>
  <c r="J64" i="19" s="1"/>
  <c r="J60" i="19" s="1"/>
  <c r="S29" i="19"/>
  <c r="T29" i="19" s="1"/>
  <c r="N53" i="19"/>
  <c r="N59" i="19" s="1"/>
  <c r="N64" i="19" s="1"/>
  <c r="N60" i="19" s="1"/>
  <c r="FP101" i="6"/>
  <c r="FO101" i="6"/>
  <c r="FN101" i="6"/>
  <c r="FM101" i="6"/>
  <c r="FL101" i="6"/>
  <c r="FK101" i="6"/>
  <c r="FJ101" i="6"/>
  <c r="FI101" i="6"/>
  <c r="FH101" i="6"/>
  <c r="FG101" i="6"/>
  <c r="FF101" i="6"/>
  <c r="FN86" i="6"/>
  <c r="FL86" i="6"/>
  <c r="FK86" i="6"/>
  <c r="FG86" i="6"/>
  <c r="FP76" i="6"/>
  <c r="FO76" i="6"/>
  <c r="FM76" i="6"/>
  <c r="FL76" i="6"/>
  <c r="FK76" i="6"/>
  <c r="FJ76" i="6"/>
  <c r="FI76" i="6"/>
  <c r="FH76" i="6"/>
  <c r="FG76" i="6"/>
  <c r="FF76" i="6"/>
  <c r="FP69" i="6"/>
  <c r="FO69" i="6"/>
  <c r="FN69" i="6"/>
  <c r="FK69" i="6"/>
  <c r="FH69" i="6"/>
  <c r="FG69" i="6"/>
  <c r="FQ61" i="6"/>
  <c r="FP61" i="6"/>
  <c r="FO61" i="6"/>
  <c r="FN61" i="6"/>
  <c r="FL61" i="6"/>
  <c r="FK61" i="6"/>
  <c r="FJ61" i="6"/>
  <c r="FI61" i="6"/>
  <c r="FH61" i="6"/>
  <c r="FG61" i="6"/>
  <c r="H54" i="19" l="1"/>
  <c r="N54" i="11" s="1"/>
  <c r="N53" i="11"/>
  <c r="H157" i="19"/>
  <c r="O59" i="11"/>
  <c r="G152" i="19"/>
  <c r="H59" i="11" s="1"/>
  <c r="G147" i="19"/>
  <c r="G10" i="11"/>
  <c r="H12" i="1" s="1"/>
  <c r="I12" i="1" s="1"/>
  <c r="I54" i="19"/>
  <c r="K54" i="19"/>
  <c r="G29" i="11"/>
  <c r="H16" i="1" s="1"/>
  <c r="I16" i="1" s="1"/>
  <c r="G59" i="19"/>
  <c r="R59" i="19"/>
  <c r="R64" i="19" s="1"/>
  <c r="R60" i="19" s="1"/>
  <c r="Q59" i="19"/>
  <c r="Q64" i="19" s="1"/>
  <c r="Q60" i="19" s="1"/>
  <c r="H59" i="19"/>
  <c r="P59" i="19"/>
  <c r="P64" i="19" s="1"/>
  <c r="P60" i="19" s="1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H64" i="19" l="1"/>
  <c r="N59" i="11"/>
  <c r="H153" i="19"/>
  <c r="O60" i="11" s="1"/>
  <c r="O64" i="11"/>
  <c r="S147" i="19"/>
  <c r="T147" i="19" s="1"/>
  <c r="H54" i="11"/>
  <c r="G157" i="19"/>
  <c r="H64" i="11" s="1"/>
  <c r="G64" i="19"/>
  <c r="G53" i="11"/>
  <c r="H20" i="1" s="1"/>
  <c r="I20" i="1" s="1"/>
  <c r="S59" i="19"/>
  <c r="T59" i="19" s="1"/>
  <c r="I157" i="19"/>
  <c r="S152" i="19"/>
  <c r="T152" i="19" s="1"/>
  <c r="S54" i="19"/>
  <c r="T54" i="19" s="1"/>
  <c r="H60" i="19" l="1"/>
  <c r="N60" i="11" s="1"/>
  <c r="N64" i="11"/>
  <c r="G153" i="19"/>
  <c r="H60" i="11" s="1"/>
  <c r="G60" i="19"/>
  <c r="S64" i="19"/>
  <c r="T64" i="19" s="1"/>
  <c r="G54" i="11"/>
  <c r="G59" i="11"/>
  <c r="I153" i="19"/>
  <c r="S157" i="19"/>
  <c r="T157" i="19" s="1"/>
  <c r="S153" i="19" l="1"/>
  <c r="T153" i="19" s="1"/>
  <c r="S60" i="19"/>
  <c r="T60" i="19" s="1"/>
  <c r="G64" i="11"/>
  <c r="G12" i="2"/>
  <c r="G60" i="11" l="1"/>
  <c r="I63" i="11"/>
  <c r="J63" i="11"/>
  <c r="J62" i="11"/>
  <c r="I62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Q217" i="6" s="1"/>
  <c r="EQ216" i="6" s="1"/>
  <c r="ER218" i="6"/>
  <c r="ER217" i="6" s="1"/>
  <c r="ER216" i="6" s="1"/>
  <c r="ES218" i="6"/>
  <c r="ES217" i="6" s="1"/>
  <c r="ES216" i="6" s="1"/>
  <c r="G20" i="2" l="1"/>
  <c r="G19" i="2"/>
  <c r="G14" i="2"/>
  <c r="L58" i="11" l="1"/>
  <c r="M61" i="11" l="1"/>
  <c r="L61" i="11"/>
  <c r="M63" i="11"/>
  <c r="L63" i="11"/>
  <c r="M62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W217" i="6" s="1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B142" i="19" s="1"/>
  <c r="G212" i="2"/>
  <c r="B144" i="19" s="1"/>
  <c r="G211" i="2"/>
  <c r="G210" i="2"/>
  <c r="G209" i="2"/>
  <c r="B143" i="19" s="1"/>
  <c r="G208" i="2"/>
  <c r="G207" i="2"/>
  <c r="G206" i="2"/>
  <c r="G205" i="2"/>
  <c r="G204" i="2"/>
  <c r="G203" i="2"/>
  <c r="G202" i="2"/>
  <c r="G201" i="2"/>
  <c r="G200" i="2"/>
  <c r="G199" i="2"/>
  <c r="B141" i="19" s="1"/>
  <c r="G198" i="2"/>
  <c r="G197" i="2"/>
  <c r="G196" i="2"/>
  <c r="G195" i="2"/>
  <c r="G194" i="2"/>
  <c r="G193" i="2"/>
  <c r="G192" i="2"/>
  <c r="G191" i="2"/>
  <c r="G190" i="2"/>
  <c r="G189" i="2"/>
  <c r="G188" i="2"/>
  <c r="B140" i="19" s="1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B139" i="19" s="1"/>
  <c r="G169" i="2"/>
  <c r="G168" i="2"/>
  <c r="G167" i="2"/>
  <c r="G166" i="2"/>
  <c r="B138" i="19" s="1"/>
  <c r="G165" i="2"/>
  <c r="G164" i="2"/>
  <c r="B137" i="19" s="1"/>
  <c r="G163" i="2"/>
  <c r="G162" i="2"/>
  <c r="G161" i="2"/>
  <c r="G160" i="2"/>
  <c r="G159" i="2"/>
  <c r="G158" i="2"/>
  <c r="G157" i="2"/>
  <c r="G156" i="2"/>
  <c r="B136" i="19" s="1"/>
  <c r="G155" i="2"/>
  <c r="G154" i="2"/>
  <c r="G153" i="2"/>
  <c r="G152" i="2"/>
  <c r="G151" i="2"/>
  <c r="G150" i="2"/>
  <c r="B135" i="19" s="1"/>
  <c r="G148" i="2"/>
  <c r="G147" i="2"/>
  <c r="G146" i="2"/>
  <c r="G145" i="2"/>
  <c r="G144" i="2"/>
  <c r="G143" i="2"/>
  <c r="G142" i="2"/>
  <c r="G141" i="2"/>
  <c r="B134" i="19" s="1"/>
  <c r="G140" i="2"/>
  <c r="B133" i="19" s="1"/>
  <c r="G139" i="2"/>
  <c r="G138" i="2"/>
  <c r="G137" i="2"/>
  <c r="G136" i="2"/>
  <c r="G135" i="2"/>
  <c r="G134" i="2"/>
  <c r="G133" i="2"/>
  <c r="G132" i="2"/>
  <c r="G131" i="2"/>
  <c r="G130" i="2"/>
  <c r="B132" i="19" s="1"/>
  <c r="G129" i="2"/>
  <c r="G128" i="2"/>
  <c r="G127" i="2"/>
  <c r="G126" i="2"/>
  <c r="B131" i="19" s="1"/>
  <c r="G125" i="2"/>
  <c r="G124" i="2"/>
  <c r="G123" i="2"/>
  <c r="G122" i="2"/>
  <c r="B130" i="19" s="1"/>
  <c r="G121" i="2"/>
  <c r="G120" i="2"/>
  <c r="G119" i="2"/>
  <c r="B129" i="19" s="1"/>
  <c r="G118" i="2"/>
  <c r="G117" i="2"/>
  <c r="G116" i="2"/>
  <c r="G115" i="2"/>
  <c r="B128" i="19" s="1"/>
  <c r="G114" i="2"/>
  <c r="G113" i="2"/>
  <c r="G112" i="2"/>
  <c r="G111" i="2"/>
  <c r="G110" i="2"/>
  <c r="G109" i="2"/>
  <c r="G108" i="2"/>
  <c r="G107" i="2"/>
  <c r="G106" i="2"/>
  <c r="G105" i="2"/>
  <c r="B127" i="19" s="1"/>
  <c r="G104" i="2"/>
  <c r="G103" i="2"/>
  <c r="G102" i="2"/>
  <c r="G101" i="2"/>
  <c r="G100" i="2"/>
  <c r="G99" i="2"/>
  <c r="G98" i="2"/>
  <c r="B126" i="19" s="1"/>
  <c r="G96" i="2"/>
  <c r="G95" i="2"/>
  <c r="G94" i="2"/>
  <c r="G93" i="2"/>
  <c r="G92" i="2"/>
  <c r="G91" i="2"/>
  <c r="G90" i="2"/>
  <c r="G89" i="2"/>
  <c r="B125" i="19" s="1"/>
  <c r="G88" i="2"/>
  <c r="G87" i="2"/>
  <c r="G86" i="2"/>
  <c r="G85" i="2"/>
  <c r="G84" i="2"/>
  <c r="G83" i="2"/>
  <c r="B124" i="19" s="1"/>
  <c r="G82" i="2"/>
  <c r="B123" i="19" s="1"/>
  <c r="G81" i="2"/>
  <c r="G80" i="2"/>
  <c r="B122" i="19" s="1"/>
  <c r="G79" i="2"/>
  <c r="G78" i="2"/>
  <c r="G77" i="2"/>
  <c r="G76" i="2"/>
  <c r="G75" i="2"/>
  <c r="G74" i="2"/>
  <c r="G73" i="2"/>
  <c r="B121" i="19" s="1"/>
  <c r="G72" i="2"/>
  <c r="G71" i="2"/>
  <c r="G70" i="2"/>
  <c r="B120" i="19" s="1"/>
  <c r="G69" i="2"/>
  <c r="G68" i="2"/>
  <c r="G67" i="2"/>
  <c r="G66" i="2"/>
  <c r="G65" i="2"/>
  <c r="G64" i="2"/>
  <c r="G63" i="2"/>
  <c r="G62" i="2"/>
  <c r="G61" i="2"/>
  <c r="B119" i="19" s="1"/>
  <c r="G60" i="2"/>
  <c r="G59" i="2"/>
  <c r="G58" i="2"/>
  <c r="G57" i="2"/>
  <c r="G56" i="2"/>
  <c r="G55" i="2"/>
  <c r="G54" i="2"/>
  <c r="G53" i="2"/>
  <c r="G52" i="2"/>
  <c r="G51" i="2"/>
  <c r="B118" i="19" s="1"/>
  <c r="G50" i="2"/>
  <c r="G49" i="2"/>
  <c r="G48" i="2"/>
  <c r="G47" i="2"/>
  <c r="G46" i="2"/>
  <c r="G45" i="2"/>
  <c r="G44" i="2"/>
  <c r="B117" i="19" s="1"/>
  <c r="G43" i="2"/>
  <c r="B116" i="19" s="1"/>
  <c r="G42" i="2"/>
  <c r="B115" i="19" s="1"/>
  <c r="G41" i="2"/>
  <c r="B114" i="19" s="1"/>
  <c r="G40" i="2"/>
  <c r="B113" i="19" s="1"/>
  <c r="G39" i="2"/>
  <c r="B112" i="19" s="1"/>
  <c r="G38" i="2"/>
  <c r="B111" i="19" s="1"/>
  <c r="G36" i="2"/>
  <c r="B110" i="19" s="1"/>
  <c r="G35" i="2"/>
  <c r="B109" i="19" s="1"/>
  <c r="G34" i="2"/>
  <c r="B108" i="19" s="1"/>
  <c r="G33" i="2"/>
  <c r="B107" i="19" s="1"/>
  <c r="G32" i="2"/>
  <c r="B106" i="19" s="1"/>
  <c r="G31" i="2"/>
  <c r="B105" i="19" s="1"/>
  <c r="G30" i="2"/>
  <c r="G29" i="2"/>
  <c r="G28" i="2"/>
  <c r="G27" i="2"/>
  <c r="G26" i="2"/>
  <c r="G25" i="2"/>
  <c r="G24" i="2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T385" i="6" s="1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N386" i="6"/>
  <c r="DM386" i="6"/>
  <c r="DM385" i="6" s="1"/>
  <c r="DL386" i="6"/>
  <c r="DK386" i="6"/>
  <c r="DK385" i="6" s="1"/>
  <c r="DJ386" i="6"/>
  <c r="DI386" i="6"/>
  <c r="DH386" i="6"/>
  <c r="DG386" i="6"/>
  <c r="DF386" i="6"/>
  <c r="DE386" i="6"/>
  <c r="DD386" i="6"/>
  <c r="DC386" i="6"/>
  <c r="DC385" i="6" s="1"/>
  <c r="DB386" i="6"/>
  <c r="DA386" i="6"/>
  <c r="CZ386" i="6"/>
  <c r="CY386" i="6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T320" i="6" s="1"/>
  <c r="DS321" i="6"/>
  <c r="DR321" i="6"/>
  <c r="DQ321" i="6"/>
  <c r="DP321" i="6"/>
  <c r="DP320" i="6" s="1"/>
  <c r="DO321" i="6"/>
  <c r="DN321" i="6"/>
  <c r="DM321" i="6"/>
  <c r="DL321" i="6"/>
  <c r="DL320" i="6" s="1"/>
  <c r="DK321" i="6"/>
  <c r="DJ321" i="6"/>
  <c r="DI321" i="6"/>
  <c r="DH321" i="6"/>
  <c r="DH320" i="6" s="1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DN385" i="6"/>
  <c r="CS350" i="6"/>
  <c r="CQ385" i="6"/>
  <c r="CY385" i="6"/>
  <c r="DG385" i="6"/>
  <c r="CU350" i="6"/>
  <c r="DA350" i="6"/>
  <c r="DO385" i="6"/>
  <c r="DB320" i="6" l="1"/>
  <c r="DK320" i="6"/>
  <c r="CQ350" i="6"/>
  <c r="G8" i="3"/>
  <c r="N8" i="3" s="1"/>
  <c r="G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150" i="19"/>
  <c r="B51" i="19"/>
  <c r="B59" i="19"/>
  <c r="B152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T59" i="11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N8" i="1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5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H11" i="1" s="1"/>
  <c r="I31" i="11"/>
  <c r="CM190" i="6"/>
  <c r="CN190" i="6"/>
  <c r="CP190" i="6"/>
  <c r="CQ190" i="6"/>
  <c r="G274" i="2"/>
  <c r="H19" i="1" s="1"/>
  <c r="G273" i="2"/>
  <c r="H15" i="1" s="1"/>
  <c r="G268" i="2"/>
  <c r="D11" i="1" s="1"/>
  <c r="G270" i="2"/>
  <c r="D19" i="1" s="1"/>
  <c r="G244" i="2"/>
  <c r="R8" i="3"/>
  <c r="R8" i="11"/>
  <c r="G269" i="2"/>
  <c r="D15" i="1" s="1"/>
  <c r="I50" i="11"/>
  <c r="J49" i="11"/>
  <c r="J31" i="11"/>
  <c r="I52" i="11"/>
  <c r="J52" i="11"/>
  <c r="I43" i="11"/>
  <c r="DJ262" i="6" l="1"/>
  <c r="S8" i="19"/>
  <c r="G7" i="11"/>
  <c r="S101" i="19"/>
  <c r="T9" i="19"/>
  <c r="T102" i="19" s="1"/>
  <c r="P8" i="3"/>
  <c r="S8" i="3" s="1"/>
  <c r="DH192" i="6"/>
  <c r="T53" i="11"/>
  <c r="T54" i="11"/>
  <c r="P58" i="11"/>
  <c r="Q45" i="11"/>
  <c r="P57" i="11"/>
  <c r="Q36" i="11"/>
  <c r="P34" i="11"/>
  <c r="P23" i="11"/>
  <c r="Q16" i="11"/>
  <c r="P17" i="11"/>
  <c r="Q14" i="11"/>
  <c r="Q56" i="11"/>
  <c r="Q46" i="11"/>
  <c r="Q40" i="11"/>
  <c r="Q5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T60" i="11"/>
  <c r="S59" i="11"/>
  <c r="S63" i="11"/>
  <c r="T63" i="11"/>
  <c r="S62" i="11"/>
  <c r="T58" i="11"/>
  <c r="S58" i="11"/>
  <c r="Q58" i="11"/>
  <c r="S61" i="11"/>
  <c r="T61" i="11"/>
  <c r="CU190" i="6"/>
  <c r="S64" i="11"/>
  <c r="T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T46" i="11"/>
  <c r="S33" i="11"/>
  <c r="S15" i="11"/>
  <c r="T51" i="11"/>
  <c r="S28" i="11"/>
  <c r="T50" i="11"/>
  <c r="S26" i="11"/>
  <c r="S32" i="11"/>
  <c r="T23" i="11"/>
  <c r="T56" i="11"/>
  <c r="T43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T57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28" i="11"/>
  <c r="T45" i="11"/>
  <c r="I48" i="11"/>
  <c r="L27" i="11"/>
  <c r="L18" i="11"/>
  <c r="I18" i="11"/>
  <c r="S36" i="11"/>
  <c r="S51" i="11"/>
  <c r="J18" i="11"/>
  <c r="T36" i="11"/>
  <c r="T49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T52" i="11"/>
  <c r="J27" i="11"/>
  <c r="J33" i="11"/>
  <c r="I28" i="11"/>
  <c r="I33" i="11"/>
  <c r="J51" i="11"/>
  <c r="M49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I21" i="1" l="1"/>
  <c r="I17" i="1"/>
  <c r="I13" i="1"/>
  <c r="M30" i="1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Q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Q57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J56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B7" i="11" s="1"/>
  <c r="Q19" i="11"/>
  <c r="P40" i="11"/>
  <c r="P10" i="11"/>
  <c r="T4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J10" i="11"/>
  <c r="I10" i="11"/>
  <c r="J29" i="11" l="1"/>
  <c r="M29" i="11"/>
  <c r="L29" i="11"/>
  <c r="I29" i="11"/>
  <c r="I53" i="11"/>
  <c r="Q53" i="11"/>
  <c r="P53" i="11"/>
  <c r="P54" i="11"/>
  <c r="CL192" i="6"/>
  <c r="M53" i="11" l="1"/>
  <c r="L53" i="11"/>
  <c r="Q64" i="11"/>
  <c r="P64" i="11"/>
  <c r="P59" i="11"/>
  <c r="Q59" i="11"/>
  <c r="J53" i="11"/>
  <c r="S54" i="11"/>
  <c r="Q54" i="11"/>
  <c r="M54" i="11" l="1"/>
  <c r="J54" i="1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<sst xmlns="http://schemas.openxmlformats.org/spreadsheetml/2006/main" count="1431" uniqueCount="808">
  <si>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</si>
  <si>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</si>
  <si>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</si>
  <si>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</si>
  <si>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</si>
  <si>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</si>
  <si>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</si>
  <si>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</si>
  <si>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</si>
  <si>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</si>
  <si>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</si>
  <si>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</si>
  <si>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</si>
  <si>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</si>
  <si>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</si>
  <si>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</si>
  <si>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</si>
  <si>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</si>
  <si>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</si>
  <si>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</si>
  <si>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</si>
  <si>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</si>
  <si>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</si>
  <si>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</si>
  <si>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</si>
  <si>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</si>
  <si>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</si>
  <si>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</si>
  <si>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</si>
  <si>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</si>
  <si>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</si>
  <si>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</si>
  <si>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</si>
  <si>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</si>
  <si>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</si>
  <si>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</si>
  <si>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</si>
  <si>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</si>
  <si>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</si>
  <si>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</si>
  <si>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</si>
  <si>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</si>
  <si>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</si>
  <si>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</si>
  <si>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</si>
  <si>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</si>
  <si>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</si>
  <si>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</si>
  <si>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</si>
  <si>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</si>
  <si>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</si>
  <si>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</si>
  <si>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</si>
  <si>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</si>
  <si>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</si>
  <si>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</si>
  <si>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</si>
  <si>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</si>
  <si>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</si>
  <si>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</si>
  <si>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</si>
  <si>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</si>
  <si>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</si>
  <si>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</si>
  <si>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</si>
  <si>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</si>
  <si>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</si>
  <si>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</si>
  <si>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</si>
  <si>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</si>
  <si>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</si>
  <si>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</si>
  <si>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</si>
  <si>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</si>
  <si>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</si>
  <si>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</si>
  <si>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</si>
  <si>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</si>
  <si>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</si>
  <si>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</si>
  <si>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</si>
  <si>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</si>
  <si>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</si>
  <si>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</si>
  <si>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</si>
  <si>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</si>
  <si>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</si>
  <si>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</si>
  <si>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</si>
  <si>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</si>
  <si>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</si>
  <si>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</si>
  <si>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</si>
  <si>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</si>
  <si>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</si>
  <si>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</si>
  <si>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</si>
  <si>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</si>
  <si>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</si>
  <si>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</si>
  <si>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</si>
  <si>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</si>
  <si>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</si>
  <si>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</si>
  <si>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</si>
  <si>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</si>
  <si>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</si>
  <si>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</si>
  <si>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</si>
  <si>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</si>
  <si>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</si>
  <si>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</si>
  <si>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</si>
  <si>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</si>
  <si>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</si>
  <si>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</si>
  <si>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</si>
  <si>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</si>
  <si>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</si>
  <si>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</si>
  <si>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</si>
  <si>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</si>
  <si>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</si>
  <si>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</si>
  <si>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</si>
  <si>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</si>
  <si>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</si>
  <si>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</si>
  <si>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</si>
  <si>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</si>
  <si>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</si>
  <si>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</si>
  <si>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</si>
  <si>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</si>
  <si>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</si>
  <si>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</si>
  <si>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</si>
  <si>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</si>
  <si>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</si>
  <si>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</si>
  <si>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</si>
  <si>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</si>
  <si>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</si>
  <si>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</si>
  <si>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</si>
  <si>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</si>
  <si>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</si>
  <si>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</si>
  <si>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</si>
  <si>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</si>
  <si>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</si>
  <si>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</si>
  <si>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</si>
  <si>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</si>
  <si>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</si>
  <si>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</si>
  <si>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</si>
  <si>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</si>
  <si>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</si>
  <si>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</si>
  <si>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</si>
  <si>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</si>
  <si>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</si>
  <si>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</si>
  <si>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</si>
  <si>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</si>
  <si>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</si>
  <si>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</si>
  <si>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</si>
  <si>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</si>
  <si>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</si>
  <si>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</si>
  <si>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</si>
  <si>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</si>
  <si>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</si>
  <si>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</si>
  <si>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</si>
  <si>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</si>
  <si>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</si>
  <si>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</si>
  <si>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</si>
  <si>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</si>
  <si>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</si>
  <si>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</si>
  <si>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</si>
  <si>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</si>
  <si>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</si>
  <si>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</si>
  <si>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</si>
  <si>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</si>
  <si>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</si>
  <si>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</si>
  <si>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</si>
  <si>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</si>
  <si>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</si>
  <si>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</si>
  <si>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</si>
  <si>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</si>
  <si>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</si>
  <si>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</si>
  <si>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</si>
  <si>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</si>
  <si>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</si>
  <si>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</si>
  <si>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</si>
  <si>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</si>
  <si>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</si>
  <si>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</si>
  <si>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</si>
  <si>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</si>
  <si>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</si>
  <si>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</si>
  <si>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</si>
  <si>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</si>
  <si>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</si>
  <si>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</si>
  <si>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</si>
  <si>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</si>
  <si>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</si>
  <si>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</si>
  <si>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</si>
  <si>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</si>
  <si>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</si>
  <si>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</si>
  <si>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</si>
  <si>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</si>
  <si>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</si>
  <si>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</si>
  <si>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</si>
  <si>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</si>
  <si>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</si>
  <si>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</si>
  <si>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</si>
  <si>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</si>
  <si>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</si>
  <si>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</si>
  <si>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</si>
  <si>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</si>
  <si>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</si>
  <si>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</si>
  <si>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</si>
  <si>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</si>
  <si>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</si>
  <si>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</si>
  <si>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</si>
  <si>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</si>
  <si>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</si>
  <si>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</si>
  <si>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</si>
  <si>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</si>
  <si>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</si>
  <si>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</si>
  <si>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</si>
  <si>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</si>
  <si>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</si>
  <si>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</si>
  <si>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</si>
  <si>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</si>
  <si>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</si>
  <si>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</si>
  <si>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</si>
  <si>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</si>
  <si>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</si>
  <si>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</si>
  <si>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</si>
  <si>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</si>
  <si>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</si>
  <si>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</si>
  <si>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</si>
  <si>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</si>
  <si>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</si>
  <si>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</si>
  <si>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</si>
  <si>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</si>
  <si>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</si>
  <si>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</si>
  <si>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</si>
  <si>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</si>
  <si>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</si>
  <si>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</si>
  <si>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</si>
  <si>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</si>
  <si>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</si>
  <si>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</si>
  <si>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</si>
  <si>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</si>
  <si>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</si>
  <si>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</si>
  <si>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</si>
  <si>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</si>
  <si>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</si>
  <si>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</si>
  <si>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</si>
  <si>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</si>
  <si>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</si>
  <si>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</si>
  <si>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</si>
  <si>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</si>
  <si>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</si>
  <si>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</si>
  <si>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</si>
  <si>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</si>
  <si>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</si>
  <si>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</si>
  <si>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</si>
  <si>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</si>
  <si>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</si>
  <si>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</si>
  <si>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</si>
  <si>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</si>
  <si>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</si>
  <si>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</si>
  <si>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</si>
  <si>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</si>
  <si>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</si>
  <si>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</si>
  <si>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</si>
  <si>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</si>
  <si>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</si>
  <si>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</si>
  <si>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</si>
  <si>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</si>
  <si>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</si>
  <si>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</si>
  <si>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</si>
  <si>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</si>
  <si>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</si>
  <si>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</si>
  <si>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</si>
  <si>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</si>
  <si>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</si>
  <si>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</si>
  <si>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</si>
  <si>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</si>
  <si>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</si>
  <si>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</si>
  <si>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</si>
  <si>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</si>
  <si>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</si>
  <si>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</si>
  <si>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</si>
  <si>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</si>
  <si>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</si>
  <si>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</si>
  <si>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</si>
  <si>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</si>
  <si>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</si>
  <si>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</si>
  <si>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</si>
  <si>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</si>
  <si>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</si>
  <si>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</si>
  <si>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</si>
  <si>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</si>
  <si>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</si>
  <si>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</si>
  <si>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</si>
  <si>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</si>
  <si>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</si>
  <si>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</si>
  <si>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</si>
  <si>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</si>
  <si>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</si>
  <si>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</si>
  <si>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</si>
  <si>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</si>
  <si>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</si>
  <si>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</si>
  <si>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</si>
  <si>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</si>
  <si>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</si>
  <si>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</si>
  <si>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</si>
  <si>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</si>
  <si>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</si>
  <si>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</si>
  <si>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</si>
  <si>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</si>
  <si>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</si>
  <si>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</si>
  <si>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</si>
  <si>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</si>
  <si>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</si>
  <si>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</si>
  <si>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</si>
  <si>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</si>
  <si>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</si>
  <si>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</si>
  <si>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</si>
  <si>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</si>
  <si>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</si>
  <si>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</si>
  <si>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</si>
  <si>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</si>
  <si>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</si>
  <si>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</si>
  <si>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</si>
  <si>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</si>
  <si>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</si>
  <si>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</si>
  <si>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</si>
  <si>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</si>
  <si>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</si>
  <si>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</si>
  <si>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</si>
  <si>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</si>
  <si>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</si>
  <si>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</si>
  <si>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</si>
  <si>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</si>
  <si>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</si>
  <si>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</si>
  <si>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</si>
  <si>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</si>
  <si>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</si>
  <si>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</si>
  <si>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</si>
  <si>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</si>
  <si>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</si>
  <si>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</si>
  <si>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</si>
  <si>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</si>
  <si>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</si>
  <si>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</si>
  <si>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</si>
  <si>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</si>
  <si>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</si>
  <si>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</si>
  <si>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</si>
  <si>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</si>
  <si>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</si>
  <si>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</si>
  <si>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</si>
  <si>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</si>
  <si>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</si>
  <si>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</si>
  <si>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</si>
  <si>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</si>
  <si>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</si>
  <si>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</si>
  <si>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</si>
  <si>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</si>
  <si>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</si>
  <si>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</si>
  <si>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</si>
  <si>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</si>
  <si>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</si>
  <si>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</si>
  <si>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</si>
  <si>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</si>
  <si>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</si>
  <si>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</si>
  <si>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</si>
  <si>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</si>
  <si>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</si>
  <si>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</si>
  <si>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</si>
  <si>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</si>
  <si>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</si>
  <si>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</si>
  <si>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</si>
  <si>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</si>
  <si>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</si>
  <si>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</si>
  <si>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</si>
  <si>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</si>
  <si>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</si>
  <si>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</si>
  <si>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</si>
  <si>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</si>
  <si>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</si>
  <si>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</si>
  <si>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</si>
  <si>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</si>
  <si>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</si>
  <si>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</si>
  <si>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</si>
  <si>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</si>
  <si>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</si>
  <si>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</si>
  <si>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</si>
  <si>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</si>
  <si>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</si>
  <si>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</si>
  <si>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</si>
  <si>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</si>
  <si>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</si>
  <si>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</si>
  <si>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</si>
  <si>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</si>
  <si>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</si>
  <si>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</si>
  <si>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</si>
  <si>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</si>
  <si>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</si>
  <si>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</si>
  <si>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</si>
  <si>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</si>
  <si>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</si>
  <si>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</si>
  <si>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</si>
  <si>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</si>
  <si>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</si>
  <si>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</si>
  <si>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</si>
  <si>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</si>
  <si>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</si>
  <si>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</si>
  <si>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</si>
  <si>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</si>
  <si>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</si>
  <si>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</si>
  <si>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</si>
  <si>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</si>
  <si>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</si>
  <si>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</si>
  <si>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</si>
  <si>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</si>
  <si>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</si>
  <si>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</si>
  <si>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</si>
  <si>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</si>
  <si>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</si>
  <si>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</si>
  <si>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</si>
  <si>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</si>
  <si>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</si>
  <si>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</si>
  <si>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</si>
  <si>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</si>
  <si>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</si>
  <si>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</si>
  <si>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</si>
  <si>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</si>
  <si>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</si>
  <si>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</si>
  <si>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</si>
  <si>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</si>
  <si>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</si>
  <si>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</si>
  <si>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</si>
  <si>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</si>
  <si>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</si>
  <si>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</si>
  <si>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</si>
  <si>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</si>
  <si>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</si>
  <si>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</si>
  <si>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</si>
  <si>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</si>
  <si>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</si>
  <si>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</si>
  <si>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</si>
  <si>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</si>
  <si>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</si>
  <si>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</si>
  <si>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</si>
  <si>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</si>
  <si>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</si>
  <si>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</si>
  <si>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</si>
  <si>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</si>
  <si>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</si>
  <si>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</si>
  <si>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</si>
  <si>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</si>
  <si>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</si>
  <si>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</si>
  <si>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</si>
  <si>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</si>
  <si>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</si>
  <si>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</si>
  <si>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</si>
  <si>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</si>
  <si>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</si>
  <si>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</si>
  <si>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</si>
  <si>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</si>
  <si>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</si>
  <si>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</si>
  <si>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</si>
  <si>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</si>
  <si>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</si>
  <si>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</si>
  <si>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</si>
  <si>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</si>
  <si>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</si>
  <si>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</si>
  <si>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</si>
  <si>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</si>
  <si>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</si>
  <si>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</si>
  <si>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</si>
  <si>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</si>
  <si>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</si>
  <si>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</si>
  <si>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</si>
  <si>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</si>
  <si>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</si>
  <si>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</si>
  <si>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</si>
  <si>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</si>
  <si>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</si>
  <si>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</si>
  <si>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</si>
  <si>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</si>
  <si>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</si>
  <si>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</si>
  <si>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</si>
  <si>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</si>
  <si>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</si>
  <si>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</si>
  <si>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</si>
  <si>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</si>
  <si>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</si>
  <si>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</si>
  <si>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</si>
  <si>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</si>
  <si>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</si>
  <si>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</si>
  <si>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</si>
  <si>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</si>
  <si>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</si>
  <si>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</si>
  <si>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</si>
  <si>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</si>
  <si>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</si>
  <si>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</si>
  <si>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</si>
  <si>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</si>
  <si>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</si>
  <si>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</si>
  <si>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</si>
  <si>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</si>
  <si>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</si>
  <si>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</si>
  <si>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</si>
  <si>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</si>
  <si>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</si>
  <si>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</si>
  <si>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</si>
  <si>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</si>
  <si>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</si>
  <si>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</si>
  <si>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</si>
  <si>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</si>
  <si>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</si>
  <si>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</si>
  <si>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</si>
  <si>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</si>
  <si>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</si>
  <si>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</si>
  <si>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</si>
  <si>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</si>
  <si>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</si>
  <si>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</si>
  <si>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</si>
  <si>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</si>
  <si>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</si>
  <si>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</si>
  <si>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</si>
  <si>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</si>
  <si>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</si>
  <si>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</si>
  <si>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</si>
  <si>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</si>
  <si>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</si>
  <si>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</si>
  <si>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</si>
  <si>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</si>
  <si>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</si>
  <si>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</si>
  <si>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</si>
  <si>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</si>
  <si>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</si>
  <si>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</si>
  <si>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</si>
  <si>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</si>
  <si>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</si>
  <si>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</si>
  <si>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</si>
  <si>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</si>
  <si>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</si>
  <si>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</si>
  <si>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</si>
  <si>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</si>
  <si>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</si>
  <si>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</si>
  <si>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</si>
  <si>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</si>
  <si>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</si>
  <si>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</si>
  <si>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</si>
  <si>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</si>
  <si>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</si>
  <si>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</si>
  <si>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</si>
  <si>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</si>
  <si>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</si>
  <si>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</si>
  <si>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</si>
  <si>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</si>
  <si>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</si>
  <si>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</si>
  <si>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</si>
  <si>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</si>
  <si>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</si>
  <si>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</si>
  <si>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</si>
  <si>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</si>
  <si>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</si>
  <si>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</si>
  <si>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</si>
  <si>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</si>
  <si>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</si>
  <si>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</si>
  <si>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</si>
  <si>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</si>
  <si>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</si>
  <si>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</si>
  <si>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</si>
  <si>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</si>
  <si>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</si>
  <si>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</si>
  <si>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</si>
  <si>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</si>
  <si>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</si>
  <si>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</si>
  <si>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</si>
  <si>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</si>
  <si>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</si>
  <si>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</si>
  <si>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</si>
  <si>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</si>
  <si>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</si>
  <si>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</si>
  <si>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</si>
  <si>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</si>
  <si>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</si>
  <si>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</si>
  <si>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</si>
  <si>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</si>
  <si>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</si>
  <si>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</si>
  <si>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</si>
  <si>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</si>
  <si>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</si>
  <si>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</si>
  <si>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</si>
  <si>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</si>
  <si>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</si>
  <si>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</si>
  <si>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</si>
  <si>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</si>
  <si>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</si>
  <si>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</si>
  <si>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</si>
  <si>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</si>
  <si>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</si>
  <si>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</si>
  <si>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</si>
  <si>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</si>
  <si>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</si>
  <si>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</si>
  <si>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</si>
  <si>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</si>
  <si>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</si>
  <si>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</si>
  <si>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</si>
  <si>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</si>
  <si>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</si>
  <si>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</si>
  <si>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</si>
  <si>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</si>
  <si>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</si>
  <si>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</si>
  <si>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</si>
  <si>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</si>
  <si>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</si>
  <si>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</si>
  <si>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</si>
  <si>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</si>
  <si>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</si>
  <si>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</si>
  <si>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</si>
  <si>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</si>
  <si>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</si>
  <si>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</si>
  <si>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</si>
  <si>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</si>
  <si>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</si>
  <si>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</si>
  <si>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</si>
  <si>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</si>
  <si>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</si>
  <si>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</si>
  <si>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</si>
  <si>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</si>
  <si>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Izdaci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</si>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</sst>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0" fontId="65" fillId="3" borderId="7" xfId="0" applyNumberFormat="1" applyFont="1" applyFill="1" applyBorder="1" applyAlignment="1" applyProtection="1">
      <alignment vertical="center"/>
      <protection hidden="1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6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7" fillId="0" borderId="0" xfId="0" applyNumberFormat="1" applyFont="1"/>
    <xf numFmtId="4" fontId="76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8012944"/>
        <c:axId val="-1358000432"/>
      </c:lineChart>
      <c:catAx>
        <c:axId val="-135801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-1358000432"/>
        <c:crosses val="autoZero"/>
        <c:auto val="1"/>
        <c:lblAlgn val="ctr"/>
        <c:lblOffset val="100"/>
        <c:tickLblSkip val="3"/>
        <c:noMultiLvlLbl val="0"/>
      </c:catAx>
      <c:valAx>
        <c:axId val="-1358000432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35801294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7999344"/>
        <c:axId val="-1358012400"/>
      </c:lineChart>
      <c:catAx>
        <c:axId val="-135799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-1358012400"/>
        <c:crosses val="autoZero"/>
        <c:auto val="1"/>
        <c:lblAlgn val="ctr"/>
        <c:lblOffset val="100"/>
        <c:tickLblSkip val="3"/>
        <c:noMultiLvlLbl val="0"/>
      </c:catAx>
      <c:valAx>
        <c:axId val="-1358012400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357999344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februar 2020. godine iznosili su 214,1 mil.€ ili 4,26% BDP-a i veći su za 1,4 mil.€ ili 0,7% u odnosu na plan. U odnosu na isti period prethodne godine prihodi su manji za 9,7 mil.€ ili 4,3%.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februar 2020. godine iznosili su 274,1 mil.€ ili 5,45% BDP-a i veći su za  3,6 mil. € ili 1,3% u odnosu na isti period prethodne godine. U odnosu na plan izdaci su manji za 94,6 mil.€ ili 25,7%. U periodu januar - februar 2020.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60,0 mil.€ ili 1,19%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vremenskog usklađivanja, dok su ostale stavke prikazane na gotovinskoj osnovi.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8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644238</xdr:colOff>
      <xdr:row>1</xdr:row>
      <xdr:rowOff>182706</xdr:rowOff>
    </xdr:from>
    <xdr:to>
      <xdr:col>12</xdr:col>
      <xdr:colOff>765303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13</xdr:col>
      <xdr:colOff>237260</xdr:colOff>
      <xdr:row>1</xdr:row>
      <xdr:rowOff>174048</xdr:rowOff>
    </xdr:from>
    <xdr:to>
      <xdr:col>15</xdr:col>
      <xdr:colOff>444916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706583</xdr:colOff>
      <xdr:row>1</xdr:row>
      <xdr:rowOff>176646</xdr:rowOff>
    </xdr:from>
    <xdr:to>
      <xdr:col>17</xdr:col>
      <xdr:colOff>862284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28575</xdr:colOff>
      <xdr:row>2</xdr:row>
      <xdr:rowOff>123824</xdr:rowOff>
    </xdr:from>
    <xdr:to>
      <xdr:col>10</xdr:col>
      <xdr:colOff>248285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10</xdr:col>
      <xdr:colOff>552450</xdr:colOff>
      <xdr:row>2</xdr:row>
      <xdr:rowOff>123824</xdr:rowOff>
    </xdr:from>
    <xdr:to>
      <xdr:col>13</xdr:col>
      <xdr:colOff>302260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619125</xdr:colOff>
      <xdr:row>3</xdr:row>
      <xdr:rowOff>28575</xdr:rowOff>
    </xdr:from>
    <xdr:to>
      <xdr:col>15</xdr:col>
      <xdr:colOff>476568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16</xdr:col>
      <xdr:colOff>47625</xdr:colOff>
      <xdr:row>3</xdr:row>
      <xdr:rowOff>9525</xdr:rowOff>
    </xdr:from>
    <xdr:to>
      <xdr:col>17</xdr:col>
      <xdr:colOff>619443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466725</xdr:colOff>
      <xdr:row>2</xdr:row>
      <xdr:rowOff>76200</xdr:rowOff>
    </xdr:from>
    <xdr:to>
      <xdr:col>10</xdr:col>
      <xdr:colOff>686435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409575</xdr:colOff>
      <xdr:row>2</xdr:row>
      <xdr:rowOff>152400</xdr:rowOff>
    </xdr:from>
    <xdr:to>
      <xdr:col>13</xdr:col>
      <xdr:colOff>267018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628650</xdr:colOff>
      <xdr:row>2</xdr:row>
      <xdr:rowOff>161925</xdr:rowOff>
    </xdr:from>
    <xdr:to>
      <xdr:col>15</xdr:col>
      <xdr:colOff>486093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581025</xdr:colOff>
      <xdr:row>2</xdr:row>
      <xdr:rowOff>66674</xdr:rowOff>
    </xdr:from>
    <xdr:to>
      <xdr:col>11</xdr:col>
      <xdr:colOff>86360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523875</xdr:colOff>
      <xdr:row>2</xdr:row>
      <xdr:rowOff>161925</xdr:rowOff>
    </xdr:from>
    <xdr:to>
      <xdr:col>13</xdr:col>
      <xdr:colOff>381318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14</xdr:col>
      <xdr:colOff>57150</xdr:colOff>
      <xdr:row>2</xdr:row>
      <xdr:rowOff>171450</xdr:rowOff>
    </xdr:from>
    <xdr:to>
      <xdr:col>15</xdr:col>
      <xdr:colOff>628968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257175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.minic/Desktop/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/>
          <cell r="CY2"/>
          <cell r="CZ2"/>
          <cell r="DA2"/>
          <cell r="DB2"/>
          <cell r="DC2"/>
          <cell r="DD2"/>
          <cell r="DE2"/>
          <cell r="DF2"/>
          <cell r="DG2"/>
          <cell r="DH2"/>
          <cell r="DI2"/>
        </row>
        <row r="3">
          <cell r="CX3"/>
          <cell r="CY3"/>
          <cell r="CZ3"/>
          <cell r="DA3"/>
          <cell r="DB3"/>
          <cell r="DC3"/>
          <cell r="DD3"/>
          <cell r="DE3"/>
          <cell r="DF3"/>
          <cell r="DG3"/>
          <cell r="DH3"/>
          <cell r="DI3"/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/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/>
        </row>
        <row r="6">
          <cell r="E6" t="str">
            <v>OSTVARENJE BUDŽETA</v>
          </cell>
          <cell r="F6">
            <v>2006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>
            <v>2007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>
            <v>2008</v>
          </cell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>
            <v>2009</v>
          </cell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>
            <v>2010</v>
          </cell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>
            <v>2011</v>
          </cell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>
            <v>2012</v>
          </cell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>
            <v>2013</v>
          </cell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>
            <v>2014</v>
          </cell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>
            <v>2015</v>
          </cell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</row>
        <row r="7">
          <cell r="E7"/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  <cell r="JA8"/>
          <cell r="JB8"/>
          <cell r="JC8"/>
          <cell r="JD8"/>
          <cell r="JE8"/>
          <cell r="JF8"/>
          <cell r="JG8"/>
          <cell r="JH8"/>
          <cell r="JI8"/>
          <cell r="JJ8"/>
          <cell r="JK8"/>
          <cell r="JL8"/>
          <cell r="JM8"/>
          <cell r="JN8"/>
          <cell r="JO8"/>
          <cell r="JP8"/>
          <cell r="JQ8"/>
          <cell r="JR8"/>
          <cell r="JS8"/>
          <cell r="JT8"/>
          <cell r="JU8"/>
          <cell r="JV8"/>
          <cell r="JW8"/>
          <cell r="JX8"/>
          <cell r="JY8"/>
          <cell r="JZ8"/>
          <cell r="KA8"/>
          <cell r="KB8"/>
          <cell r="KC8"/>
          <cell r="KD8"/>
          <cell r="KE8"/>
          <cell r="KF8"/>
          <cell r="KG8"/>
          <cell r="KH8"/>
          <cell r="KI8"/>
          <cell r="KJ8"/>
          <cell r="KK8"/>
          <cell r="KL8"/>
          <cell r="KM8"/>
          <cell r="KN8"/>
          <cell r="KO8"/>
          <cell r="KP8"/>
          <cell r="KQ8"/>
          <cell r="KR8"/>
          <cell r="KS8"/>
          <cell r="KT8"/>
          <cell r="KU8"/>
          <cell r="KV8"/>
          <cell r="KW8"/>
          <cell r="KX8"/>
          <cell r="KY8"/>
          <cell r="KZ8"/>
          <cell r="LA8"/>
          <cell r="LB8"/>
          <cell r="LC8"/>
          <cell r="LD8"/>
          <cell r="LE8"/>
          <cell r="LF8"/>
          <cell r="LG8"/>
          <cell r="LH8"/>
          <cell r="LI8"/>
        </row>
        <row r="9">
          <cell r="B9">
            <v>71</v>
          </cell>
          <cell r="D9">
            <v>71</v>
          </cell>
          <cell r="E9" t="str">
            <v>Tekući prihodi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/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</row>
        <row r="10">
          <cell r="A10"/>
          <cell r="B10"/>
          <cell r="C10">
            <v>711</v>
          </cell>
          <cell r="D10">
            <v>711</v>
          </cell>
          <cell r="E10" t="str">
            <v>Porezi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  <cell r="GF10"/>
          <cell r="GG10"/>
          <cell r="GH10"/>
          <cell r="GI10"/>
          <cell r="GJ10"/>
          <cell r="GK10"/>
          <cell r="GL10"/>
          <cell r="GM10"/>
          <cell r="GN10"/>
          <cell r="GO10"/>
          <cell r="GP10"/>
          <cell r="GQ10"/>
          <cell r="GR10"/>
          <cell r="GS10"/>
          <cell r="GT10"/>
          <cell r="GU10"/>
          <cell r="GV10"/>
          <cell r="GW10"/>
          <cell r="GX10"/>
          <cell r="GY10"/>
          <cell r="GZ10"/>
          <cell r="HA10"/>
          <cell r="HB10"/>
          <cell r="HC10"/>
          <cell r="HD10"/>
          <cell r="HE10"/>
          <cell r="HF10"/>
          <cell r="HG10"/>
          <cell r="HH10"/>
          <cell r="HI10"/>
          <cell r="HJ10"/>
          <cell r="HK10"/>
          <cell r="HL10"/>
          <cell r="HM10"/>
          <cell r="HN10"/>
          <cell r="HO10"/>
          <cell r="HP10"/>
          <cell r="HQ10"/>
          <cell r="HR10"/>
          <cell r="HS10"/>
          <cell r="HT10"/>
          <cell r="HU10"/>
          <cell r="HV10"/>
          <cell r="HW10"/>
          <cell r="HX10"/>
          <cell r="HY10"/>
          <cell r="HZ10"/>
          <cell r="IA10"/>
          <cell r="IB10"/>
          <cell r="IC10"/>
          <cell r="ID10"/>
          <cell r="IE10"/>
          <cell r="IF10"/>
          <cell r="IG10"/>
          <cell r="IH10"/>
          <cell r="II10"/>
          <cell r="IJ10"/>
          <cell r="IK10"/>
          <cell r="IL10"/>
          <cell r="IM10"/>
          <cell r="IN10"/>
          <cell r="IO10"/>
          <cell r="IP10"/>
          <cell r="IQ10"/>
          <cell r="IR10"/>
          <cell r="IS10"/>
          <cell r="IT10"/>
          <cell r="IU10"/>
          <cell r="IV10"/>
          <cell r="IW10"/>
          <cell r="IX10"/>
          <cell r="IY10"/>
          <cell r="IZ10"/>
          <cell r="JA10"/>
          <cell r="JB10"/>
          <cell r="JC10"/>
          <cell r="JD10"/>
          <cell r="JE10"/>
          <cell r="JF10"/>
          <cell r="JG10"/>
          <cell r="JH10"/>
          <cell r="JI10"/>
          <cell r="JJ10"/>
          <cell r="JK10"/>
          <cell r="JL10"/>
          <cell r="JM10"/>
          <cell r="JN10"/>
          <cell r="JO10"/>
          <cell r="JP10"/>
          <cell r="JQ10"/>
          <cell r="JR10"/>
          <cell r="JS10"/>
          <cell r="JT10"/>
          <cell r="JU10"/>
          <cell r="JV10"/>
          <cell r="JW10"/>
          <cell r="JX10"/>
          <cell r="JY10"/>
          <cell r="JZ10"/>
          <cell r="KA10"/>
          <cell r="KB10"/>
          <cell r="KC10"/>
          <cell r="KD10"/>
          <cell r="KE10"/>
          <cell r="KF10"/>
          <cell r="KG10"/>
          <cell r="KH10"/>
          <cell r="KI10"/>
          <cell r="KJ10"/>
          <cell r="KK10"/>
          <cell r="KL10"/>
          <cell r="KM10"/>
          <cell r="KN10"/>
          <cell r="KO10"/>
          <cell r="KP10"/>
          <cell r="KQ10"/>
          <cell r="KR10"/>
          <cell r="KS10"/>
          <cell r="KT10"/>
          <cell r="KU10"/>
          <cell r="KV10"/>
          <cell r="KW10"/>
          <cell r="KX10"/>
          <cell r="KY10"/>
          <cell r="KZ10"/>
          <cell r="LA10"/>
          <cell r="LB10"/>
          <cell r="LC10"/>
          <cell r="LD10"/>
          <cell r="LE10"/>
          <cell r="LF10"/>
          <cell r="LG10"/>
          <cell r="LH10"/>
          <cell r="LI10"/>
        </row>
        <row r="11">
          <cell r="D11">
            <v>7111</v>
          </cell>
          <cell r="E11" t="str">
            <v>Porez na dohodak fizičkih lica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  <cell r="GF11"/>
          <cell r="GG11"/>
          <cell r="GH11"/>
          <cell r="GI11"/>
          <cell r="GJ11"/>
          <cell r="GK11"/>
          <cell r="GL11"/>
          <cell r="GM11"/>
          <cell r="GN11"/>
          <cell r="GO11"/>
          <cell r="GP11"/>
          <cell r="GQ11"/>
          <cell r="GR11"/>
          <cell r="GS11"/>
          <cell r="GT11"/>
          <cell r="GU11"/>
          <cell r="GV11"/>
          <cell r="GW11"/>
          <cell r="GX11"/>
          <cell r="GY11"/>
          <cell r="GZ11"/>
          <cell r="HA11"/>
          <cell r="HB11"/>
          <cell r="HC11"/>
          <cell r="HD11"/>
          <cell r="HE11"/>
          <cell r="HF11"/>
          <cell r="HG11"/>
          <cell r="HH11"/>
          <cell r="HI11"/>
          <cell r="HJ11"/>
          <cell r="HK11"/>
          <cell r="HL11"/>
          <cell r="HM11"/>
          <cell r="HN11"/>
          <cell r="HO11"/>
          <cell r="HP11"/>
          <cell r="HQ11"/>
          <cell r="HR11"/>
          <cell r="HS11"/>
          <cell r="HT11"/>
          <cell r="HU11"/>
          <cell r="HV11"/>
          <cell r="HW11"/>
          <cell r="HX11"/>
          <cell r="HY11"/>
          <cell r="HZ11"/>
          <cell r="IA11"/>
          <cell r="IB11"/>
          <cell r="IC11"/>
          <cell r="ID11"/>
          <cell r="IE11"/>
          <cell r="IF11"/>
          <cell r="IG11"/>
          <cell r="IH11"/>
          <cell r="II11"/>
          <cell r="IJ11"/>
          <cell r="IK11"/>
          <cell r="IL11"/>
          <cell r="IM11"/>
          <cell r="IN11"/>
          <cell r="IO11"/>
          <cell r="IP11"/>
          <cell r="IQ11"/>
          <cell r="IR11"/>
          <cell r="IS11"/>
          <cell r="IT11"/>
          <cell r="IU11"/>
          <cell r="IV11"/>
          <cell r="IW11"/>
          <cell r="IX11"/>
          <cell r="IY11"/>
          <cell r="IZ11"/>
          <cell r="JA11"/>
          <cell r="JB11"/>
          <cell r="JC11"/>
          <cell r="JD11"/>
          <cell r="JE11"/>
          <cell r="JF11"/>
          <cell r="JG11"/>
          <cell r="JH11"/>
          <cell r="JI11"/>
          <cell r="JJ11"/>
          <cell r="JK11"/>
          <cell r="JL11"/>
          <cell r="JM11"/>
          <cell r="JN11"/>
          <cell r="JO11"/>
          <cell r="JP11"/>
          <cell r="JQ11"/>
          <cell r="JR11"/>
          <cell r="JS11"/>
          <cell r="JT11"/>
          <cell r="JU11"/>
          <cell r="JV11"/>
          <cell r="JW11"/>
          <cell r="JX11"/>
          <cell r="JY11"/>
          <cell r="JZ11"/>
          <cell r="KA11"/>
          <cell r="KB11"/>
          <cell r="KC11"/>
          <cell r="KD11"/>
          <cell r="KE11"/>
          <cell r="KF11"/>
          <cell r="KG11"/>
          <cell r="KH11"/>
          <cell r="KI11"/>
          <cell r="KJ11"/>
          <cell r="KK11"/>
          <cell r="KL11"/>
          <cell r="KM11"/>
          <cell r="KN11"/>
          <cell r="KO11"/>
          <cell r="KP11"/>
          <cell r="KQ11"/>
          <cell r="KR11"/>
          <cell r="KS11"/>
          <cell r="KT11"/>
          <cell r="KU11"/>
          <cell r="KV11"/>
          <cell r="KW11"/>
          <cell r="KX11"/>
          <cell r="KY11"/>
          <cell r="KZ11"/>
          <cell r="LA11"/>
          <cell r="LB11"/>
          <cell r="LC11"/>
          <cell r="LD11"/>
          <cell r="LE11"/>
          <cell r="LF11"/>
          <cell r="LG11"/>
          <cell r="LH11"/>
          <cell r="LI11"/>
        </row>
        <row r="12">
          <cell r="D12">
            <v>7112</v>
          </cell>
          <cell r="E12" t="str">
            <v>Porez na dobit pravnih lica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  <cell r="JA12"/>
          <cell r="JB12"/>
          <cell r="JC12"/>
          <cell r="JD12"/>
          <cell r="JE12"/>
          <cell r="JF12"/>
          <cell r="JG12"/>
          <cell r="JH12"/>
          <cell r="JI12"/>
          <cell r="JJ12"/>
          <cell r="JK12"/>
          <cell r="JL12"/>
          <cell r="JM12"/>
          <cell r="JN12"/>
          <cell r="JO12"/>
          <cell r="JP12"/>
          <cell r="JQ12"/>
          <cell r="JR12"/>
          <cell r="JS12"/>
          <cell r="JT12"/>
          <cell r="JU12"/>
          <cell r="JV12"/>
          <cell r="JW12"/>
          <cell r="JX12"/>
          <cell r="JY12"/>
          <cell r="JZ12"/>
          <cell r="KA12"/>
          <cell r="KB12"/>
          <cell r="KC12"/>
          <cell r="KD12"/>
          <cell r="KE12"/>
          <cell r="KF12"/>
          <cell r="KG12"/>
          <cell r="KH12"/>
          <cell r="KI12"/>
          <cell r="KJ12"/>
          <cell r="KK12"/>
          <cell r="KL12"/>
          <cell r="KM12"/>
          <cell r="KN12"/>
          <cell r="KO12"/>
          <cell r="KP12"/>
          <cell r="KQ12"/>
          <cell r="KR12"/>
          <cell r="KS12"/>
          <cell r="KT12"/>
          <cell r="KU12"/>
          <cell r="KV12"/>
          <cell r="KW12"/>
          <cell r="KX12"/>
          <cell r="KY12"/>
          <cell r="KZ12"/>
          <cell r="LA12"/>
          <cell r="LB12"/>
          <cell r="LC12"/>
          <cell r="LD12"/>
          <cell r="LE12"/>
          <cell r="LF12"/>
          <cell r="LG12"/>
          <cell r="LH12"/>
          <cell r="LI12"/>
        </row>
        <row r="13">
          <cell r="D13">
            <v>7113</v>
          </cell>
          <cell r="E13" t="str">
            <v>Porez na promet nepokretnosti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  <cell r="GF13"/>
          <cell r="GG13"/>
          <cell r="GH13"/>
          <cell r="GI13"/>
          <cell r="GJ13"/>
          <cell r="GK13"/>
          <cell r="GL13"/>
          <cell r="GM13"/>
          <cell r="GN13"/>
          <cell r="GO13"/>
          <cell r="GP13"/>
          <cell r="GQ13"/>
          <cell r="GR13"/>
          <cell r="GS13"/>
          <cell r="GT13"/>
          <cell r="GU13"/>
          <cell r="GV13"/>
          <cell r="GW13"/>
          <cell r="GX13"/>
          <cell r="GY13"/>
          <cell r="GZ13"/>
          <cell r="HA13"/>
          <cell r="HB13"/>
          <cell r="HC13"/>
          <cell r="HD13"/>
          <cell r="HE13"/>
          <cell r="HF13"/>
          <cell r="HG13"/>
          <cell r="HH13"/>
          <cell r="HI13"/>
          <cell r="HJ13"/>
          <cell r="HK13"/>
          <cell r="HL13"/>
          <cell r="HM13"/>
          <cell r="HN13"/>
          <cell r="HO13"/>
          <cell r="HP13"/>
          <cell r="HQ13"/>
          <cell r="HR13"/>
          <cell r="HS13"/>
          <cell r="HT13"/>
          <cell r="HU13"/>
          <cell r="HV13"/>
          <cell r="HW13"/>
          <cell r="HX13"/>
          <cell r="HY13"/>
          <cell r="HZ13"/>
          <cell r="IA13"/>
          <cell r="IB13"/>
          <cell r="IC13"/>
          <cell r="ID13"/>
          <cell r="IE13"/>
          <cell r="IF13"/>
          <cell r="IG13"/>
          <cell r="IH13"/>
          <cell r="II13"/>
          <cell r="IJ13"/>
          <cell r="IK13"/>
          <cell r="IL13"/>
          <cell r="IM13"/>
          <cell r="IN13"/>
          <cell r="IO13"/>
          <cell r="IP13"/>
          <cell r="IQ13"/>
          <cell r="IR13"/>
          <cell r="IS13"/>
          <cell r="IT13"/>
          <cell r="IU13"/>
          <cell r="IV13"/>
          <cell r="IW13"/>
          <cell r="IX13"/>
          <cell r="IY13"/>
          <cell r="IZ13"/>
          <cell r="JA13"/>
          <cell r="JB13"/>
          <cell r="JC13"/>
          <cell r="JD13"/>
          <cell r="JE13"/>
          <cell r="JF13"/>
          <cell r="JG13"/>
          <cell r="JH13"/>
          <cell r="JI13"/>
          <cell r="JJ13"/>
          <cell r="JK13"/>
          <cell r="JL13"/>
          <cell r="JM13"/>
          <cell r="JN13"/>
          <cell r="JO13"/>
          <cell r="JP13"/>
          <cell r="JQ13"/>
          <cell r="JR13"/>
          <cell r="JS13"/>
          <cell r="JT13"/>
          <cell r="JU13"/>
          <cell r="JV13"/>
          <cell r="JW13"/>
          <cell r="JX13"/>
          <cell r="JY13"/>
          <cell r="JZ13"/>
          <cell r="KA13"/>
          <cell r="KB13"/>
          <cell r="KC13"/>
          <cell r="KD13"/>
          <cell r="KE13"/>
          <cell r="KF13"/>
          <cell r="KG13"/>
          <cell r="KH13"/>
          <cell r="KI13"/>
          <cell r="KJ13"/>
          <cell r="KK13"/>
          <cell r="KL13"/>
          <cell r="KM13"/>
          <cell r="KN13"/>
          <cell r="KO13"/>
          <cell r="KP13"/>
          <cell r="KQ13"/>
          <cell r="KR13"/>
          <cell r="KS13"/>
          <cell r="KT13"/>
          <cell r="KU13"/>
          <cell r="KV13"/>
          <cell r="KW13"/>
          <cell r="KX13"/>
          <cell r="KY13"/>
          <cell r="KZ13"/>
          <cell r="LA13"/>
          <cell r="LB13"/>
          <cell r="LC13"/>
          <cell r="LD13"/>
          <cell r="LE13"/>
          <cell r="LF13"/>
          <cell r="LG13"/>
          <cell r="LH13"/>
          <cell r="LI13"/>
        </row>
        <row r="14">
          <cell r="D14">
            <v>7114</v>
          </cell>
          <cell r="E14" t="str">
            <v>Porez na dodatu vrijednost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</row>
        <row r="15">
          <cell r="D15">
            <v>7115</v>
          </cell>
          <cell r="E15" t="str">
            <v>Akcize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</row>
        <row r="16">
          <cell r="D16">
            <v>7116</v>
          </cell>
          <cell r="E16" t="str">
            <v>Porez na međunarodnu trgovinu i transakcije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</row>
        <row r="17">
          <cell r="D17">
            <v>7118</v>
          </cell>
          <cell r="E17" t="str">
            <v>Ostali republički porezi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/>
          <cell r="FS17"/>
          <cell r="FT17"/>
          <cell r="FU17"/>
          <cell r="FV17"/>
          <cell r="FW17"/>
          <cell r="FX17"/>
          <cell r="FY17"/>
          <cell r="FZ17"/>
          <cell r="GA17"/>
          <cell r="GB17"/>
          <cell r="GC17"/>
          <cell r="GD17"/>
          <cell r="GE17"/>
          <cell r="GF17"/>
          <cell r="GG17"/>
          <cell r="GH17"/>
          <cell r="GI17"/>
          <cell r="GJ17"/>
          <cell r="GK17"/>
          <cell r="GL17"/>
          <cell r="GM17"/>
          <cell r="GN17"/>
          <cell r="GO17"/>
          <cell r="GP17"/>
          <cell r="GQ17"/>
          <cell r="GR17"/>
          <cell r="GS17"/>
          <cell r="GT17"/>
          <cell r="GU17"/>
          <cell r="GV17"/>
          <cell r="GW17"/>
          <cell r="GX17"/>
          <cell r="GY17"/>
          <cell r="GZ17"/>
          <cell r="HA17"/>
          <cell r="HB17"/>
          <cell r="HC17"/>
          <cell r="HD17"/>
          <cell r="HE17"/>
          <cell r="HF17"/>
          <cell r="HG17"/>
          <cell r="HH17"/>
          <cell r="HI17"/>
          <cell r="HJ17"/>
          <cell r="HK17"/>
          <cell r="HL17"/>
          <cell r="HM17"/>
          <cell r="HN17"/>
          <cell r="HO17"/>
          <cell r="HP17"/>
          <cell r="HQ17"/>
          <cell r="HR17"/>
          <cell r="HS17"/>
          <cell r="HT17"/>
          <cell r="HU17"/>
          <cell r="HV17"/>
          <cell r="HW17"/>
          <cell r="HX17"/>
          <cell r="HY17"/>
          <cell r="HZ17"/>
          <cell r="IA17"/>
          <cell r="IB17"/>
          <cell r="IC17"/>
          <cell r="ID17"/>
          <cell r="IE17"/>
          <cell r="IF17"/>
          <cell r="IG17"/>
          <cell r="IH17"/>
          <cell r="II17"/>
          <cell r="IJ17"/>
          <cell r="IK17"/>
          <cell r="IL17"/>
          <cell r="IM17"/>
          <cell r="IN17"/>
          <cell r="IO17"/>
          <cell r="IP17"/>
          <cell r="IQ17"/>
          <cell r="IR17"/>
          <cell r="IS17"/>
          <cell r="IT17"/>
          <cell r="IU17"/>
          <cell r="IV17"/>
          <cell r="IW17"/>
          <cell r="IX17"/>
          <cell r="IY17"/>
          <cell r="IZ17"/>
          <cell r="JA17"/>
          <cell r="JB17"/>
          <cell r="JC17"/>
          <cell r="JD17"/>
          <cell r="JE17"/>
          <cell r="JF17"/>
          <cell r="JG17"/>
          <cell r="JH17"/>
          <cell r="JI17"/>
          <cell r="JJ17"/>
          <cell r="JK17"/>
          <cell r="JL17"/>
          <cell r="JM17"/>
          <cell r="JN17"/>
          <cell r="JO17"/>
          <cell r="JP17"/>
          <cell r="JQ17"/>
          <cell r="JR17"/>
          <cell r="JS17"/>
          <cell r="JT17"/>
          <cell r="JU17"/>
          <cell r="JV17"/>
          <cell r="JW17"/>
          <cell r="JX17"/>
          <cell r="JY17"/>
          <cell r="JZ17"/>
          <cell r="KA17"/>
          <cell r="KB17"/>
          <cell r="KC17"/>
          <cell r="KD17"/>
          <cell r="KE17"/>
          <cell r="KF17"/>
          <cell r="KG17"/>
          <cell r="KH17"/>
          <cell r="KI17"/>
          <cell r="KJ17"/>
          <cell r="KK17"/>
          <cell r="KL17"/>
          <cell r="KM17"/>
          <cell r="KN17"/>
          <cell r="KO17"/>
          <cell r="KP17"/>
          <cell r="KQ17"/>
          <cell r="KR17"/>
          <cell r="KS17"/>
          <cell r="KT17"/>
          <cell r="KU17"/>
          <cell r="KV17"/>
          <cell r="KW17"/>
          <cell r="KX17"/>
          <cell r="KY17"/>
          <cell r="KZ17"/>
          <cell r="LA17"/>
          <cell r="LB17"/>
          <cell r="LC17"/>
          <cell r="LD17"/>
          <cell r="LE17"/>
          <cell r="LF17"/>
          <cell r="LG17"/>
          <cell r="LH17"/>
          <cell r="LI17"/>
        </row>
        <row r="18">
          <cell r="A18"/>
          <cell r="B18"/>
          <cell r="C18">
            <v>712</v>
          </cell>
          <cell r="D18">
            <v>712</v>
          </cell>
          <cell r="E18" t="str">
            <v>Doprinosi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  <cell r="GF18"/>
          <cell r="GG18"/>
          <cell r="GH18"/>
          <cell r="GI18"/>
          <cell r="GJ18"/>
          <cell r="GK18"/>
          <cell r="GL18"/>
          <cell r="GM18"/>
          <cell r="GN18"/>
          <cell r="GO18"/>
          <cell r="GP18"/>
          <cell r="GQ18"/>
          <cell r="GR18"/>
          <cell r="GS18"/>
          <cell r="GT18"/>
          <cell r="GU18"/>
          <cell r="GV18"/>
          <cell r="GW18"/>
          <cell r="GX18"/>
          <cell r="GY18"/>
          <cell r="GZ18"/>
          <cell r="HA18"/>
          <cell r="HB18"/>
          <cell r="HC18"/>
          <cell r="HD18"/>
          <cell r="HE18"/>
          <cell r="HF18"/>
          <cell r="HG18"/>
          <cell r="HH18"/>
          <cell r="HI18"/>
          <cell r="HJ18"/>
          <cell r="HK18"/>
          <cell r="HL18"/>
          <cell r="HM18"/>
          <cell r="HN18"/>
          <cell r="HO18"/>
          <cell r="HP18"/>
          <cell r="HQ18"/>
          <cell r="HR18"/>
          <cell r="HS18"/>
          <cell r="HT18"/>
          <cell r="HU18"/>
          <cell r="HV18"/>
          <cell r="HW18"/>
          <cell r="HX18"/>
          <cell r="HY18"/>
          <cell r="HZ18"/>
          <cell r="IA18"/>
          <cell r="IB18"/>
          <cell r="IC18"/>
          <cell r="ID18"/>
          <cell r="IE18"/>
          <cell r="IF18"/>
          <cell r="IG18"/>
          <cell r="IH18"/>
          <cell r="II18"/>
          <cell r="IJ18"/>
          <cell r="IK18"/>
          <cell r="IL18"/>
          <cell r="IM18"/>
          <cell r="IN18"/>
          <cell r="IO18"/>
          <cell r="IP18"/>
          <cell r="IQ18"/>
          <cell r="IR18"/>
          <cell r="IS18"/>
          <cell r="IT18"/>
          <cell r="IU18"/>
          <cell r="IV18"/>
          <cell r="IW18"/>
          <cell r="IX18"/>
          <cell r="IY18"/>
          <cell r="IZ18"/>
          <cell r="JA18"/>
          <cell r="JB18"/>
          <cell r="JC18"/>
          <cell r="JD18"/>
          <cell r="JE18"/>
          <cell r="JF18"/>
          <cell r="JG18"/>
          <cell r="JH18"/>
          <cell r="JI18"/>
          <cell r="JJ18"/>
          <cell r="JK18"/>
          <cell r="JL18"/>
          <cell r="JM18"/>
          <cell r="JN18"/>
          <cell r="JO18"/>
          <cell r="JP18"/>
          <cell r="JQ18"/>
          <cell r="JR18"/>
          <cell r="JS18"/>
          <cell r="JT18"/>
          <cell r="JU18"/>
          <cell r="JV18"/>
          <cell r="JW18"/>
          <cell r="JX18"/>
          <cell r="JY18"/>
          <cell r="JZ18"/>
          <cell r="KA18"/>
          <cell r="KB18"/>
          <cell r="KC18"/>
          <cell r="KD18"/>
          <cell r="KE18"/>
          <cell r="KF18"/>
          <cell r="KG18"/>
          <cell r="KH18"/>
          <cell r="KI18"/>
          <cell r="KJ18"/>
          <cell r="KK18"/>
          <cell r="KL18"/>
          <cell r="KM18"/>
          <cell r="KN18"/>
          <cell r="KO18"/>
          <cell r="KP18"/>
          <cell r="KQ18"/>
          <cell r="KR18"/>
          <cell r="KS18"/>
          <cell r="KT18"/>
          <cell r="KU18"/>
          <cell r="KV18"/>
          <cell r="KW18"/>
          <cell r="KX18"/>
          <cell r="KY18"/>
          <cell r="KZ18"/>
          <cell r="LA18"/>
          <cell r="LB18"/>
          <cell r="LC18"/>
          <cell r="LD18"/>
          <cell r="LE18"/>
          <cell r="LF18"/>
          <cell r="LG18"/>
          <cell r="LH18"/>
          <cell r="LI18"/>
        </row>
        <row r="19">
          <cell r="D19">
            <v>7121</v>
          </cell>
          <cell r="E19" t="str">
            <v>Doprinosi za penzijsko i invalidsko osiguranje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  <cell r="GF19"/>
          <cell r="GG19"/>
          <cell r="GH19"/>
          <cell r="GI19"/>
          <cell r="GJ19"/>
          <cell r="GK19"/>
          <cell r="GL19"/>
          <cell r="GM19"/>
          <cell r="GN19"/>
          <cell r="GO19"/>
          <cell r="GP19"/>
          <cell r="GQ19"/>
          <cell r="GR19"/>
          <cell r="GS19"/>
          <cell r="GT19"/>
          <cell r="GU19"/>
          <cell r="GV19"/>
          <cell r="GW19"/>
          <cell r="GX19"/>
          <cell r="GY19"/>
          <cell r="GZ19"/>
          <cell r="HA19"/>
          <cell r="HB19"/>
          <cell r="HC19"/>
          <cell r="HD19"/>
          <cell r="HE19"/>
          <cell r="HF19"/>
          <cell r="HG19"/>
          <cell r="HH19"/>
          <cell r="HI19"/>
          <cell r="HJ19"/>
          <cell r="HK19"/>
          <cell r="HL19"/>
          <cell r="HM19"/>
          <cell r="HN19"/>
          <cell r="HO19"/>
          <cell r="HP19"/>
          <cell r="HQ19"/>
          <cell r="HR19"/>
          <cell r="HS19"/>
          <cell r="HT19"/>
          <cell r="HU19"/>
          <cell r="HV19"/>
          <cell r="HW19"/>
          <cell r="HX19"/>
          <cell r="HY19"/>
          <cell r="HZ19"/>
          <cell r="IA19"/>
          <cell r="IB19"/>
          <cell r="IC19"/>
          <cell r="ID19"/>
          <cell r="IE19"/>
          <cell r="IF19"/>
          <cell r="IG19"/>
          <cell r="IH19"/>
          <cell r="II19"/>
          <cell r="IJ19"/>
          <cell r="IK19"/>
          <cell r="IL19"/>
          <cell r="IM19"/>
          <cell r="IN19"/>
          <cell r="IO19"/>
          <cell r="IP19"/>
          <cell r="IQ19"/>
          <cell r="IR19"/>
          <cell r="IS19"/>
          <cell r="IT19"/>
          <cell r="IU19"/>
          <cell r="IV19"/>
          <cell r="IW19"/>
          <cell r="IX19"/>
          <cell r="IY19"/>
          <cell r="IZ19"/>
          <cell r="JA19"/>
          <cell r="JB19"/>
          <cell r="JC19"/>
          <cell r="JD19"/>
          <cell r="JE19"/>
          <cell r="JF19"/>
          <cell r="JG19"/>
          <cell r="JH19"/>
          <cell r="JI19"/>
          <cell r="JJ19"/>
          <cell r="JK19"/>
          <cell r="JL19"/>
          <cell r="JM19"/>
          <cell r="JN19"/>
          <cell r="JO19"/>
          <cell r="JP19"/>
          <cell r="JQ19"/>
          <cell r="JR19"/>
          <cell r="JS19"/>
          <cell r="JT19"/>
          <cell r="JU19"/>
          <cell r="JV19"/>
          <cell r="JW19"/>
          <cell r="JX19"/>
          <cell r="JY19"/>
          <cell r="JZ19"/>
          <cell r="KA19"/>
          <cell r="KB19"/>
          <cell r="KC19"/>
          <cell r="KD19"/>
          <cell r="KE19"/>
          <cell r="KF19"/>
          <cell r="KG19"/>
          <cell r="KH19"/>
          <cell r="KI19"/>
          <cell r="KJ19"/>
          <cell r="KK19"/>
          <cell r="KL19"/>
          <cell r="KM19"/>
          <cell r="KN19"/>
          <cell r="KO19"/>
          <cell r="KP19"/>
          <cell r="KQ19"/>
          <cell r="KR19"/>
          <cell r="KS19"/>
          <cell r="KT19"/>
          <cell r="KU19"/>
          <cell r="KV19"/>
          <cell r="KW19"/>
          <cell r="KX19"/>
          <cell r="KY19"/>
          <cell r="KZ19"/>
          <cell r="LA19"/>
          <cell r="LB19"/>
          <cell r="LC19"/>
          <cell r="LD19"/>
          <cell r="LE19"/>
          <cell r="LF19"/>
          <cell r="LG19"/>
          <cell r="LH19"/>
          <cell r="LI19"/>
        </row>
        <row r="20">
          <cell r="D20">
            <v>7122</v>
          </cell>
          <cell r="E20" t="str">
            <v>Doprinosi za zdravstveno osiguranje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  <cell r="GF20"/>
          <cell r="GG20"/>
          <cell r="GH20"/>
          <cell r="GI20"/>
          <cell r="GJ20"/>
          <cell r="GK20"/>
          <cell r="GL20"/>
          <cell r="GM20"/>
          <cell r="GN20"/>
          <cell r="GO20"/>
          <cell r="GP20"/>
          <cell r="GQ20"/>
          <cell r="GR20"/>
          <cell r="GS20"/>
          <cell r="GT20"/>
          <cell r="GU20"/>
          <cell r="GV20"/>
          <cell r="GW20"/>
          <cell r="GX20"/>
          <cell r="GY20"/>
          <cell r="GZ20"/>
          <cell r="HA20"/>
          <cell r="HB20"/>
          <cell r="HC20"/>
          <cell r="HD20"/>
          <cell r="HE20"/>
          <cell r="HF20"/>
          <cell r="HG20"/>
          <cell r="HH20"/>
          <cell r="HI20"/>
          <cell r="HJ20"/>
          <cell r="HK20"/>
          <cell r="HL20"/>
          <cell r="HM20"/>
          <cell r="HN20"/>
          <cell r="HO20"/>
          <cell r="HP20"/>
          <cell r="HQ20"/>
          <cell r="HR20"/>
          <cell r="HS20"/>
          <cell r="HT20"/>
          <cell r="HU20"/>
          <cell r="HV20"/>
          <cell r="HW20"/>
          <cell r="HX20"/>
          <cell r="HY20"/>
          <cell r="HZ20"/>
          <cell r="IA20"/>
          <cell r="IB20"/>
          <cell r="IC20"/>
          <cell r="ID20"/>
          <cell r="IE20"/>
          <cell r="IF20"/>
          <cell r="IG20"/>
          <cell r="IH20"/>
          <cell r="II20"/>
          <cell r="IJ20"/>
          <cell r="IK20"/>
          <cell r="IL20"/>
          <cell r="IM20"/>
          <cell r="IN20"/>
          <cell r="IO20"/>
          <cell r="IP20"/>
          <cell r="IQ20"/>
          <cell r="IR20"/>
          <cell r="IS20"/>
          <cell r="IT20"/>
          <cell r="IU20"/>
          <cell r="IV20"/>
          <cell r="IW20"/>
          <cell r="IX20"/>
          <cell r="IY20"/>
          <cell r="IZ20"/>
          <cell r="JA20"/>
          <cell r="JB20"/>
          <cell r="JC20"/>
          <cell r="JD20"/>
          <cell r="JE20"/>
          <cell r="JF20"/>
          <cell r="JG20"/>
          <cell r="JH20"/>
          <cell r="JI20"/>
          <cell r="JJ20"/>
          <cell r="JK20"/>
          <cell r="JL20"/>
          <cell r="JM20"/>
          <cell r="JN20"/>
          <cell r="JO20"/>
          <cell r="JP20"/>
          <cell r="JQ20"/>
          <cell r="JR20"/>
          <cell r="JS20"/>
          <cell r="JT20"/>
          <cell r="JU20"/>
          <cell r="JV20"/>
          <cell r="JW20"/>
          <cell r="JX20"/>
          <cell r="JY20"/>
          <cell r="JZ20"/>
          <cell r="KA20"/>
          <cell r="KB20"/>
          <cell r="KC20"/>
          <cell r="KD20"/>
          <cell r="KE20"/>
          <cell r="KF20"/>
          <cell r="KG20"/>
          <cell r="KH20"/>
          <cell r="KI20"/>
          <cell r="KJ20"/>
          <cell r="KK20"/>
          <cell r="KL20"/>
          <cell r="KM20"/>
          <cell r="KN20"/>
          <cell r="KO20"/>
          <cell r="KP20"/>
          <cell r="KQ20"/>
          <cell r="KR20"/>
          <cell r="KS20"/>
          <cell r="KT20"/>
          <cell r="KU20"/>
          <cell r="KV20"/>
          <cell r="KW20"/>
          <cell r="KX20"/>
          <cell r="KY20"/>
          <cell r="KZ20"/>
          <cell r="LA20"/>
          <cell r="LB20"/>
          <cell r="LC20"/>
          <cell r="LD20"/>
          <cell r="LE20"/>
          <cell r="LF20"/>
          <cell r="LG20"/>
          <cell r="LH20"/>
          <cell r="LI20"/>
        </row>
        <row r="21">
          <cell r="D21">
            <v>7123</v>
          </cell>
          <cell r="E21" t="str">
            <v>Doprinosi za osiguranje od nezaposlenosti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  <cell r="GF21"/>
          <cell r="GG21"/>
          <cell r="GH21"/>
          <cell r="GI21"/>
          <cell r="GJ21"/>
          <cell r="GK21"/>
          <cell r="GL21"/>
          <cell r="GM21"/>
          <cell r="GN21"/>
          <cell r="GO21"/>
          <cell r="GP21"/>
          <cell r="GQ21"/>
          <cell r="GR21"/>
          <cell r="GS21"/>
          <cell r="GT21"/>
          <cell r="GU21"/>
          <cell r="GV21"/>
          <cell r="GW21"/>
          <cell r="GX21"/>
          <cell r="GY21"/>
          <cell r="GZ21"/>
          <cell r="HA21"/>
          <cell r="HB21"/>
          <cell r="HC21"/>
          <cell r="HD21"/>
          <cell r="HE21"/>
          <cell r="HF21"/>
          <cell r="HG21"/>
          <cell r="HH21"/>
          <cell r="HI21"/>
          <cell r="HJ21"/>
          <cell r="HK21"/>
          <cell r="HL21"/>
          <cell r="HM21"/>
          <cell r="HN21"/>
          <cell r="HO21"/>
          <cell r="HP21"/>
          <cell r="HQ21"/>
          <cell r="HR21"/>
          <cell r="HS21"/>
          <cell r="HT21"/>
          <cell r="HU21"/>
          <cell r="HV21"/>
          <cell r="HW21"/>
          <cell r="HX21"/>
          <cell r="HY21"/>
          <cell r="HZ21"/>
          <cell r="IA21"/>
          <cell r="IB21"/>
          <cell r="IC21"/>
          <cell r="ID21"/>
          <cell r="IE21"/>
          <cell r="IF21"/>
          <cell r="IG21"/>
          <cell r="IH21"/>
          <cell r="II21"/>
          <cell r="IJ21"/>
          <cell r="IK21"/>
          <cell r="IL21"/>
          <cell r="IM21"/>
          <cell r="IN21"/>
          <cell r="IO21"/>
          <cell r="IP21"/>
          <cell r="IQ21"/>
          <cell r="IR21"/>
          <cell r="IS21"/>
          <cell r="IT21"/>
          <cell r="IU21"/>
          <cell r="IV21"/>
          <cell r="IW21"/>
          <cell r="IX21"/>
          <cell r="IY21"/>
          <cell r="IZ21"/>
          <cell r="JA21"/>
          <cell r="JB21"/>
          <cell r="JC21"/>
          <cell r="JD21"/>
          <cell r="JE21"/>
          <cell r="JF21"/>
          <cell r="JG21"/>
          <cell r="JH21"/>
          <cell r="JI21"/>
          <cell r="JJ21"/>
          <cell r="JK21"/>
          <cell r="JL21"/>
          <cell r="JM21"/>
          <cell r="JN21"/>
          <cell r="JO21"/>
          <cell r="JP21"/>
          <cell r="JQ21"/>
          <cell r="JR21"/>
          <cell r="JS21"/>
          <cell r="JT21"/>
          <cell r="JU21"/>
          <cell r="JV21"/>
          <cell r="JW21"/>
          <cell r="JX21"/>
          <cell r="JY21"/>
          <cell r="JZ21"/>
          <cell r="KA21"/>
          <cell r="KB21"/>
          <cell r="KC21"/>
          <cell r="KD21"/>
          <cell r="KE21"/>
          <cell r="KF21"/>
          <cell r="KG21"/>
          <cell r="KH21"/>
          <cell r="KI21"/>
          <cell r="KJ21"/>
          <cell r="KK21"/>
          <cell r="KL21"/>
          <cell r="KM21"/>
          <cell r="KN21"/>
          <cell r="KO21"/>
          <cell r="KP21"/>
          <cell r="KQ21"/>
          <cell r="KR21"/>
          <cell r="KS21"/>
          <cell r="KT21"/>
          <cell r="KU21"/>
          <cell r="KV21"/>
          <cell r="KW21"/>
          <cell r="KX21"/>
          <cell r="KY21"/>
          <cell r="KZ21"/>
          <cell r="LA21"/>
          <cell r="LB21"/>
          <cell r="LC21"/>
          <cell r="LD21"/>
          <cell r="LE21"/>
          <cell r="LF21"/>
          <cell r="LG21"/>
          <cell r="LH21"/>
          <cell r="LI21"/>
        </row>
        <row r="22">
          <cell r="D22">
            <v>7124</v>
          </cell>
          <cell r="E22" t="str">
            <v>Ostali doprinosi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  <cell r="JA22"/>
          <cell r="JB22"/>
          <cell r="JC22"/>
          <cell r="JD22"/>
          <cell r="JE22"/>
          <cell r="JF22"/>
          <cell r="JG22"/>
          <cell r="JH22"/>
          <cell r="JI22"/>
          <cell r="JJ22"/>
          <cell r="JK22"/>
          <cell r="JL22"/>
          <cell r="JM22"/>
          <cell r="JN22"/>
          <cell r="JO22"/>
          <cell r="JP22"/>
          <cell r="JQ22"/>
          <cell r="JR22"/>
          <cell r="JS22"/>
          <cell r="JT22"/>
          <cell r="JU22"/>
          <cell r="JV22"/>
          <cell r="JW22"/>
          <cell r="JX22"/>
          <cell r="JY22"/>
          <cell r="JZ22"/>
          <cell r="KA22"/>
          <cell r="KB22"/>
          <cell r="KC22"/>
          <cell r="KD22"/>
          <cell r="KE22"/>
          <cell r="KF22"/>
          <cell r="KG22"/>
          <cell r="KH22"/>
          <cell r="KI22"/>
          <cell r="KJ22"/>
          <cell r="KK22"/>
          <cell r="KL22"/>
          <cell r="KM22"/>
          <cell r="KN22"/>
          <cell r="KO22"/>
          <cell r="KP22"/>
          <cell r="KQ22"/>
          <cell r="KR22"/>
          <cell r="KS22"/>
          <cell r="KT22"/>
          <cell r="KU22"/>
          <cell r="KV22"/>
          <cell r="KW22"/>
          <cell r="KX22"/>
          <cell r="KY22"/>
          <cell r="KZ22"/>
          <cell r="LA22"/>
          <cell r="LB22"/>
          <cell r="LC22"/>
          <cell r="LD22"/>
          <cell r="LE22"/>
          <cell r="LF22"/>
          <cell r="LG22"/>
          <cell r="LH22"/>
          <cell r="LI22"/>
        </row>
        <row r="23">
          <cell r="A23"/>
          <cell r="B23"/>
          <cell r="C23">
            <v>713</v>
          </cell>
          <cell r="D23">
            <v>713</v>
          </cell>
          <cell r="E23" t="str">
            <v>Takse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  <cell r="GN23"/>
          <cell r="GO23"/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  <cell r="HB23"/>
          <cell r="HC23"/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  <cell r="HP23"/>
          <cell r="HQ23"/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  <cell r="ID23"/>
          <cell r="IE23"/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  <cell r="IR23"/>
          <cell r="IS23"/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  <cell r="JF23"/>
          <cell r="JG23"/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  <cell r="JT23"/>
          <cell r="JU23"/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  <cell r="KH23"/>
          <cell r="KI23"/>
          <cell r="KJ23"/>
          <cell r="KK23"/>
          <cell r="KL23"/>
          <cell r="KM23"/>
          <cell r="KN23"/>
          <cell r="KO23"/>
          <cell r="KP23"/>
          <cell r="KQ23"/>
          <cell r="KR23"/>
          <cell r="KS23"/>
          <cell r="KT23"/>
          <cell r="KU23"/>
          <cell r="KV23"/>
          <cell r="KW23"/>
          <cell r="KX23"/>
          <cell r="KY23"/>
          <cell r="KZ23"/>
          <cell r="LA23"/>
          <cell r="LB23"/>
          <cell r="LC23"/>
          <cell r="LD23"/>
          <cell r="LE23"/>
          <cell r="LF23"/>
          <cell r="LG23"/>
          <cell r="LH23"/>
          <cell r="LI23"/>
        </row>
        <row r="24">
          <cell r="D24">
            <v>7131</v>
          </cell>
          <cell r="E24" t="str">
            <v>Administrativne takse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/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  <cell r="GF24"/>
          <cell r="GG24"/>
          <cell r="GH24"/>
          <cell r="GI24"/>
          <cell r="GJ24"/>
          <cell r="GK24"/>
          <cell r="GL24"/>
          <cell r="GM24"/>
          <cell r="GN24"/>
          <cell r="GO24"/>
          <cell r="GP24"/>
          <cell r="GQ24"/>
          <cell r="GR24"/>
          <cell r="GS24"/>
          <cell r="GT24"/>
          <cell r="GU24"/>
          <cell r="GV24"/>
          <cell r="GW24"/>
          <cell r="GX24"/>
          <cell r="GY24"/>
          <cell r="GZ24"/>
          <cell r="HA24"/>
          <cell r="HB24"/>
          <cell r="HC24"/>
          <cell r="HD24"/>
          <cell r="HE24"/>
          <cell r="HF24"/>
          <cell r="HG24"/>
          <cell r="HH24"/>
          <cell r="HI24"/>
          <cell r="HJ24"/>
          <cell r="HK24"/>
          <cell r="HL24"/>
          <cell r="HM24"/>
          <cell r="HN24"/>
          <cell r="HO24"/>
          <cell r="HP24"/>
          <cell r="HQ24"/>
          <cell r="HR24"/>
          <cell r="HS24"/>
          <cell r="HT24"/>
          <cell r="HU24"/>
          <cell r="HV24"/>
          <cell r="HW24"/>
          <cell r="HX24"/>
          <cell r="HY24"/>
          <cell r="HZ24"/>
          <cell r="IA24"/>
          <cell r="IB24"/>
          <cell r="IC24"/>
          <cell r="ID24"/>
          <cell r="IE24"/>
          <cell r="IF24"/>
          <cell r="IG24"/>
          <cell r="IH24"/>
          <cell r="II24"/>
          <cell r="IJ24"/>
          <cell r="IK24"/>
          <cell r="IL24"/>
          <cell r="IM24"/>
          <cell r="IN24"/>
          <cell r="IO24"/>
          <cell r="IP24"/>
          <cell r="IQ24"/>
          <cell r="IR24"/>
          <cell r="IS24"/>
          <cell r="IT24"/>
          <cell r="IU24"/>
          <cell r="IV24"/>
          <cell r="IW24"/>
          <cell r="IX24"/>
          <cell r="IY24"/>
          <cell r="IZ24"/>
          <cell r="JA24"/>
          <cell r="JB24"/>
          <cell r="JC24"/>
          <cell r="JD24"/>
          <cell r="JE24"/>
          <cell r="JF24"/>
          <cell r="JG24"/>
          <cell r="JH24"/>
          <cell r="JI24"/>
          <cell r="JJ24"/>
          <cell r="JK24"/>
          <cell r="JL24"/>
          <cell r="JM24"/>
          <cell r="JN24"/>
          <cell r="JO24"/>
          <cell r="JP24"/>
          <cell r="JQ24"/>
          <cell r="JR24"/>
          <cell r="JS24"/>
          <cell r="JT24"/>
          <cell r="JU24"/>
          <cell r="JV24"/>
          <cell r="JW24"/>
          <cell r="JX24"/>
          <cell r="JY24"/>
          <cell r="JZ24"/>
          <cell r="KA24"/>
          <cell r="KB24"/>
          <cell r="KC24"/>
          <cell r="KD24"/>
          <cell r="KE24"/>
          <cell r="KF24"/>
          <cell r="KG24"/>
          <cell r="KH24"/>
          <cell r="KI24"/>
          <cell r="KJ24"/>
          <cell r="KK24"/>
          <cell r="KL24"/>
          <cell r="KM24"/>
          <cell r="KN24"/>
          <cell r="KO24"/>
          <cell r="KP24"/>
          <cell r="KQ24"/>
          <cell r="KR24"/>
          <cell r="KS24"/>
          <cell r="KT24"/>
          <cell r="KU24"/>
          <cell r="KV24"/>
          <cell r="KW24"/>
          <cell r="KX24"/>
          <cell r="KY24"/>
          <cell r="KZ24"/>
          <cell r="LA24"/>
          <cell r="LB24"/>
          <cell r="LC24"/>
          <cell r="LD24"/>
          <cell r="LE24"/>
          <cell r="LF24"/>
          <cell r="LG24"/>
          <cell r="LH24"/>
          <cell r="LI24"/>
        </row>
        <row r="25">
          <cell r="D25">
            <v>7132</v>
          </cell>
          <cell r="E25" t="str">
            <v>Sudske takse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/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  <cell r="GF25"/>
          <cell r="GG25"/>
          <cell r="GH25"/>
          <cell r="GI25"/>
          <cell r="GJ25"/>
          <cell r="GK25"/>
          <cell r="GL25"/>
          <cell r="GM25"/>
          <cell r="GN25"/>
          <cell r="GO25"/>
          <cell r="GP25"/>
          <cell r="GQ25"/>
          <cell r="GR25"/>
          <cell r="GS25"/>
          <cell r="GT25"/>
          <cell r="GU25"/>
          <cell r="GV25"/>
          <cell r="GW25"/>
          <cell r="GX25"/>
          <cell r="GY25"/>
          <cell r="GZ25"/>
          <cell r="HA25"/>
          <cell r="HB25"/>
          <cell r="HC25"/>
          <cell r="HD25"/>
          <cell r="HE25"/>
          <cell r="HF25"/>
          <cell r="HG25"/>
          <cell r="HH25"/>
          <cell r="HI25"/>
          <cell r="HJ25"/>
          <cell r="HK25"/>
          <cell r="HL25"/>
          <cell r="HM25"/>
          <cell r="HN25"/>
          <cell r="HO25"/>
          <cell r="HP25"/>
          <cell r="HQ25"/>
          <cell r="HR25"/>
          <cell r="HS25"/>
          <cell r="HT25"/>
          <cell r="HU25"/>
          <cell r="HV25"/>
          <cell r="HW25"/>
          <cell r="HX25"/>
          <cell r="HY25"/>
          <cell r="HZ25"/>
          <cell r="IA25"/>
          <cell r="IB25"/>
          <cell r="IC25"/>
          <cell r="ID25"/>
          <cell r="IE25"/>
          <cell r="IF25"/>
          <cell r="IG25"/>
          <cell r="IH25"/>
          <cell r="II25"/>
          <cell r="IJ25"/>
          <cell r="IK25"/>
          <cell r="IL25"/>
          <cell r="IM25"/>
          <cell r="IN25"/>
          <cell r="IO25"/>
          <cell r="IP25"/>
          <cell r="IQ25"/>
          <cell r="IR25"/>
          <cell r="IS25"/>
          <cell r="IT25"/>
          <cell r="IU25"/>
          <cell r="IV25"/>
          <cell r="IW25"/>
          <cell r="IX25"/>
          <cell r="IY25"/>
          <cell r="IZ25"/>
          <cell r="JA25"/>
          <cell r="JB25"/>
          <cell r="JC25"/>
          <cell r="JD25"/>
          <cell r="JE25"/>
          <cell r="JF25"/>
          <cell r="JG25"/>
          <cell r="JH25"/>
          <cell r="JI25"/>
          <cell r="JJ25"/>
          <cell r="JK25"/>
          <cell r="JL25"/>
          <cell r="JM25"/>
          <cell r="JN25"/>
          <cell r="JO25"/>
          <cell r="JP25"/>
          <cell r="JQ25"/>
          <cell r="JR25"/>
          <cell r="JS25"/>
          <cell r="JT25"/>
          <cell r="JU25"/>
          <cell r="JV25"/>
          <cell r="JW25"/>
          <cell r="JX25"/>
          <cell r="JY25"/>
          <cell r="JZ25"/>
          <cell r="KA25"/>
          <cell r="KB25"/>
          <cell r="KC25"/>
          <cell r="KD25"/>
          <cell r="KE25"/>
          <cell r="KF25"/>
          <cell r="KG25"/>
          <cell r="KH25"/>
          <cell r="KI25"/>
          <cell r="KJ25"/>
          <cell r="KK25"/>
          <cell r="KL25"/>
          <cell r="KM25"/>
          <cell r="KN25"/>
          <cell r="KO25"/>
          <cell r="KP25"/>
          <cell r="KQ25"/>
          <cell r="KR25"/>
          <cell r="KS25"/>
          <cell r="KT25"/>
          <cell r="KU25"/>
          <cell r="KV25"/>
          <cell r="KW25"/>
          <cell r="KX25"/>
          <cell r="KY25"/>
          <cell r="KZ25"/>
          <cell r="LA25"/>
          <cell r="LB25"/>
          <cell r="LC25"/>
          <cell r="LD25"/>
          <cell r="LE25"/>
          <cell r="LF25"/>
          <cell r="LG25"/>
          <cell r="LH25"/>
          <cell r="LI25"/>
        </row>
        <row r="26">
          <cell r="D26">
            <v>7133</v>
          </cell>
          <cell r="E26" t="str">
            <v>Boravišne takse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/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/>
          <cell r="GD26"/>
          <cell r="GE26"/>
          <cell r="GF26"/>
          <cell r="GG26"/>
          <cell r="GH26"/>
          <cell r="GI26"/>
          <cell r="GJ26"/>
          <cell r="GK26"/>
          <cell r="GL26"/>
          <cell r="GM26"/>
          <cell r="GN26"/>
          <cell r="GO26"/>
          <cell r="GP26"/>
          <cell r="GQ26"/>
          <cell r="GR26"/>
          <cell r="GS26"/>
          <cell r="GT26"/>
          <cell r="GU26"/>
          <cell r="GV26"/>
          <cell r="GW26"/>
          <cell r="GX26"/>
          <cell r="GY26"/>
          <cell r="GZ26"/>
          <cell r="HA26"/>
          <cell r="HB26"/>
          <cell r="HC26"/>
          <cell r="HD26"/>
          <cell r="HE26"/>
          <cell r="HF26"/>
          <cell r="HG26"/>
          <cell r="HH26"/>
          <cell r="HI26"/>
          <cell r="HJ26"/>
          <cell r="HK26"/>
          <cell r="HL26"/>
          <cell r="HM26"/>
          <cell r="HN26"/>
          <cell r="HO26"/>
          <cell r="HP26"/>
          <cell r="HQ26"/>
          <cell r="HR26"/>
          <cell r="HS26"/>
          <cell r="HT26"/>
          <cell r="HU26"/>
          <cell r="HV26"/>
          <cell r="HW26"/>
          <cell r="HX26"/>
          <cell r="HY26"/>
          <cell r="HZ26"/>
          <cell r="IA26"/>
          <cell r="IB26"/>
          <cell r="IC26"/>
          <cell r="ID26"/>
          <cell r="IE26"/>
          <cell r="IF26"/>
          <cell r="IG26"/>
          <cell r="IH26"/>
          <cell r="II26"/>
          <cell r="IJ26"/>
          <cell r="IK26"/>
          <cell r="IL26"/>
          <cell r="IM26"/>
          <cell r="IN26"/>
          <cell r="IO26"/>
          <cell r="IP26"/>
          <cell r="IQ26"/>
          <cell r="IR26"/>
          <cell r="IS26"/>
          <cell r="IT26"/>
          <cell r="IU26"/>
          <cell r="IV26"/>
          <cell r="IW26"/>
          <cell r="IX26"/>
          <cell r="IY26"/>
          <cell r="IZ26"/>
          <cell r="JA26"/>
          <cell r="JB26"/>
          <cell r="JC26"/>
          <cell r="JD26"/>
          <cell r="JE26"/>
          <cell r="JF26"/>
          <cell r="JG26"/>
          <cell r="JH26"/>
          <cell r="JI26"/>
          <cell r="JJ26"/>
          <cell r="JK26"/>
          <cell r="JL26"/>
          <cell r="JM26"/>
          <cell r="JN26"/>
          <cell r="JO26"/>
          <cell r="JP26"/>
          <cell r="JQ26"/>
          <cell r="JR26"/>
          <cell r="JS26"/>
          <cell r="JT26"/>
          <cell r="JU26"/>
          <cell r="JV26"/>
          <cell r="JW26"/>
          <cell r="JX26"/>
          <cell r="JY26"/>
          <cell r="JZ26"/>
          <cell r="KA26"/>
          <cell r="KB26"/>
          <cell r="KC26"/>
          <cell r="KD26"/>
          <cell r="KE26"/>
          <cell r="KF26"/>
          <cell r="KG26"/>
          <cell r="KH26"/>
          <cell r="KI26"/>
          <cell r="KJ26"/>
          <cell r="KK26"/>
          <cell r="KL26"/>
          <cell r="KM26"/>
          <cell r="KN26"/>
          <cell r="KO26"/>
          <cell r="KP26"/>
          <cell r="KQ26"/>
          <cell r="KR26"/>
          <cell r="KS26"/>
          <cell r="KT26"/>
          <cell r="KU26"/>
          <cell r="KV26"/>
          <cell r="KW26"/>
          <cell r="KX26"/>
          <cell r="KY26"/>
          <cell r="KZ26"/>
          <cell r="LA26"/>
          <cell r="LB26"/>
          <cell r="LC26"/>
          <cell r="LD26"/>
          <cell r="LE26"/>
          <cell r="LF26"/>
          <cell r="LG26"/>
          <cell r="LH26"/>
          <cell r="LI26"/>
        </row>
        <row r="27">
          <cell r="D27">
            <v>7136</v>
          </cell>
          <cell r="E27" t="str">
            <v>Ostale takse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/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  <cell r="GF27"/>
          <cell r="GG27"/>
          <cell r="GH27"/>
          <cell r="GI27"/>
          <cell r="GJ27"/>
          <cell r="GK27"/>
          <cell r="GL27"/>
          <cell r="GM27"/>
          <cell r="GN27"/>
          <cell r="GO27"/>
          <cell r="GP27"/>
          <cell r="GQ27"/>
          <cell r="GR27"/>
          <cell r="GS27"/>
          <cell r="GT27"/>
          <cell r="GU27"/>
          <cell r="GV27"/>
          <cell r="GW27"/>
          <cell r="GX27"/>
          <cell r="GY27"/>
          <cell r="GZ27"/>
          <cell r="HA27"/>
          <cell r="HB27"/>
          <cell r="HC27"/>
          <cell r="HD27"/>
          <cell r="HE27"/>
          <cell r="HF27"/>
          <cell r="HG27"/>
          <cell r="HH27"/>
          <cell r="HI27"/>
          <cell r="HJ27"/>
          <cell r="HK27"/>
          <cell r="HL27"/>
          <cell r="HM27"/>
          <cell r="HN27"/>
          <cell r="HO27"/>
          <cell r="HP27"/>
          <cell r="HQ27"/>
          <cell r="HR27"/>
          <cell r="HS27"/>
          <cell r="HT27"/>
          <cell r="HU27"/>
          <cell r="HV27"/>
          <cell r="HW27"/>
          <cell r="HX27"/>
          <cell r="HY27"/>
          <cell r="HZ27"/>
          <cell r="IA27"/>
          <cell r="IB27"/>
          <cell r="IC27"/>
          <cell r="ID27"/>
          <cell r="IE27"/>
          <cell r="IF27"/>
          <cell r="IG27"/>
          <cell r="IH27"/>
          <cell r="II27"/>
          <cell r="IJ27"/>
          <cell r="IK27"/>
          <cell r="IL27"/>
          <cell r="IM27"/>
          <cell r="IN27"/>
          <cell r="IO27"/>
          <cell r="IP27"/>
          <cell r="IQ27"/>
          <cell r="IR27"/>
          <cell r="IS27"/>
          <cell r="IT27"/>
          <cell r="IU27"/>
          <cell r="IV27"/>
          <cell r="IW27"/>
          <cell r="IX27"/>
          <cell r="IY27"/>
          <cell r="IZ27"/>
          <cell r="JA27"/>
          <cell r="JB27"/>
          <cell r="JC27"/>
          <cell r="JD27"/>
          <cell r="JE27"/>
          <cell r="JF27"/>
          <cell r="JG27"/>
          <cell r="JH27"/>
          <cell r="JI27"/>
          <cell r="JJ27"/>
          <cell r="JK27"/>
          <cell r="JL27"/>
          <cell r="JM27"/>
          <cell r="JN27"/>
          <cell r="JO27"/>
          <cell r="JP27"/>
          <cell r="JQ27"/>
          <cell r="JR27"/>
          <cell r="JS27"/>
          <cell r="JT27"/>
          <cell r="JU27"/>
          <cell r="JV27"/>
          <cell r="JW27"/>
          <cell r="JX27"/>
          <cell r="JY27"/>
          <cell r="JZ27"/>
          <cell r="KA27"/>
          <cell r="KB27"/>
          <cell r="KC27"/>
          <cell r="KD27"/>
          <cell r="KE27"/>
          <cell r="KF27"/>
          <cell r="KG27"/>
          <cell r="KH27"/>
          <cell r="KI27"/>
          <cell r="KJ27"/>
          <cell r="KK27"/>
          <cell r="KL27"/>
          <cell r="KM27"/>
          <cell r="KN27"/>
          <cell r="KO27"/>
          <cell r="KP27"/>
          <cell r="KQ27"/>
          <cell r="KR27"/>
          <cell r="KS27"/>
          <cell r="KT27"/>
          <cell r="KU27"/>
          <cell r="KV27"/>
          <cell r="KW27"/>
          <cell r="KX27"/>
          <cell r="KY27"/>
          <cell r="KZ27"/>
          <cell r="LA27"/>
          <cell r="LB27"/>
          <cell r="LC27"/>
          <cell r="LD27"/>
          <cell r="LE27"/>
          <cell r="LF27"/>
          <cell r="LG27"/>
          <cell r="LH27"/>
          <cell r="LI27"/>
        </row>
        <row r="28">
          <cell r="A28"/>
          <cell r="B28"/>
          <cell r="C28">
            <v>714</v>
          </cell>
          <cell r="D28">
            <v>714</v>
          </cell>
          <cell r="E28" t="str">
            <v>Naknade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  <cell r="GN28"/>
          <cell r="GO28"/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  <cell r="HB28"/>
          <cell r="HC28"/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  <cell r="HP28"/>
          <cell r="HQ28"/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  <cell r="ID28"/>
          <cell r="IE28"/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  <cell r="IR28"/>
          <cell r="IS28"/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  <cell r="JF28"/>
          <cell r="JG28"/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  <cell r="JT28"/>
          <cell r="JU28"/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  <cell r="KH28"/>
          <cell r="KI28"/>
          <cell r="KJ28"/>
          <cell r="KK28"/>
          <cell r="KL28"/>
          <cell r="KM28"/>
          <cell r="KN28"/>
          <cell r="KO28"/>
          <cell r="KP28"/>
          <cell r="KQ28"/>
          <cell r="KR28"/>
          <cell r="KS28"/>
          <cell r="KT28"/>
          <cell r="KU28"/>
          <cell r="KV28"/>
          <cell r="KW28"/>
          <cell r="KX28"/>
          <cell r="KY28"/>
          <cell r="KZ28"/>
          <cell r="LA28"/>
          <cell r="LB28"/>
          <cell r="LC28"/>
          <cell r="LD28"/>
          <cell r="LE28"/>
          <cell r="LF28"/>
          <cell r="LG28"/>
          <cell r="LH28"/>
          <cell r="LI28"/>
        </row>
        <row r="29">
          <cell r="D29">
            <v>7141</v>
          </cell>
          <cell r="E29" t="str">
            <v>Naknade za korišćenje dobara od opšteg interesa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/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/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  <cell r="GF29"/>
          <cell r="GG29"/>
          <cell r="GH29"/>
          <cell r="GI29"/>
          <cell r="GJ29"/>
          <cell r="GK29"/>
          <cell r="GL29"/>
          <cell r="GM29"/>
          <cell r="GN29"/>
          <cell r="GO29"/>
          <cell r="GP29"/>
          <cell r="GQ29"/>
          <cell r="GR29"/>
          <cell r="GS29"/>
          <cell r="GT29"/>
          <cell r="GU29"/>
          <cell r="GV29"/>
          <cell r="GW29"/>
          <cell r="GX29"/>
          <cell r="GY29"/>
          <cell r="GZ29"/>
          <cell r="HA29"/>
          <cell r="HB29"/>
          <cell r="HC29"/>
          <cell r="HD29"/>
          <cell r="HE29"/>
          <cell r="HF29"/>
          <cell r="HG29"/>
          <cell r="HH29"/>
          <cell r="HI29"/>
          <cell r="HJ29"/>
          <cell r="HK29"/>
          <cell r="HL29"/>
          <cell r="HM29"/>
          <cell r="HN29"/>
          <cell r="HO29"/>
          <cell r="HP29"/>
          <cell r="HQ29"/>
          <cell r="HR29"/>
          <cell r="HS29"/>
          <cell r="HT29"/>
          <cell r="HU29"/>
          <cell r="HV29"/>
          <cell r="HW29"/>
          <cell r="HX29"/>
          <cell r="HY29"/>
          <cell r="HZ29"/>
          <cell r="IA29"/>
          <cell r="IB29"/>
          <cell r="IC29"/>
          <cell r="ID29"/>
          <cell r="IE29"/>
          <cell r="IF29"/>
          <cell r="IG29"/>
          <cell r="IH29"/>
          <cell r="II29"/>
          <cell r="IJ29"/>
          <cell r="IK29"/>
          <cell r="IL29"/>
          <cell r="IM29"/>
          <cell r="IN29"/>
          <cell r="IO29"/>
          <cell r="IP29"/>
          <cell r="IQ29"/>
          <cell r="IR29"/>
          <cell r="IS29"/>
          <cell r="IT29"/>
          <cell r="IU29"/>
          <cell r="IV29"/>
          <cell r="IW29"/>
          <cell r="IX29"/>
          <cell r="IY29"/>
          <cell r="IZ29"/>
          <cell r="JA29"/>
          <cell r="JB29"/>
          <cell r="JC29"/>
          <cell r="JD29"/>
          <cell r="JE29"/>
          <cell r="JF29"/>
          <cell r="JG29"/>
          <cell r="JH29"/>
          <cell r="JI29"/>
          <cell r="JJ29"/>
          <cell r="JK29"/>
          <cell r="JL29"/>
          <cell r="JM29"/>
          <cell r="JN29"/>
          <cell r="JO29"/>
          <cell r="JP29"/>
          <cell r="JQ29"/>
          <cell r="JR29"/>
          <cell r="JS29"/>
          <cell r="JT29"/>
          <cell r="JU29"/>
          <cell r="JV29"/>
          <cell r="JW29"/>
          <cell r="JX29"/>
          <cell r="JY29"/>
          <cell r="JZ29"/>
          <cell r="KA29"/>
          <cell r="KB29"/>
          <cell r="KC29"/>
          <cell r="KD29"/>
          <cell r="KE29"/>
          <cell r="KF29"/>
          <cell r="KG29"/>
          <cell r="KH29"/>
          <cell r="KI29"/>
          <cell r="KJ29"/>
          <cell r="KK29"/>
          <cell r="KL29"/>
          <cell r="KM29"/>
          <cell r="KN29"/>
          <cell r="KO29"/>
          <cell r="KP29"/>
          <cell r="KQ29"/>
          <cell r="KR29"/>
          <cell r="KS29"/>
          <cell r="KT29"/>
          <cell r="KU29"/>
          <cell r="KV29"/>
          <cell r="KW29"/>
          <cell r="KX29"/>
          <cell r="KY29"/>
          <cell r="KZ29"/>
          <cell r="LA29"/>
          <cell r="LB29"/>
          <cell r="LC29"/>
          <cell r="LD29"/>
          <cell r="LE29"/>
          <cell r="LF29"/>
          <cell r="LG29"/>
          <cell r="LH29"/>
          <cell r="LI29"/>
        </row>
        <row r="30">
          <cell r="D30">
            <v>7142</v>
          </cell>
          <cell r="E30" t="str">
            <v>Naknade za korišćenje prirodnih dobara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/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/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  <cell r="JA30"/>
          <cell r="JB30"/>
          <cell r="JC30"/>
          <cell r="JD30"/>
          <cell r="JE30"/>
          <cell r="JF30"/>
          <cell r="JG30"/>
          <cell r="JH30"/>
          <cell r="JI30"/>
          <cell r="JJ30"/>
          <cell r="JK30"/>
          <cell r="JL30"/>
          <cell r="JM30"/>
          <cell r="JN30"/>
          <cell r="JO30"/>
          <cell r="JP30"/>
          <cell r="JQ30"/>
          <cell r="JR30"/>
          <cell r="JS30"/>
          <cell r="JT30"/>
          <cell r="JU30"/>
          <cell r="JV30"/>
          <cell r="JW30"/>
          <cell r="JX30"/>
          <cell r="JY30"/>
          <cell r="JZ30"/>
          <cell r="KA30"/>
          <cell r="KB30"/>
          <cell r="KC30"/>
          <cell r="KD30"/>
          <cell r="KE30"/>
          <cell r="KF30"/>
          <cell r="KG30"/>
          <cell r="KH30"/>
          <cell r="KI30"/>
          <cell r="KJ30"/>
          <cell r="KK30"/>
          <cell r="KL30"/>
          <cell r="KM30"/>
          <cell r="KN30"/>
          <cell r="KO30"/>
          <cell r="KP30"/>
          <cell r="KQ30"/>
          <cell r="KR30"/>
          <cell r="KS30"/>
          <cell r="KT30"/>
          <cell r="KU30"/>
          <cell r="KV30"/>
          <cell r="KW30"/>
          <cell r="KX30"/>
          <cell r="KY30"/>
          <cell r="KZ30"/>
          <cell r="LA30"/>
          <cell r="LB30"/>
          <cell r="LC30"/>
          <cell r="LD30"/>
          <cell r="LE30"/>
          <cell r="LF30"/>
          <cell r="LG30"/>
          <cell r="LH30"/>
          <cell r="LI30"/>
        </row>
        <row r="31">
          <cell r="D31">
            <v>7143</v>
          </cell>
          <cell r="E31" t="str">
            <v>Ekološke naknade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/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/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  <cell r="GF31"/>
          <cell r="GG31"/>
          <cell r="GH31"/>
          <cell r="GI31"/>
          <cell r="GJ31"/>
          <cell r="GK31"/>
          <cell r="GL31"/>
          <cell r="GM31"/>
          <cell r="GN31"/>
          <cell r="GO31"/>
          <cell r="GP31"/>
          <cell r="GQ31"/>
          <cell r="GR31"/>
          <cell r="GS31"/>
          <cell r="GT31"/>
          <cell r="GU31"/>
          <cell r="GV31"/>
          <cell r="GW31"/>
          <cell r="GX31"/>
          <cell r="GY31"/>
          <cell r="GZ31"/>
          <cell r="HA31"/>
          <cell r="HB31"/>
          <cell r="HC31"/>
          <cell r="HD31"/>
          <cell r="HE31"/>
          <cell r="HF31"/>
          <cell r="HG31"/>
          <cell r="HH31"/>
          <cell r="HI31"/>
          <cell r="HJ31"/>
          <cell r="HK31"/>
          <cell r="HL31"/>
          <cell r="HM31"/>
          <cell r="HN31"/>
          <cell r="HO31"/>
          <cell r="HP31"/>
          <cell r="HQ31"/>
          <cell r="HR31"/>
          <cell r="HS31"/>
          <cell r="HT31"/>
          <cell r="HU31"/>
          <cell r="HV31"/>
          <cell r="HW31"/>
          <cell r="HX31"/>
          <cell r="HY31"/>
          <cell r="HZ31"/>
          <cell r="IA31"/>
          <cell r="IB31"/>
          <cell r="IC31"/>
          <cell r="ID31"/>
          <cell r="IE31"/>
          <cell r="IF31"/>
          <cell r="IG31"/>
          <cell r="IH31"/>
          <cell r="II31"/>
          <cell r="IJ31"/>
          <cell r="IK31"/>
          <cell r="IL31"/>
          <cell r="IM31"/>
          <cell r="IN31"/>
          <cell r="IO31"/>
          <cell r="IP31"/>
          <cell r="IQ31"/>
          <cell r="IR31"/>
          <cell r="IS31"/>
          <cell r="IT31"/>
          <cell r="IU31"/>
          <cell r="IV31"/>
          <cell r="IW31"/>
          <cell r="IX31"/>
          <cell r="IY31"/>
          <cell r="IZ31"/>
          <cell r="JA31"/>
          <cell r="JB31"/>
          <cell r="JC31"/>
          <cell r="JD31"/>
          <cell r="JE31"/>
          <cell r="JF31"/>
          <cell r="JG31"/>
          <cell r="JH31"/>
          <cell r="JI31"/>
          <cell r="JJ31"/>
          <cell r="JK31"/>
          <cell r="JL31"/>
          <cell r="JM31"/>
          <cell r="JN31"/>
          <cell r="JO31"/>
          <cell r="JP31"/>
          <cell r="JQ31"/>
          <cell r="JR31"/>
          <cell r="JS31"/>
          <cell r="JT31"/>
          <cell r="JU31"/>
          <cell r="JV31"/>
          <cell r="JW31"/>
          <cell r="JX31"/>
          <cell r="JY31"/>
          <cell r="JZ31"/>
          <cell r="KA31"/>
          <cell r="KB31"/>
          <cell r="KC31"/>
          <cell r="KD31"/>
          <cell r="KE31"/>
          <cell r="KF31"/>
          <cell r="KG31"/>
          <cell r="KH31"/>
          <cell r="KI31"/>
          <cell r="KJ31"/>
          <cell r="KK31"/>
          <cell r="KL31"/>
          <cell r="KM31"/>
          <cell r="KN31"/>
          <cell r="KO31"/>
          <cell r="KP31"/>
          <cell r="KQ31"/>
          <cell r="KR31"/>
          <cell r="KS31"/>
          <cell r="KT31"/>
          <cell r="KU31"/>
          <cell r="KV31"/>
          <cell r="KW31"/>
          <cell r="KX31"/>
          <cell r="KY31"/>
          <cell r="KZ31"/>
          <cell r="LA31"/>
          <cell r="LB31"/>
          <cell r="LC31"/>
          <cell r="LD31"/>
          <cell r="LE31"/>
          <cell r="LF31"/>
          <cell r="LG31"/>
          <cell r="LH31"/>
          <cell r="LI31"/>
        </row>
        <row r="32">
          <cell r="D32">
            <v>7144</v>
          </cell>
          <cell r="E32" t="str">
            <v>Naknade za priređivanje igara na sreću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/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/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/>
          <cell r="GO32"/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/>
          <cell r="HC32"/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/>
          <cell r="HQ32"/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/>
          <cell r="IE32"/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/>
          <cell r="IS32"/>
          <cell r="IT32"/>
          <cell r="IU32"/>
          <cell r="IV32"/>
          <cell r="IW32"/>
          <cell r="IX32"/>
          <cell r="IY32"/>
          <cell r="IZ32"/>
          <cell r="JA32"/>
          <cell r="JB32"/>
          <cell r="JC32"/>
          <cell r="JD32"/>
          <cell r="JE32"/>
          <cell r="JF32"/>
          <cell r="JG32"/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  <cell r="JT32"/>
          <cell r="JU32"/>
          <cell r="JV32"/>
          <cell r="JW32"/>
          <cell r="JX32"/>
          <cell r="JY32"/>
          <cell r="JZ32"/>
          <cell r="KA32"/>
          <cell r="KB32"/>
          <cell r="KC32"/>
          <cell r="KD32"/>
          <cell r="KE32"/>
          <cell r="KF32"/>
          <cell r="KG32"/>
          <cell r="KH32"/>
          <cell r="KI32"/>
          <cell r="KJ32"/>
          <cell r="KK32"/>
          <cell r="KL32"/>
          <cell r="KM32"/>
          <cell r="KN32"/>
          <cell r="KO32"/>
          <cell r="KP32"/>
          <cell r="KQ32"/>
          <cell r="KR32"/>
          <cell r="KS32"/>
          <cell r="KT32"/>
          <cell r="KU32"/>
          <cell r="KV32"/>
          <cell r="KW32"/>
          <cell r="KX32"/>
          <cell r="KY32"/>
          <cell r="KZ32"/>
          <cell r="LA32"/>
          <cell r="LB32"/>
          <cell r="LC32"/>
          <cell r="LD32"/>
          <cell r="LE32"/>
          <cell r="LF32"/>
          <cell r="LG32"/>
          <cell r="LH32"/>
          <cell r="LI32"/>
        </row>
        <row r="33">
          <cell r="D33">
            <v>7148</v>
          </cell>
          <cell r="E33" t="str">
            <v>Naknada za puteve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/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/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/>
          <cell r="GO33"/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/>
          <cell r="HC33"/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/>
          <cell r="HQ33"/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/>
          <cell r="IE33"/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/>
          <cell r="IS33"/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  <cell r="JF33"/>
          <cell r="JG33"/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  <cell r="JT33"/>
          <cell r="JU33"/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  <cell r="KH33"/>
          <cell r="KI33"/>
          <cell r="KJ33"/>
          <cell r="KK33"/>
          <cell r="KL33"/>
          <cell r="KM33"/>
          <cell r="KN33"/>
          <cell r="KO33"/>
          <cell r="KP33"/>
          <cell r="KQ33"/>
          <cell r="KR33"/>
          <cell r="KS33"/>
          <cell r="KT33"/>
          <cell r="KU33"/>
          <cell r="KV33"/>
          <cell r="KW33"/>
          <cell r="KX33"/>
          <cell r="KY33"/>
          <cell r="KZ33"/>
          <cell r="LA33"/>
          <cell r="LB33"/>
          <cell r="LC33"/>
          <cell r="LD33"/>
          <cell r="LE33"/>
          <cell r="LF33"/>
          <cell r="LG33"/>
          <cell r="LH33"/>
          <cell r="LI33"/>
        </row>
        <row r="34">
          <cell r="D34">
            <v>7149</v>
          </cell>
          <cell r="E34" t="str">
            <v>Ostale naknade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/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/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/>
          <cell r="FS34"/>
          <cell r="FT34"/>
          <cell r="FU34"/>
          <cell r="FV34"/>
          <cell r="FW34"/>
          <cell r="FX34"/>
          <cell r="FY34"/>
          <cell r="FZ34"/>
          <cell r="GA34"/>
          <cell r="GB34"/>
          <cell r="GC34"/>
          <cell r="GD34"/>
          <cell r="GE34"/>
          <cell r="GF34"/>
          <cell r="GG34"/>
          <cell r="GH34"/>
          <cell r="GI34"/>
          <cell r="GJ34"/>
          <cell r="GK34"/>
          <cell r="GL34"/>
          <cell r="GM34"/>
          <cell r="GN34"/>
          <cell r="GO34"/>
          <cell r="GP34"/>
          <cell r="GQ34"/>
          <cell r="GR34"/>
          <cell r="GS34"/>
          <cell r="GT34"/>
          <cell r="GU34"/>
          <cell r="GV34"/>
          <cell r="GW34"/>
          <cell r="GX34"/>
          <cell r="GY34"/>
          <cell r="GZ34"/>
          <cell r="HA34"/>
          <cell r="HB34"/>
          <cell r="HC34"/>
          <cell r="HD34"/>
          <cell r="HE34"/>
          <cell r="HF34"/>
          <cell r="HG34"/>
          <cell r="HH34"/>
          <cell r="HI34"/>
          <cell r="HJ34"/>
          <cell r="HK34"/>
          <cell r="HL34"/>
          <cell r="HM34"/>
          <cell r="HN34"/>
          <cell r="HO34"/>
          <cell r="HP34"/>
          <cell r="HQ34"/>
          <cell r="HR34"/>
          <cell r="HS34"/>
          <cell r="HT34"/>
          <cell r="HU34"/>
          <cell r="HV34"/>
          <cell r="HW34"/>
          <cell r="HX34"/>
          <cell r="HY34"/>
          <cell r="HZ34"/>
          <cell r="IA34"/>
          <cell r="IB34"/>
          <cell r="IC34"/>
          <cell r="ID34"/>
          <cell r="IE34"/>
          <cell r="IF34"/>
          <cell r="IG34"/>
          <cell r="IH34"/>
          <cell r="II34"/>
          <cell r="IJ34"/>
          <cell r="IK34"/>
          <cell r="IL34"/>
          <cell r="IM34"/>
          <cell r="IN34"/>
          <cell r="IO34"/>
          <cell r="IP34"/>
          <cell r="IQ34"/>
          <cell r="IR34"/>
          <cell r="IS34"/>
          <cell r="IT34"/>
          <cell r="IU34"/>
          <cell r="IV34"/>
          <cell r="IW34"/>
          <cell r="IX34"/>
          <cell r="IY34"/>
          <cell r="IZ34"/>
          <cell r="JA34"/>
          <cell r="JB34"/>
          <cell r="JC34"/>
          <cell r="JD34"/>
          <cell r="JE34"/>
          <cell r="JF34"/>
          <cell r="JG34"/>
          <cell r="JH34"/>
          <cell r="JI34"/>
          <cell r="JJ34"/>
          <cell r="JK34"/>
          <cell r="JL34"/>
          <cell r="JM34"/>
          <cell r="JN34"/>
          <cell r="JO34"/>
          <cell r="JP34"/>
          <cell r="JQ34"/>
          <cell r="JR34"/>
          <cell r="JS34"/>
          <cell r="JT34"/>
          <cell r="JU34"/>
          <cell r="JV34"/>
          <cell r="JW34"/>
          <cell r="JX34"/>
          <cell r="JY34"/>
          <cell r="JZ34"/>
          <cell r="KA34"/>
          <cell r="KB34"/>
          <cell r="KC34"/>
          <cell r="KD34"/>
          <cell r="KE34"/>
          <cell r="KF34"/>
          <cell r="KG34"/>
          <cell r="KH34"/>
          <cell r="KI34"/>
          <cell r="KJ34"/>
          <cell r="KK34"/>
          <cell r="KL34"/>
          <cell r="KM34"/>
          <cell r="KN34"/>
          <cell r="KO34"/>
          <cell r="KP34"/>
          <cell r="KQ34"/>
          <cell r="KR34"/>
          <cell r="KS34"/>
          <cell r="KT34"/>
          <cell r="KU34"/>
          <cell r="KV34"/>
          <cell r="KW34"/>
          <cell r="KX34"/>
          <cell r="KY34"/>
          <cell r="KZ34"/>
          <cell r="LA34"/>
          <cell r="LB34"/>
          <cell r="LC34"/>
          <cell r="LD34"/>
          <cell r="LE34"/>
          <cell r="LF34"/>
          <cell r="LG34"/>
          <cell r="LH34"/>
          <cell r="LI34"/>
        </row>
        <row r="35">
          <cell r="A35"/>
          <cell r="B35"/>
          <cell r="C35">
            <v>715</v>
          </cell>
          <cell r="D35">
            <v>715</v>
          </cell>
          <cell r="E35" t="str">
            <v>Ostali prihodi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  <cell r="JH35"/>
          <cell r="JI35"/>
          <cell r="JJ35"/>
          <cell r="JK35"/>
          <cell r="JL35"/>
          <cell r="JM35"/>
          <cell r="JN35"/>
          <cell r="JO35"/>
          <cell r="JP35"/>
          <cell r="JQ35"/>
          <cell r="JR35"/>
          <cell r="JS35"/>
          <cell r="JT35"/>
          <cell r="JU35"/>
          <cell r="JV35"/>
          <cell r="JW35"/>
          <cell r="JX35"/>
          <cell r="JY35"/>
          <cell r="JZ35"/>
          <cell r="KA35"/>
          <cell r="KB35"/>
          <cell r="KC35"/>
          <cell r="KD35"/>
          <cell r="KE35"/>
          <cell r="KF35"/>
          <cell r="KG35"/>
          <cell r="KH35"/>
          <cell r="KI35"/>
          <cell r="KJ35"/>
          <cell r="KK35"/>
          <cell r="KL35"/>
          <cell r="KM35"/>
          <cell r="KN35"/>
          <cell r="KO35"/>
          <cell r="KP35"/>
          <cell r="KQ35"/>
          <cell r="KR35"/>
          <cell r="KS35"/>
          <cell r="KT35"/>
          <cell r="KU35"/>
          <cell r="KV35"/>
          <cell r="KW35"/>
          <cell r="KX35"/>
          <cell r="KY35"/>
          <cell r="KZ35"/>
          <cell r="LA35"/>
          <cell r="LB35"/>
          <cell r="LC35"/>
          <cell r="LD35"/>
          <cell r="LE35"/>
          <cell r="LF35"/>
          <cell r="LG35"/>
          <cell r="LH35"/>
          <cell r="LI35"/>
        </row>
        <row r="36">
          <cell r="D36">
            <v>7151</v>
          </cell>
          <cell r="E36" t="str">
            <v>Prihodi od kapitala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  <cell r="GF36"/>
          <cell r="GG36"/>
          <cell r="GH36"/>
          <cell r="GI36"/>
          <cell r="GJ36"/>
          <cell r="GK36"/>
          <cell r="GL36"/>
          <cell r="GM36"/>
          <cell r="GN36"/>
          <cell r="GO36"/>
          <cell r="GP36"/>
          <cell r="GQ36"/>
          <cell r="GR36"/>
          <cell r="GS36"/>
          <cell r="GT36"/>
          <cell r="GU36"/>
          <cell r="GV36"/>
          <cell r="GW36"/>
          <cell r="GX36"/>
          <cell r="GY36"/>
          <cell r="GZ36"/>
          <cell r="HA36"/>
          <cell r="HB36"/>
          <cell r="HC36"/>
          <cell r="HD36"/>
          <cell r="HE36"/>
          <cell r="HF36"/>
          <cell r="HG36"/>
          <cell r="HH36"/>
          <cell r="HI36"/>
          <cell r="HJ36"/>
          <cell r="HK36"/>
          <cell r="HL36"/>
          <cell r="HM36"/>
          <cell r="HN36"/>
          <cell r="HO36"/>
          <cell r="HP36"/>
          <cell r="HQ36"/>
          <cell r="HR36"/>
          <cell r="HS36"/>
          <cell r="HT36"/>
          <cell r="HU36"/>
          <cell r="HV36"/>
          <cell r="HW36"/>
          <cell r="HX36"/>
          <cell r="HY36"/>
          <cell r="HZ36"/>
          <cell r="IA36"/>
          <cell r="IB36"/>
          <cell r="IC36"/>
          <cell r="ID36"/>
          <cell r="IE36"/>
          <cell r="IF36"/>
          <cell r="IG36"/>
          <cell r="IH36"/>
          <cell r="II36"/>
          <cell r="IJ36"/>
          <cell r="IK36"/>
          <cell r="IL36"/>
          <cell r="IM36"/>
          <cell r="IN36"/>
          <cell r="IO36"/>
          <cell r="IP36"/>
          <cell r="IQ36"/>
          <cell r="IR36"/>
          <cell r="IS36"/>
          <cell r="IT36"/>
          <cell r="IU36"/>
          <cell r="IV36"/>
          <cell r="IW36"/>
          <cell r="IX36"/>
          <cell r="IY36"/>
          <cell r="IZ36"/>
          <cell r="JA36"/>
          <cell r="JB36"/>
          <cell r="JC36"/>
          <cell r="JD36"/>
          <cell r="JE36"/>
          <cell r="JF36"/>
          <cell r="JG36"/>
          <cell r="JH36"/>
          <cell r="JI36"/>
          <cell r="JJ36"/>
          <cell r="JK36"/>
          <cell r="JL36"/>
          <cell r="JM36"/>
          <cell r="JN36"/>
          <cell r="JO36"/>
          <cell r="JP36"/>
          <cell r="JQ36"/>
          <cell r="JR36"/>
          <cell r="JS36"/>
          <cell r="JT36"/>
          <cell r="JU36"/>
          <cell r="JV36"/>
          <cell r="JW36"/>
          <cell r="JX36"/>
          <cell r="JY36"/>
          <cell r="JZ36"/>
          <cell r="KA36"/>
          <cell r="KB36"/>
          <cell r="KC36"/>
          <cell r="KD36"/>
          <cell r="KE36"/>
          <cell r="KF36"/>
          <cell r="KG36"/>
          <cell r="KH36"/>
          <cell r="KI36"/>
          <cell r="KJ36"/>
          <cell r="KK36"/>
          <cell r="KL36"/>
          <cell r="KM36"/>
          <cell r="KN36"/>
          <cell r="KO36"/>
          <cell r="KP36"/>
          <cell r="KQ36"/>
          <cell r="KR36"/>
          <cell r="KS36"/>
          <cell r="KT36"/>
          <cell r="KU36"/>
          <cell r="KV36"/>
          <cell r="KW36"/>
          <cell r="KX36"/>
          <cell r="KY36"/>
          <cell r="KZ36"/>
          <cell r="LA36"/>
          <cell r="LB36"/>
          <cell r="LC36"/>
          <cell r="LD36"/>
          <cell r="LE36"/>
          <cell r="LF36"/>
          <cell r="LG36"/>
          <cell r="LH36"/>
          <cell r="LI36"/>
        </row>
        <row r="37">
          <cell r="D37">
            <v>7152</v>
          </cell>
          <cell r="E37" t="str">
            <v>Novčane kazne i oduzete imovinske koristi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/>
          <cell r="JG37"/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  <cell r="JT37"/>
          <cell r="JU37"/>
          <cell r="JV37"/>
          <cell r="JW37"/>
          <cell r="JX37"/>
          <cell r="JY37"/>
          <cell r="JZ37"/>
          <cell r="KA37"/>
          <cell r="KB37"/>
          <cell r="KC37"/>
          <cell r="KD37"/>
          <cell r="KE37"/>
          <cell r="KF37"/>
          <cell r="KG37"/>
          <cell r="KH37"/>
          <cell r="KI37"/>
          <cell r="KJ37"/>
          <cell r="KK37"/>
          <cell r="KL37"/>
          <cell r="KM37"/>
          <cell r="KN37"/>
          <cell r="KO37"/>
          <cell r="KP37"/>
          <cell r="KQ37"/>
          <cell r="KR37"/>
          <cell r="KS37"/>
          <cell r="KT37"/>
          <cell r="KU37"/>
          <cell r="KV37"/>
          <cell r="KW37"/>
          <cell r="KX37"/>
          <cell r="KY37"/>
          <cell r="KZ37"/>
          <cell r="LA37"/>
          <cell r="LB37"/>
          <cell r="LC37"/>
          <cell r="LD37"/>
          <cell r="LE37"/>
          <cell r="LF37"/>
          <cell r="LG37"/>
          <cell r="LH37"/>
          <cell r="LI37"/>
        </row>
        <row r="38">
          <cell r="D38">
            <v>7153</v>
          </cell>
          <cell r="E38" t="str">
            <v>Prihodi koje organi ostvaruju vršenjem svoje djelatnosti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/>
          <cell r="GO38"/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/>
          <cell r="HC38"/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/>
          <cell r="HQ38"/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/>
          <cell r="IE38"/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/>
          <cell r="IS38"/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/>
          <cell r="JG38"/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  <cell r="JT38"/>
          <cell r="JU38"/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  <cell r="KH38"/>
          <cell r="KI38"/>
          <cell r="KJ38"/>
          <cell r="KK38"/>
          <cell r="KL38"/>
          <cell r="KM38"/>
          <cell r="KN38"/>
          <cell r="KO38"/>
          <cell r="KP38"/>
          <cell r="KQ38"/>
          <cell r="KR38"/>
          <cell r="KS38"/>
          <cell r="KT38"/>
          <cell r="KU38"/>
          <cell r="KV38"/>
          <cell r="KW38"/>
          <cell r="KX38"/>
          <cell r="KY38"/>
          <cell r="KZ38"/>
          <cell r="LA38"/>
          <cell r="LB38"/>
          <cell r="LC38"/>
          <cell r="LD38"/>
          <cell r="LE38"/>
          <cell r="LF38"/>
          <cell r="LG38"/>
          <cell r="LH38"/>
          <cell r="LI38"/>
        </row>
        <row r="39">
          <cell r="D39">
            <v>7155</v>
          </cell>
          <cell r="E39" t="str">
            <v>Ostali prihodi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  <cell r="GF39"/>
          <cell r="GG39"/>
          <cell r="GH39"/>
          <cell r="GI39"/>
          <cell r="GJ39"/>
          <cell r="GK39"/>
          <cell r="GL39"/>
          <cell r="GM39"/>
          <cell r="GN39"/>
          <cell r="GO39"/>
          <cell r="GP39"/>
          <cell r="GQ39"/>
          <cell r="GR39"/>
          <cell r="GS39"/>
          <cell r="GT39"/>
          <cell r="GU39"/>
          <cell r="GV39"/>
          <cell r="GW39"/>
          <cell r="GX39"/>
          <cell r="GY39"/>
          <cell r="GZ39"/>
          <cell r="HA39"/>
          <cell r="HB39"/>
          <cell r="HC39"/>
          <cell r="HD39"/>
          <cell r="HE39"/>
          <cell r="HF39"/>
          <cell r="HG39"/>
          <cell r="HH39"/>
          <cell r="HI39"/>
          <cell r="HJ39"/>
          <cell r="HK39"/>
          <cell r="HL39"/>
          <cell r="HM39"/>
          <cell r="HN39"/>
          <cell r="HO39"/>
          <cell r="HP39"/>
          <cell r="HQ39"/>
          <cell r="HR39"/>
          <cell r="HS39"/>
          <cell r="HT39"/>
          <cell r="HU39"/>
          <cell r="HV39"/>
          <cell r="HW39"/>
          <cell r="HX39"/>
          <cell r="HY39"/>
          <cell r="HZ39"/>
          <cell r="IA39"/>
          <cell r="IB39"/>
          <cell r="IC39"/>
          <cell r="ID39"/>
          <cell r="IE39"/>
          <cell r="IF39"/>
          <cell r="IG39"/>
          <cell r="IH39"/>
          <cell r="II39"/>
          <cell r="IJ39"/>
          <cell r="IK39"/>
          <cell r="IL39"/>
          <cell r="IM39"/>
          <cell r="IN39"/>
          <cell r="IO39"/>
          <cell r="IP39"/>
          <cell r="IQ39"/>
          <cell r="IR39"/>
          <cell r="IS39"/>
          <cell r="IT39"/>
          <cell r="IU39"/>
          <cell r="IV39"/>
          <cell r="IW39"/>
          <cell r="IX39"/>
          <cell r="IY39"/>
          <cell r="IZ39"/>
          <cell r="JA39"/>
          <cell r="JB39"/>
          <cell r="JC39"/>
          <cell r="JD39"/>
          <cell r="JE39"/>
          <cell r="JF39"/>
          <cell r="JG39"/>
          <cell r="JH39"/>
          <cell r="JI39"/>
          <cell r="JJ39"/>
          <cell r="JK39"/>
          <cell r="JL39"/>
          <cell r="JM39"/>
          <cell r="JN39"/>
          <cell r="JO39"/>
          <cell r="JP39"/>
          <cell r="JQ39"/>
          <cell r="JR39"/>
          <cell r="JS39"/>
          <cell r="JT39"/>
          <cell r="JU39"/>
          <cell r="JV39"/>
          <cell r="JW39"/>
          <cell r="JX39"/>
          <cell r="JY39"/>
          <cell r="JZ39"/>
          <cell r="KA39"/>
          <cell r="KB39"/>
          <cell r="KC39"/>
          <cell r="KD39"/>
          <cell r="KE39"/>
          <cell r="KF39"/>
          <cell r="KG39"/>
          <cell r="KH39"/>
          <cell r="KI39"/>
          <cell r="KJ39"/>
          <cell r="KK39"/>
          <cell r="KL39"/>
          <cell r="KM39"/>
          <cell r="KN39"/>
          <cell r="KO39"/>
          <cell r="KP39"/>
          <cell r="KQ39"/>
          <cell r="KR39"/>
          <cell r="KS39"/>
          <cell r="KT39"/>
          <cell r="KU39"/>
          <cell r="KV39"/>
          <cell r="KW39"/>
          <cell r="KX39"/>
          <cell r="KY39"/>
          <cell r="KZ39"/>
          <cell r="LA39"/>
          <cell r="LB39"/>
          <cell r="LC39"/>
          <cell r="LD39"/>
          <cell r="LE39"/>
          <cell r="LF39"/>
          <cell r="LG39"/>
          <cell r="LH39"/>
          <cell r="LI39"/>
        </row>
        <row r="40">
          <cell r="A40"/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/>
          <cell r="EI40"/>
          <cell r="EJ40"/>
          <cell r="EK40"/>
          <cell r="EL40"/>
          <cell r="EM40"/>
          <cell r="EN40"/>
          <cell r="EO40"/>
          <cell r="EP40"/>
          <cell r="EQ40"/>
          <cell r="ER40"/>
          <cell r="ES40"/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  <cell r="GF40"/>
          <cell r="GG40"/>
          <cell r="GH40"/>
          <cell r="GI40"/>
          <cell r="GJ40"/>
          <cell r="GK40"/>
          <cell r="GL40"/>
          <cell r="GM40"/>
          <cell r="GN40"/>
          <cell r="GO40"/>
          <cell r="GP40"/>
          <cell r="GQ40"/>
          <cell r="GR40"/>
          <cell r="GS40"/>
          <cell r="GT40"/>
          <cell r="GU40"/>
          <cell r="GV40"/>
          <cell r="GW40"/>
          <cell r="GX40"/>
          <cell r="GY40"/>
          <cell r="GZ40"/>
          <cell r="HA40"/>
          <cell r="HB40"/>
          <cell r="HC40"/>
          <cell r="HD40"/>
          <cell r="HE40"/>
          <cell r="HF40"/>
          <cell r="HG40"/>
          <cell r="HH40"/>
          <cell r="HI40"/>
          <cell r="HJ40"/>
          <cell r="HK40"/>
          <cell r="HL40"/>
          <cell r="HM40"/>
          <cell r="HN40"/>
          <cell r="HO40"/>
          <cell r="HP40"/>
          <cell r="HQ40"/>
          <cell r="HR40"/>
          <cell r="HS40"/>
          <cell r="HT40"/>
          <cell r="HU40"/>
          <cell r="HV40"/>
          <cell r="HW40"/>
          <cell r="HX40"/>
          <cell r="HY40"/>
          <cell r="HZ40"/>
          <cell r="IA40"/>
          <cell r="IB40"/>
          <cell r="IC40"/>
          <cell r="ID40"/>
          <cell r="IE40"/>
          <cell r="IF40"/>
          <cell r="IG40"/>
          <cell r="IH40"/>
          <cell r="II40"/>
          <cell r="IJ40"/>
          <cell r="IK40"/>
          <cell r="IL40"/>
          <cell r="IM40"/>
          <cell r="IN40"/>
          <cell r="IO40"/>
          <cell r="IP40"/>
          <cell r="IQ40"/>
          <cell r="IR40"/>
          <cell r="IS40"/>
          <cell r="IT40"/>
          <cell r="IU40"/>
          <cell r="IV40"/>
          <cell r="IW40"/>
          <cell r="IX40"/>
          <cell r="IY40"/>
          <cell r="IZ40"/>
          <cell r="JA40"/>
          <cell r="JB40"/>
          <cell r="JC40"/>
          <cell r="JD40"/>
          <cell r="JE40"/>
          <cell r="JF40"/>
          <cell r="JG40"/>
          <cell r="JH40"/>
          <cell r="JI40"/>
          <cell r="JJ40"/>
          <cell r="JK40"/>
          <cell r="JL40"/>
          <cell r="JM40"/>
          <cell r="JN40"/>
          <cell r="JO40"/>
          <cell r="JP40"/>
          <cell r="JQ40"/>
          <cell r="JR40"/>
          <cell r="JS40"/>
          <cell r="JT40"/>
          <cell r="JU40"/>
          <cell r="JV40"/>
          <cell r="JW40"/>
          <cell r="JX40"/>
          <cell r="JY40"/>
          <cell r="JZ40"/>
          <cell r="KA40"/>
          <cell r="KB40"/>
          <cell r="KC40"/>
          <cell r="KD40"/>
          <cell r="KE40"/>
          <cell r="KF40"/>
          <cell r="KG40"/>
          <cell r="KH40"/>
          <cell r="KI40"/>
          <cell r="KJ40"/>
          <cell r="KK40"/>
          <cell r="KL40"/>
          <cell r="KM40"/>
          <cell r="KN40"/>
          <cell r="KO40"/>
          <cell r="KP40"/>
          <cell r="KQ40"/>
          <cell r="KR40"/>
          <cell r="KS40"/>
          <cell r="KT40"/>
          <cell r="KU40"/>
          <cell r="KV40"/>
          <cell r="KW40"/>
          <cell r="KX40"/>
          <cell r="KY40"/>
          <cell r="KZ40"/>
          <cell r="LA40"/>
          <cell r="LB40"/>
          <cell r="LC40"/>
          <cell r="LD40"/>
          <cell r="LE40"/>
          <cell r="LF40"/>
          <cell r="LG40"/>
          <cell r="LH40"/>
          <cell r="LI40"/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  <cell r="GF41"/>
          <cell r="GG41"/>
          <cell r="GH41"/>
          <cell r="GI41"/>
          <cell r="GJ41"/>
          <cell r="GK41"/>
          <cell r="GL41"/>
          <cell r="GM41"/>
          <cell r="GN41"/>
          <cell r="GO41"/>
          <cell r="GP41"/>
          <cell r="GQ41"/>
          <cell r="GR41"/>
          <cell r="GS41"/>
          <cell r="GT41"/>
          <cell r="GU41"/>
          <cell r="GV41"/>
          <cell r="GW41"/>
          <cell r="GX41"/>
          <cell r="GY41"/>
          <cell r="GZ41"/>
          <cell r="HA41"/>
          <cell r="HB41"/>
          <cell r="HC41"/>
          <cell r="HD41"/>
          <cell r="HE41"/>
          <cell r="HF41"/>
          <cell r="HG41"/>
          <cell r="HH41"/>
          <cell r="HI41"/>
          <cell r="HJ41"/>
          <cell r="HK41"/>
          <cell r="HL41"/>
          <cell r="HM41"/>
          <cell r="HN41"/>
          <cell r="HO41"/>
          <cell r="HP41"/>
          <cell r="HQ41"/>
          <cell r="HR41"/>
          <cell r="HS41"/>
          <cell r="HT41"/>
          <cell r="HU41"/>
          <cell r="HV41"/>
          <cell r="HW41"/>
          <cell r="HX41"/>
          <cell r="HY41"/>
          <cell r="HZ41"/>
          <cell r="IA41"/>
          <cell r="IB41"/>
          <cell r="IC41"/>
          <cell r="ID41"/>
          <cell r="IE41"/>
          <cell r="IF41"/>
          <cell r="IG41"/>
          <cell r="IH41"/>
          <cell r="II41"/>
          <cell r="IJ41"/>
          <cell r="IK41"/>
          <cell r="IL41"/>
          <cell r="IM41"/>
          <cell r="IN41"/>
          <cell r="IO41"/>
          <cell r="IP41"/>
          <cell r="IQ41"/>
          <cell r="IR41"/>
          <cell r="IS41"/>
          <cell r="IT41"/>
          <cell r="IU41"/>
          <cell r="IV41"/>
          <cell r="IW41"/>
          <cell r="IX41"/>
          <cell r="IY41"/>
          <cell r="IZ41"/>
          <cell r="JA41"/>
          <cell r="JB41"/>
          <cell r="JC41"/>
          <cell r="JD41"/>
          <cell r="JE41"/>
          <cell r="JF41"/>
          <cell r="JG41"/>
          <cell r="JH41"/>
          <cell r="JI41"/>
          <cell r="JJ41"/>
          <cell r="JK41"/>
          <cell r="JL41"/>
          <cell r="JM41"/>
          <cell r="JN41"/>
          <cell r="JO41"/>
          <cell r="JP41"/>
          <cell r="JQ41"/>
          <cell r="JR41"/>
          <cell r="JS41"/>
          <cell r="JT41"/>
          <cell r="JU41"/>
          <cell r="JV41"/>
          <cell r="JW41"/>
          <cell r="JX41"/>
          <cell r="JY41"/>
          <cell r="JZ41"/>
          <cell r="KA41"/>
          <cell r="KB41"/>
          <cell r="KC41"/>
          <cell r="KD41"/>
          <cell r="KE41"/>
          <cell r="KF41"/>
          <cell r="KG41"/>
          <cell r="KH41"/>
          <cell r="KI41"/>
          <cell r="KJ41"/>
          <cell r="KK41"/>
          <cell r="KL41"/>
          <cell r="KM41"/>
          <cell r="KN41"/>
          <cell r="KO41"/>
          <cell r="KP41"/>
          <cell r="KQ41"/>
          <cell r="KR41"/>
          <cell r="KS41"/>
          <cell r="KT41"/>
          <cell r="KU41"/>
          <cell r="KV41"/>
          <cell r="KW41"/>
          <cell r="KX41"/>
          <cell r="KY41"/>
          <cell r="KZ41"/>
          <cell r="LA41"/>
          <cell r="LB41"/>
          <cell r="LC41"/>
          <cell r="LD41"/>
          <cell r="LE41"/>
          <cell r="LF41"/>
          <cell r="LG41"/>
          <cell r="LH41"/>
          <cell r="LI41"/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/>
          <cell r="FP42"/>
          <cell r="FQ42"/>
          <cell r="FR42"/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  <cell r="GF42"/>
          <cell r="GG42"/>
          <cell r="GH42"/>
          <cell r="GI42"/>
          <cell r="GJ42"/>
          <cell r="GK42"/>
          <cell r="GL42"/>
          <cell r="GM42"/>
          <cell r="GN42"/>
          <cell r="GO42"/>
          <cell r="GP42"/>
          <cell r="GQ42"/>
          <cell r="GR42"/>
          <cell r="GS42"/>
          <cell r="GT42"/>
          <cell r="GU42"/>
          <cell r="GV42"/>
          <cell r="GW42"/>
          <cell r="GX42"/>
          <cell r="GY42"/>
          <cell r="GZ42"/>
          <cell r="HA42"/>
          <cell r="HB42"/>
          <cell r="HC42"/>
          <cell r="HD42"/>
          <cell r="HE42"/>
          <cell r="HF42"/>
          <cell r="HG42"/>
          <cell r="HH42"/>
          <cell r="HI42"/>
          <cell r="HJ42"/>
          <cell r="HK42"/>
          <cell r="HL42"/>
          <cell r="HM42"/>
          <cell r="HN42"/>
          <cell r="HO42"/>
          <cell r="HP42"/>
          <cell r="HQ42"/>
          <cell r="HR42"/>
          <cell r="HS42"/>
          <cell r="HT42"/>
          <cell r="HU42"/>
          <cell r="HV42"/>
          <cell r="HW42"/>
          <cell r="HX42"/>
          <cell r="HY42"/>
          <cell r="HZ42"/>
          <cell r="IA42"/>
          <cell r="IB42"/>
          <cell r="IC42"/>
          <cell r="ID42"/>
          <cell r="IE42"/>
          <cell r="IF42"/>
          <cell r="IG42"/>
          <cell r="IH42"/>
          <cell r="II42"/>
          <cell r="IJ42"/>
          <cell r="IK42"/>
          <cell r="IL42"/>
          <cell r="IM42"/>
          <cell r="IN42"/>
          <cell r="IO42"/>
          <cell r="IP42"/>
          <cell r="IQ42"/>
          <cell r="IR42"/>
          <cell r="IS42"/>
          <cell r="IT42"/>
          <cell r="IU42"/>
          <cell r="IV42"/>
          <cell r="IW42"/>
          <cell r="IX42"/>
          <cell r="IY42"/>
          <cell r="IZ42"/>
          <cell r="JA42"/>
          <cell r="JB42"/>
          <cell r="JC42"/>
          <cell r="JD42"/>
          <cell r="JE42"/>
          <cell r="JF42"/>
          <cell r="JG42"/>
          <cell r="JH42"/>
          <cell r="JI42"/>
          <cell r="JJ42"/>
          <cell r="JK42"/>
          <cell r="JL42"/>
          <cell r="JM42"/>
          <cell r="JN42"/>
          <cell r="JO42"/>
          <cell r="JP42"/>
          <cell r="JQ42"/>
          <cell r="JR42"/>
          <cell r="JS42"/>
          <cell r="JT42"/>
          <cell r="JU42"/>
          <cell r="JV42"/>
          <cell r="JW42"/>
          <cell r="JX42"/>
          <cell r="JY42"/>
          <cell r="JZ42"/>
          <cell r="KA42"/>
          <cell r="KB42"/>
          <cell r="KC42"/>
          <cell r="KD42"/>
          <cell r="KE42"/>
          <cell r="KF42"/>
          <cell r="KG42"/>
          <cell r="KH42"/>
          <cell r="KI42"/>
          <cell r="KJ42"/>
          <cell r="KK42"/>
          <cell r="KL42"/>
          <cell r="KM42"/>
          <cell r="KN42"/>
          <cell r="KO42"/>
          <cell r="KP42"/>
          <cell r="KQ42"/>
          <cell r="KR42"/>
          <cell r="KS42"/>
          <cell r="KT42"/>
          <cell r="KU42"/>
          <cell r="KV42"/>
          <cell r="KW42"/>
          <cell r="KX42"/>
          <cell r="KY42"/>
          <cell r="KZ42"/>
          <cell r="LA42"/>
          <cell r="LB42"/>
          <cell r="LC42"/>
          <cell r="LD42"/>
          <cell r="LE42"/>
          <cell r="LF42"/>
          <cell r="LG42"/>
          <cell r="LH42"/>
          <cell r="LI42"/>
        </row>
        <row r="43">
          <cell r="A43"/>
          <cell r="B43">
            <v>73</v>
          </cell>
          <cell r="C43"/>
          <cell r="D43">
            <v>73</v>
          </cell>
          <cell r="E43" t="str">
            <v>Primici od otplate kredita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/>
          <cell r="EI43"/>
          <cell r="EJ43"/>
          <cell r="EK43"/>
          <cell r="EL43"/>
          <cell r="EM43"/>
          <cell r="EN43"/>
          <cell r="EO43"/>
          <cell r="EP43"/>
          <cell r="EQ43"/>
          <cell r="ER43"/>
          <cell r="ES43"/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  <cell r="GF43"/>
          <cell r="GG43"/>
          <cell r="GH43"/>
          <cell r="GI43"/>
          <cell r="GJ43"/>
          <cell r="GK43"/>
          <cell r="GL43"/>
          <cell r="GM43"/>
          <cell r="GN43"/>
          <cell r="GO43"/>
          <cell r="GP43"/>
          <cell r="GQ43"/>
          <cell r="GR43"/>
          <cell r="GS43"/>
          <cell r="GT43"/>
          <cell r="GU43"/>
          <cell r="GV43"/>
          <cell r="GW43"/>
          <cell r="GX43"/>
          <cell r="GY43"/>
          <cell r="GZ43"/>
          <cell r="HA43"/>
          <cell r="HB43"/>
          <cell r="HC43"/>
          <cell r="HD43"/>
          <cell r="HE43"/>
          <cell r="HF43"/>
          <cell r="HG43"/>
          <cell r="HH43"/>
          <cell r="HI43"/>
          <cell r="HJ43"/>
          <cell r="HK43"/>
          <cell r="HL43"/>
          <cell r="HM43"/>
          <cell r="HN43"/>
          <cell r="HO43"/>
          <cell r="HP43"/>
          <cell r="HQ43"/>
          <cell r="HR43"/>
          <cell r="HS43"/>
          <cell r="HT43"/>
          <cell r="HU43"/>
          <cell r="HV43"/>
          <cell r="HW43"/>
          <cell r="HX43"/>
          <cell r="HY43"/>
          <cell r="HZ43"/>
          <cell r="IA43"/>
          <cell r="IB43"/>
          <cell r="IC43"/>
          <cell r="ID43"/>
          <cell r="IE43"/>
          <cell r="IF43"/>
          <cell r="IG43"/>
          <cell r="IH43"/>
          <cell r="II43"/>
          <cell r="IJ43"/>
          <cell r="IK43"/>
          <cell r="IL43"/>
          <cell r="IM43"/>
          <cell r="IN43"/>
          <cell r="IO43"/>
          <cell r="IP43"/>
          <cell r="IQ43"/>
          <cell r="IR43"/>
          <cell r="IS43"/>
          <cell r="IT43"/>
          <cell r="IU43"/>
          <cell r="IV43"/>
          <cell r="IW43"/>
          <cell r="IX43"/>
          <cell r="IY43"/>
          <cell r="IZ43"/>
          <cell r="JA43"/>
          <cell r="JB43"/>
          <cell r="JC43"/>
          <cell r="JD43"/>
          <cell r="JE43"/>
          <cell r="JF43"/>
          <cell r="JG43"/>
          <cell r="JH43"/>
          <cell r="JI43"/>
          <cell r="JJ43"/>
          <cell r="JK43"/>
          <cell r="JL43"/>
          <cell r="JM43"/>
          <cell r="JN43"/>
          <cell r="JO43"/>
          <cell r="JP43"/>
          <cell r="JQ43"/>
          <cell r="JR43"/>
          <cell r="JS43"/>
          <cell r="JT43"/>
          <cell r="JU43"/>
          <cell r="JV43"/>
          <cell r="JW43"/>
          <cell r="JX43"/>
          <cell r="JY43"/>
          <cell r="JZ43"/>
          <cell r="KA43"/>
          <cell r="KB43"/>
          <cell r="KC43"/>
          <cell r="KD43"/>
          <cell r="KE43"/>
          <cell r="KF43"/>
          <cell r="KG43"/>
          <cell r="KH43"/>
          <cell r="KI43"/>
          <cell r="KJ43"/>
          <cell r="KK43"/>
          <cell r="KL43"/>
          <cell r="KM43"/>
          <cell r="KN43"/>
          <cell r="KO43"/>
          <cell r="KP43"/>
          <cell r="KQ43"/>
          <cell r="KR43"/>
          <cell r="KS43"/>
          <cell r="KT43"/>
          <cell r="KU43"/>
          <cell r="KV43"/>
          <cell r="KW43"/>
          <cell r="KX43"/>
          <cell r="KY43"/>
          <cell r="KZ43"/>
          <cell r="LA43"/>
          <cell r="LB43"/>
          <cell r="LC43"/>
          <cell r="LD43"/>
          <cell r="LE43"/>
          <cell r="LF43"/>
          <cell r="LG43"/>
          <cell r="LH43"/>
          <cell r="LI43"/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  <cell r="GF44"/>
          <cell r="GG44"/>
          <cell r="GH44"/>
          <cell r="GI44"/>
          <cell r="GJ44"/>
          <cell r="GK44"/>
          <cell r="GL44"/>
          <cell r="GM44"/>
          <cell r="GN44"/>
          <cell r="GO44"/>
          <cell r="GP44"/>
          <cell r="GQ44"/>
          <cell r="GR44"/>
          <cell r="GS44"/>
          <cell r="GT44"/>
          <cell r="GU44"/>
          <cell r="GV44"/>
          <cell r="GW44"/>
          <cell r="GX44"/>
          <cell r="GY44"/>
          <cell r="GZ44"/>
          <cell r="HA44"/>
          <cell r="HB44"/>
          <cell r="HC44"/>
          <cell r="HD44"/>
          <cell r="HE44"/>
          <cell r="HF44"/>
          <cell r="HG44"/>
          <cell r="HH44"/>
          <cell r="HI44"/>
          <cell r="HJ44"/>
          <cell r="HK44"/>
          <cell r="HL44"/>
          <cell r="HM44"/>
          <cell r="HN44"/>
          <cell r="HO44"/>
          <cell r="HP44"/>
          <cell r="HQ44"/>
          <cell r="HR44"/>
          <cell r="HS44"/>
          <cell r="HT44"/>
          <cell r="HU44"/>
          <cell r="HV44"/>
          <cell r="HW44"/>
          <cell r="HX44"/>
          <cell r="HY44"/>
          <cell r="HZ44"/>
          <cell r="IA44"/>
          <cell r="IB44"/>
          <cell r="IC44"/>
          <cell r="ID44"/>
          <cell r="IE44"/>
          <cell r="IF44"/>
          <cell r="IG44"/>
          <cell r="IH44"/>
          <cell r="II44"/>
          <cell r="IJ44"/>
          <cell r="IK44"/>
          <cell r="IL44"/>
          <cell r="IM44"/>
          <cell r="IN44"/>
          <cell r="IO44"/>
          <cell r="IP44"/>
          <cell r="IQ44"/>
          <cell r="IR44"/>
          <cell r="IS44"/>
          <cell r="IT44"/>
          <cell r="IU44"/>
          <cell r="IV44"/>
          <cell r="IW44"/>
          <cell r="IX44"/>
          <cell r="IY44"/>
          <cell r="IZ44"/>
          <cell r="JA44"/>
          <cell r="JB44"/>
          <cell r="JC44"/>
          <cell r="JD44"/>
          <cell r="JE44"/>
          <cell r="JF44"/>
          <cell r="JG44"/>
          <cell r="JH44"/>
          <cell r="JI44"/>
          <cell r="JJ44"/>
          <cell r="JK44"/>
          <cell r="JL44"/>
          <cell r="JM44"/>
          <cell r="JN44"/>
          <cell r="JO44"/>
          <cell r="JP44"/>
          <cell r="JQ44"/>
          <cell r="JR44"/>
          <cell r="JS44"/>
          <cell r="JT44"/>
          <cell r="JU44"/>
          <cell r="JV44"/>
          <cell r="JW44"/>
          <cell r="JX44"/>
          <cell r="JY44"/>
          <cell r="JZ44"/>
          <cell r="KA44"/>
          <cell r="KB44"/>
          <cell r="KC44"/>
          <cell r="KD44"/>
          <cell r="KE44"/>
          <cell r="KF44"/>
          <cell r="KG44"/>
          <cell r="KH44"/>
          <cell r="KI44"/>
          <cell r="KJ44"/>
          <cell r="KK44"/>
          <cell r="KL44"/>
          <cell r="KM44"/>
          <cell r="KN44"/>
          <cell r="KO44"/>
          <cell r="KP44"/>
          <cell r="KQ44"/>
          <cell r="KR44"/>
          <cell r="KS44"/>
          <cell r="KT44"/>
          <cell r="KU44"/>
          <cell r="KV44"/>
          <cell r="KW44"/>
          <cell r="KX44"/>
          <cell r="KY44"/>
          <cell r="KZ44"/>
          <cell r="LA44"/>
          <cell r="LB44"/>
          <cell r="LC44"/>
          <cell r="LD44"/>
          <cell r="LE44"/>
          <cell r="LF44"/>
          <cell r="LG44"/>
          <cell r="LH44"/>
          <cell r="LI44"/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/>
          <cell r="EE45"/>
          <cell r="EF45"/>
          <cell r="EG45"/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  <cell r="JH45"/>
          <cell r="JI45"/>
          <cell r="JJ45"/>
          <cell r="JK45"/>
          <cell r="JL45"/>
          <cell r="JM45"/>
          <cell r="JN45"/>
          <cell r="JO45"/>
          <cell r="JP45"/>
          <cell r="JQ45"/>
          <cell r="JR45"/>
          <cell r="JS45"/>
          <cell r="JT45"/>
          <cell r="JU45"/>
          <cell r="JV45"/>
          <cell r="JW45"/>
          <cell r="JX45"/>
          <cell r="JY45"/>
          <cell r="JZ45"/>
          <cell r="KA45"/>
          <cell r="KB45"/>
          <cell r="KC45"/>
          <cell r="KD45"/>
          <cell r="KE45"/>
          <cell r="KF45"/>
          <cell r="KG45"/>
          <cell r="KH45"/>
          <cell r="KI45"/>
          <cell r="KJ45"/>
          <cell r="KK45"/>
          <cell r="KL45"/>
          <cell r="KM45"/>
          <cell r="KN45"/>
          <cell r="KO45"/>
          <cell r="KP45"/>
          <cell r="KQ45"/>
          <cell r="KR45"/>
          <cell r="KS45"/>
          <cell r="KT45"/>
          <cell r="KU45"/>
          <cell r="KV45"/>
          <cell r="KW45"/>
          <cell r="KX45"/>
          <cell r="KY45"/>
          <cell r="KZ45"/>
          <cell r="LA45"/>
          <cell r="LB45"/>
          <cell r="LC45"/>
          <cell r="LD45"/>
          <cell r="LE45"/>
          <cell r="LF45"/>
          <cell r="LG45"/>
          <cell r="LH45"/>
          <cell r="LI45"/>
        </row>
        <row r="46">
          <cell r="A46"/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  <cell r="JH46"/>
          <cell r="JI46"/>
          <cell r="JJ46"/>
          <cell r="JK46"/>
          <cell r="JL46"/>
          <cell r="JM46"/>
          <cell r="JN46"/>
          <cell r="JO46"/>
          <cell r="JP46"/>
          <cell r="JQ46"/>
          <cell r="JR46"/>
          <cell r="JS46"/>
          <cell r="JT46"/>
          <cell r="JU46"/>
          <cell r="JV46"/>
          <cell r="JW46"/>
          <cell r="JX46"/>
          <cell r="JY46"/>
          <cell r="JZ46"/>
          <cell r="KA46"/>
          <cell r="KB46"/>
          <cell r="KC46"/>
          <cell r="KD46"/>
          <cell r="KE46"/>
          <cell r="KF46"/>
          <cell r="KG46"/>
          <cell r="KH46"/>
          <cell r="KI46"/>
          <cell r="KJ46"/>
          <cell r="KK46"/>
          <cell r="KL46"/>
          <cell r="KM46"/>
          <cell r="KN46"/>
          <cell r="KO46"/>
          <cell r="KP46"/>
          <cell r="KQ46"/>
          <cell r="KR46"/>
          <cell r="KS46"/>
          <cell r="KT46"/>
          <cell r="KU46"/>
          <cell r="KV46"/>
          <cell r="KW46"/>
          <cell r="KX46"/>
          <cell r="KY46"/>
          <cell r="KZ46"/>
          <cell r="LA46"/>
          <cell r="LB46"/>
          <cell r="LC46"/>
          <cell r="LD46"/>
          <cell r="LE46"/>
          <cell r="LF46"/>
          <cell r="LG46"/>
          <cell r="LH46"/>
          <cell r="LI46"/>
        </row>
        <row r="47">
          <cell r="C47">
            <v>741</v>
          </cell>
          <cell r="D47">
            <v>7411</v>
          </cell>
          <cell r="E47" t="str">
            <v>Donacije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  <cell r="JH47"/>
          <cell r="JI47"/>
          <cell r="JJ47"/>
          <cell r="JK47"/>
          <cell r="JL47"/>
          <cell r="JM47"/>
          <cell r="JN47"/>
          <cell r="JO47"/>
          <cell r="JP47"/>
          <cell r="JQ47"/>
          <cell r="JR47"/>
          <cell r="JS47"/>
          <cell r="JT47"/>
          <cell r="JU47"/>
          <cell r="JV47"/>
          <cell r="JW47"/>
          <cell r="JX47"/>
          <cell r="JY47"/>
          <cell r="JZ47"/>
          <cell r="KA47"/>
          <cell r="KB47"/>
          <cell r="KC47"/>
          <cell r="KD47"/>
          <cell r="KE47"/>
          <cell r="KF47"/>
          <cell r="KG47"/>
          <cell r="KH47"/>
          <cell r="KI47"/>
          <cell r="KJ47"/>
          <cell r="KK47"/>
          <cell r="KL47"/>
          <cell r="KM47"/>
          <cell r="KN47"/>
          <cell r="KO47"/>
          <cell r="KP47"/>
          <cell r="KQ47"/>
          <cell r="KR47"/>
          <cell r="KS47"/>
          <cell r="KT47"/>
          <cell r="KU47"/>
          <cell r="KV47"/>
          <cell r="KW47"/>
          <cell r="KX47"/>
          <cell r="KY47"/>
          <cell r="KZ47"/>
          <cell r="LA47"/>
          <cell r="LB47"/>
          <cell r="LC47"/>
          <cell r="LD47"/>
          <cell r="LE47"/>
          <cell r="LF47"/>
          <cell r="LG47"/>
          <cell r="LH47"/>
          <cell r="LI47"/>
        </row>
        <row r="48">
          <cell r="C48">
            <v>742</v>
          </cell>
          <cell r="D48">
            <v>7421</v>
          </cell>
          <cell r="E48" t="str">
            <v>Transferi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/>
          <cell r="EE48"/>
          <cell r="EF48"/>
          <cell r="EG48"/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  <cell r="JH48"/>
          <cell r="JI48"/>
          <cell r="JJ48"/>
          <cell r="JK48"/>
          <cell r="JL48"/>
          <cell r="JM48"/>
          <cell r="JN48"/>
          <cell r="JO48"/>
          <cell r="JP48"/>
          <cell r="JQ48"/>
          <cell r="JR48"/>
          <cell r="JS48"/>
          <cell r="JT48"/>
          <cell r="JU48"/>
          <cell r="JV48"/>
          <cell r="JW48"/>
          <cell r="JX48"/>
          <cell r="JY48"/>
          <cell r="JZ48"/>
          <cell r="KA48"/>
          <cell r="KB48"/>
          <cell r="KC48"/>
          <cell r="KD48"/>
          <cell r="KE48"/>
          <cell r="KF48"/>
          <cell r="KG48"/>
          <cell r="KH48"/>
          <cell r="KI48"/>
          <cell r="KJ48"/>
          <cell r="KK48"/>
          <cell r="KL48"/>
          <cell r="KM48"/>
          <cell r="KN48"/>
          <cell r="KO48"/>
          <cell r="KP48"/>
          <cell r="KQ48"/>
          <cell r="KR48"/>
          <cell r="KS48"/>
          <cell r="KT48"/>
          <cell r="KU48"/>
          <cell r="KV48"/>
          <cell r="KW48"/>
          <cell r="KX48"/>
          <cell r="KY48"/>
          <cell r="KZ48"/>
          <cell r="LA48"/>
          <cell r="LB48"/>
          <cell r="LC48"/>
          <cell r="LD48"/>
          <cell r="LE48"/>
          <cell r="LF48"/>
          <cell r="LG48"/>
          <cell r="LH48"/>
          <cell r="LI48"/>
        </row>
        <row r="49">
          <cell r="A49"/>
          <cell r="B49">
            <v>75</v>
          </cell>
          <cell r="C49"/>
          <cell r="D49">
            <v>75</v>
          </cell>
          <cell r="E49" t="str">
            <v xml:space="preserve">Pozajmice i krediti 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/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/>
          <cell r="ER49"/>
          <cell r="ES49"/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/>
          <cell r="FG49"/>
          <cell r="FH49"/>
          <cell r="FI49"/>
          <cell r="FJ49"/>
          <cell r="FK49">
            <v>8784836.1999999993</v>
          </cell>
          <cell r="FL49"/>
          <cell r="FM49"/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  <cell r="JH49"/>
          <cell r="JI49"/>
          <cell r="JJ49"/>
          <cell r="JK49"/>
          <cell r="JL49"/>
          <cell r="JM49"/>
          <cell r="JN49"/>
          <cell r="JO49"/>
          <cell r="JP49"/>
          <cell r="JQ49"/>
          <cell r="JR49"/>
          <cell r="JS49"/>
          <cell r="JT49"/>
          <cell r="JU49"/>
          <cell r="JV49"/>
          <cell r="JW49"/>
          <cell r="JX49"/>
          <cell r="JY49"/>
          <cell r="JZ49"/>
          <cell r="KA49"/>
          <cell r="KB49"/>
          <cell r="KC49"/>
          <cell r="KD49"/>
          <cell r="KE49"/>
          <cell r="KF49"/>
          <cell r="KG49"/>
          <cell r="KH49"/>
          <cell r="KI49"/>
          <cell r="KJ49"/>
          <cell r="KK49"/>
          <cell r="KL49"/>
          <cell r="KM49"/>
          <cell r="KN49"/>
          <cell r="KO49"/>
          <cell r="KP49"/>
          <cell r="KQ49"/>
          <cell r="KR49"/>
          <cell r="KS49"/>
          <cell r="KT49"/>
          <cell r="KU49"/>
          <cell r="KV49"/>
          <cell r="KW49"/>
          <cell r="KX49"/>
          <cell r="KY49"/>
          <cell r="KZ49"/>
          <cell r="LA49"/>
          <cell r="LB49"/>
          <cell r="LC49"/>
          <cell r="LD49"/>
          <cell r="LE49"/>
          <cell r="LF49"/>
          <cell r="LG49"/>
          <cell r="LH49"/>
          <cell r="LI49"/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/>
          <cell r="ED50">
            <v>584698.59</v>
          </cell>
          <cell r="EE50"/>
          <cell r="EF50"/>
          <cell r="EG50"/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  <cell r="JH50"/>
          <cell r="JI50"/>
          <cell r="JJ50"/>
          <cell r="JK50"/>
          <cell r="JL50"/>
          <cell r="JM50"/>
          <cell r="JN50"/>
          <cell r="JO50"/>
          <cell r="JP50"/>
          <cell r="JQ50"/>
          <cell r="JR50"/>
          <cell r="JS50"/>
          <cell r="JT50"/>
          <cell r="JU50"/>
          <cell r="JV50"/>
          <cell r="JW50"/>
          <cell r="JX50"/>
          <cell r="JY50"/>
          <cell r="JZ50"/>
          <cell r="KA50"/>
          <cell r="KB50"/>
          <cell r="KC50"/>
          <cell r="KD50"/>
          <cell r="KE50"/>
          <cell r="KF50"/>
          <cell r="KG50"/>
          <cell r="KH50"/>
          <cell r="KI50"/>
          <cell r="KJ50"/>
          <cell r="KK50"/>
          <cell r="KL50"/>
          <cell r="KM50"/>
          <cell r="KN50"/>
          <cell r="KO50"/>
          <cell r="KP50"/>
          <cell r="KQ50"/>
          <cell r="KR50"/>
          <cell r="KS50"/>
          <cell r="KT50"/>
          <cell r="KU50"/>
          <cell r="KV50"/>
          <cell r="KW50"/>
          <cell r="KX50"/>
          <cell r="KY50"/>
          <cell r="KZ50"/>
          <cell r="LA50"/>
          <cell r="LB50"/>
          <cell r="LC50"/>
          <cell r="LD50"/>
          <cell r="LE50"/>
          <cell r="LF50"/>
          <cell r="LG50"/>
          <cell r="LH50"/>
          <cell r="LI50"/>
        </row>
        <row r="51">
          <cell r="D51">
            <v>7511</v>
          </cell>
          <cell r="E51" t="str">
            <v>Pozajmice i krediti od domaćih izvora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/>
          <cell r="EE51"/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/>
          <cell r="EZ51">
            <v>18000000</v>
          </cell>
          <cell r="FA51">
            <v>59000000</v>
          </cell>
          <cell r="FB51"/>
          <cell r="FC51"/>
          <cell r="FD51"/>
          <cell r="FE51"/>
          <cell r="FF51">
            <v>18000000</v>
          </cell>
          <cell r="FG51">
            <v>54000000</v>
          </cell>
          <cell r="FH51"/>
          <cell r="FI51">
            <v>74623000</v>
          </cell>
          <cell r="FJ51">
            <v>67815000</v>
          </cell>
          <cell r="FK51"/>
          <cell r="FL51">
            <v>18000000</v>
          </cell>
          <cell r="FM51">
            <v>54000000</v>
          </cell>
          <cell r="FN51"/>
          <cell r="FO51"/>
          <cell r="FP51">
            <v>47000000</v>
          </cell>
          <cell r="FQ51">
            <v>30000000</v>
          </cell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  <cell r="GF51"/>
          <cell r="GG51"/>
          <cell r="GH51"/>
          <cell r="GI51"/>
          <cell r="GJ51"/>
          <cell r="GK51"/>
          <cell r="GL51"/>
          <cell r="GM51"/>
          <cell r="GN51"/>
          <cell r="GO51"/>
          <cell r="GP51"/>
          <cell r="GQ51"/>
          <cell r="GR51"/>
          <cell r="GS51"/>
          <cell r="GT51"/>
          <cell r="GU51"/>
          <cell r="GV51"/>
          <cell r="GW51"/>
          <cell r="GX51"/>
          <cell r="GY51"/>
          <cell r="GZ51"/>
          <cell r="HA51"/>
          <cell r="HB51"/>
          <cell r="HC51"/>
          <cell r="HD51"/>
          <cell r="HE51"/>
          <cell r="HF51"/>
          <cell r="HG51"/>
          <cell r="HH51"/>
          <cell r="HI51"/>
          <cell r="HJ51"/>
          <cell r="HK51"/>
          <cell r="HL51"/>
          <cell r="HM51"/>
          <cell r="HN51"/>
          <cell r="HO51"/>
          <cell r="HP51"/>
          <cell r="HQ51"/>
          <cell r="HR51"/>
          <cell r="HS51"/>
          <cell r="HT51"/>
          <cell r="HU51"/>
          <cell r="HV51"/>
          <cell r="HW51"/>
          <cell r="HX51"/>
          <cell r="HY51"/>
          <cell r="HZ51"/>
          <cell r="IA51"/>
          <cell r="IB51"/>
          <cell r="IC51"/>
          <cell r="ID51"/>
          <cell r="IE51"/>
          <cell r="IF51"/>
          <cell r="IG51"/>
          <cell r="IH51"/>
          <cell r="II51"/>
          <cell r="IJ51"/>
          <cell r="IK51"/>
          <cell r="IL51"/>
          <cell r="IM51"/>
          <cell r="IN51"/>
          <cell r="IO51"/>
          <cell r="IP51"/>
          <cell r="IQ51"/>
          <cell r="IR51"/>
          <cell r="IS51"/>
          <cell r="IT51"/>
          <cell r="IU51"/>
          <cell r="IV51"/>
          <cell r="IW51"/>
          <cell r="IX51"/>
          <cell r="IY51"/>
          <cell r="IZ51"/>
          <cell r="JA51"/>
          <cell r="JB51"/>
          <cell r="JC51"/>
          <cell r="JD51"/>
          <cell r="JE51"/>
          <cell r="JF51"/>
          <cell r="JG51"/>
          <cell r="JH51"/>
          <cell r="JI51"/>
          <cell r="JJ51"/>
          <cell r="JK51"/>
          <cell r="JL51"/>
          <cell r="JM51"/>
          <cell r="JN51"/>
          <cell r="JO51"/>
          <cell r="JP51"/>
          <cell r="JQ51"/>
          <cell r="JR51"/>
          <cell r="JS51"/>
          <cell r="JT51"/>
          <cell r="JU51"/>
          <cell r="JV51"/>
          <cell r="JW51"/>
          <cell r="JX51"/>
          <cell r="JY51"/>
          <cell r="JZ51"/>
          <cell r="KA51"/>
          <cell r="KB51"/>
          <cell r="KC51"/>
          <cell r="KD51"/>
          <cell r="KE51"/>
          <cell r="KF51"/>
          <cell r="KG51"/>
          <cell r="KH51"/>
          <cell r="KI51"/>
          <cell r="KJ51"/>
          <cell r="KK51"/>
          <cell r="KL51"/>
          <cell r="KM51"/>
          <cell r="KN51"/>
          <cell r="KO51"/>
          <cell r="KP51"/>
          <cell r="KQ51"/>
          <cell r="KR51"/>
          <cell r="KS51"/>
          <cell r="KT51"/>
          <cell r="KU51"/>
          <cell r="KV51"/>
          <cell r="KW51"/>
          <cell r="KX51"/>
          <cell r="KY51"/>
          <cell r="KZ51"/>
          <cell r="LA51"/>
          <cell r="LB51"/>
          <cell r="LC51"/>
          <cell r="LD51"/>
          <cell r="LE51"/>
          <cell r="LF51"/>
          <cell r="LG51"/>
          <cell r="LH51"/>
          <cell r="LI51"/>
        </row>
        <row r="52">
          <cell r="D52">
            <v>7512</v>
          </cell>
          <cell r="E52" t="str">
            <v>Pozajmice i krediti od inostranih izvora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/>
          <cell r="EI52"/>
          <cell r="EK52"/>
          <cell r="EL52"/>
          <cell r="EM52"/>
          <cell r="EN52"/>
          <cell r="EO52"/>
          <cell r="EP52"/>
          <cell r="EQ52">
            <v>160221133.53999999</v>
          </cell>
          <cell r="ER52">
            <v>163344901.65000001</v>
          </cell>
          <cell r="ES52"/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  <cell r="JH52"/>
          <cell r="JI52"/>
          <cell r="JJ52"/>
          <cell r="JK52"/>
          <cell r="JL52"/>
          <cell r="JM52"/>
          <cell r="JN52"/>
          <cell r="JO52"/>
          <cell r="JP52"/>
          <cell r="JQ52"/>
          <cell r="JR52"/>
          <cell r="JS52"/>
          <cell r="JT52"/>
          <cell r="JU52"/>
          <cell r="JV52"/>
          <cell r="JW52"/>
          <cell r="JX52"/>
          <cell r="JY52"/>
          <cell r="JZ52"/>
          <cell r="KA52"/>
          <cell r="KB52"/>
          <cell r="KC52"/>
          <cell r="KD52"/>
          <cell r="KE52"/>
          <cell r="KF52"/>
          <cell r="KG52"/>
          <cell r="KH52"/>
          <cell r="KI52"/>
          <cell r="KJ52"/>
          <cell r="KK52"/>
          <cell r="KL52"/>
          <cell r="KM52"/>
          <cell r="KN52"/>
          <cell r="KO52"/>
          <cell r="KP52"/>
          <cell r="KQ52"/>
          <cell r="KR52"/>
          <cell r="KS52"/>
          <cell r="KT52"/>
          <cell r="KU52"/>
          <cell r="KV52"/>
          <cell r="KW52"/>
          <cell r="KX52"/>
          <cell r="KY52"/>
          <cell r="KZ52"/>
          <cell r="LA52"/>
          <cell r="LB52"/>
          <cell r="LC52"/>
          <cell r="LD52"/>
          <cell r="LE52"/>
          <cell r="LF52"/>
          <cell r="LG52"/>
          <cell r="LH52"/>
          <cell r="LI52"/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>
            <v>53180290.399999999</v>
          </cell>
          <cell r="ER53">
            <v>57739544.189999998</v>
          </cell>
          <cell r="ES53"/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  <cell r="JH53"/>
          <cell r="JI53"/>
          <cell r="JJ53"/>
          <cell r="JK53"/>
          <cell r="JL53"/>
          <cell r="JM53"/>
          <cell r="JN53"/>
          <cell r="JO53"/>
          <cell r="JP53"/>
          <cell r="JQ53"/>
          <cell r="JR53"/>
          <cell r="JS53"/>
          <cell r="JT53"/>
          <cell r="JU53"/>
          <cell r="JV53"/>
          <cell r="JW53"/>
          <cell r="JX53"/>
          <cell r="JY53"/>
          <cell r="JZ53"/>
          <cell r="KA53"/>
          <cell r="KB53"/>
          <cell r="KC53"/>
          <cell r="KD53"/>
          <cell r="KE53"/>
          <cell r="KF53"/>
          <cell r="KG53"/>
          <cell r="KH53"/>
          <cell r="KI53"/>
          <cell r="KJ53"/>
          <cell r="KK53"/>
          <cell r="KL53"/>
          <cell r="KM53"/>
          <cell r="KN53"/>
          <cell r="KO53"/>
          <cell r="KP53"/>
          <cell r="KQ53"/>
          <cell r="KR53"/>
          <cell r="KS53"/>
          <cell r="KT53"/>
          <cell r="KU53"/>
          <cell r="KV53"/>
          <cell r="KW53"/>
          <cell r="KX53"/>
          <cell r="KY53"/>
          <cell r="KZ53"/>
          <cell r="LA53"/>
          <cell r="LB53"/>
          <cell r="LC53"/>
          <cell r="LD53"/>
          <cell r="LE53"/>
          <cell r="LF53"/>
          <cell r="LG53"/>
          <cell r="LH53"/>
          <cell r="LI53"/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/>
          <cell r="EC54"/>
          <cell r="ED54"/>
          <cell r="EE54"/>
          <cell r="EF54"/>
          <cell r="EG54"/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  <cell r="JH54"/>
          <cell r="JI54"/>
          <cell r="JJ54"/>
          <cell r="JK54"/>
          <cell r="JL54"/>
          <cell r="JM54"/>
          <cell r="JN54"/>
          <cell r="JO54"/>
          <cell r="JP54"/>
          <cell r="JQ54"/>
          <cell r="JR54"/>
          <cell r="JS54"/>
          <cell r="JT54"/>
          <cell r="JU54"/>
          <cell r="JV54"/>
          <cell r="JW54"/>
          <cell r="JX54"/>
          <cell r="JY54"/>
          <cell r="JZ54"/>
          <cell r="KA54"/>
          <cell r="KB54"/>
          <cell r="KC54"/>
          <cell r="KD54"/>
          <cell r="KE54"/>
          <cell r="KF54"/>
          <cell r="KG54"/>
          <cell r="KH54"/>
          <cell r="KI54"/>
          <cell r="KJ54"/>
          <cell r="KK54"/>
          <cell r="KL54"/>
          <cell r="KM54"/>
          <cell r="KN54"/>
          <cell r="KO54"/>
          <cell r="KP54"/>
          <cell r="KQ54"/>
          <cell r="KR54"/>
          <cell r="KS54"/>
          <cell r="KT54"/>
          <cell r="KU54"/>
          <cell r="KV54"/>
          <cell r="KW54"/>
          <cell r="KX54"/>
          <cell r="KY54"/>
          <cell r="KZ54"/>
          <cell r="LA54"/>
          <cell r="LB54"/>
          <cell r="LC54"/>
          <cell r="LD54"/>
          <cell r="LE54"/>
          <cell r="LF54"/>
          <cell r="LG54"/>
          <cell r="LH54"/>
          <cell r="LI54"/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  <cell r="GF55"/>
          <cell r="GG55"/>
          <cell r="GH55"/>
          <cell r="GI55"/>
          <cell r="GJ55"/>
          <cell r="GK55"/>
          <cell r="GL55"/>
          <cell r="GM55"/>
          <cell r="GN55"/>
          <cell r="GO55"/>
          <cell r="GP55"/>
          <cell r="GQ55"/>
          <cell r="GR55"/>
          <cell r="GS55"/>
          <cell r="GT55"/>
          <cell r="GU55"/>
          <cell r="GV55"/>
          <cell r="GW55"/>
          <cell r="GX55"/>
          <cell r="GY55"/>
          <cell r="GZ55"/>
          <cell r="HA55"/>
          <cell r="HB55"/>
          <cell r="HC55"/>
          <cell r="HD55"/>
          <cell r="HE55"/>
          <cell r="HF55"/>
          <cell r="HG55"/>
          <cell r="HH55"/>
          <cell r="HI55"/>
          <cell r="HJ55"/>
          <cell r="HK55"/>
          <cell r="HL55"/>
          <cell r="HM55"/>
          <cell r="HN55"/>
          <cell r="HO55"/>
          <cell r="HP55"/>
          <cell r="HQ55"/>
          <cell r="HR55"/>
          <cell r="HS55"/>
          <cell r="HT55"/>
          <cell r="HU55"/>
          <cell r="HV55"/>
          <cell r="HW55"/>
          <cell r="HX55"/>
          <cell r="HY55"/>
          <cell r="HZ55"/>
          <cell r="IA55"/>
          <cell r="IB55"/>
          <cell r="IC55"/>
          <cell r="ID55"/>
          <cell r="IE55"/>
          <cell r="IF55"/>
          <cell r="IG55"/>
          <cell r="IH55"/>
          <cell r="II55"/>
          <cell r="IJ55"/>
          <cell r="IK55"/>
          <cell r="IL55"/>
          <cell r="IM55"/>
          <cell r="IN55"/>
          <cell r="IO55"/>
          <cell r="IP55"/>
          <cell r="IQ55"/>
          <cell r="IR55"/>
          <cell r="IS55"/>
          <cell r="IT55"/>
          <cell r="IU55"/>
          <cell r="IV55"/>
          <cell r="IW55"/>
          <cell r="IX55"/>
          <cell r="IY55"/>
          <cell r="IZ55"/>
          <cell r="JA55"/>
          <cell r="JB55"/>
          <cell r="JC55"/>
          <cell r="JD55"/>
          <cell r="JE55"/>
          <cell r="JF55"/>
          <cell r="JG55"/>
          <cell r="JH55"/>
          <cell r="JI55"/>
          <cell r="JJ55"/>
          <cell r="JK55"/>
          <cell r="JL55"/>
          <cell r="JM55"/>
          <cell r="JN55"/>
          <cell r="JO55"/>
          <cell r="JP55"/>
          <cell r="JQ55"/>
          <cell r="JR55"/>
          <cell r="JS55"/>
          <cell r="JT55"/>
          <cell r="JU55"/>
          <cell r="JV55"/>
          <cell r="JW55"/>
          <cell r="JX55"/>
          <cell r="JY55"/>
          <cell r="JZ55"/>
          <cell r="KA55"/>
          <cell r="KB55"/>
          <cell r="KC55"/>
          <cell r="KD55"/>
          <cell r="KE55"/>
          <cell r="KF55"/>
          <cell r="KG55"/>
          <cell r="KH55"/>
          <cell r="KI55"/>
          <cell r="KJ55"/>
          <cell r="KK55"/>
          <cell r="KL55"/>
          <cell r="KM55"/>
          <cell r="KN55"/>
          <cell r="KO55"/>
          <cell r="KP55"/>
          <cell r="KQ55"/>
          <cell r="KR55"/>
          <cell r="KS55"/>
          <cell r="KT55"/>
          <cell r="KU55"/>
          <cell r="KV55"/>
          <cell r="KW55"/>
          <cell r="KX55"/>
          <cell r="KY55"/>
          <cell r="KZ55"/>
          <cell r="LA55"/>
          <cell r="LB55"/>
          <cell r="LC55"/>
          <cell r="LD55"/>
          <cell r="LE55"/>
          <cell r="LF55"/>
          <cell r="LG55"/>
          <cell r="LH55"/>
          <cell r="LI55"/>
        </row>
        <row r="56">
          <cell r="D56">
            <v>4111</v>
          </cell>
          <cell r="E56" t="str">
            <v>Neto zarade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  <cell r="GF56"/>
          <cell r="GG56"/>
          <cell r="GH56"/>
          <cell r="GI56"/>
          <cell r="GJ56"/>
          <cell r="GK56"/>
          <cell r="GL56"/>
          <cell r="GM56"/>
          <cell r="GN56"/>
          <cell r="GO56"/>
          <cell r="GP56"/>
          <cell r="GQ56"/>
          <cell r="GR56"/>
          <cell r="GS56"/>
          <cell r="GT56"/>
          <cell r="GU56"/>
          <cell r="GV56"/>
          <cell r="GW56"/>
          <cell r="GX56"/>
          <cell r="GY56"/>
          <cell r="GZ56"/>
          <cell r="HA56"/>
          <cell r="HB56"/>
          <cell r="HC56"/>
          <cell r="HD56"/>
          <cell r="HE56"/>
          <cell r="HF56"/>
          <cell r="HG56"/>
          <cell r="HH56"/>
          <cell r="HI56"/>
          <cell r="HJ56"/>
          <cell r="HK56"/>
          <cell r="HL56"/>
          <cell r="HM56"/>
          <cell r="HN56"/>
          <cell r="HO56"/>
          <cell r="HP56"/>
          <cell r="HQ56"/>
          <cell r="HR56"/>
          <cell r="HS56"/>
          <cell r="HT56"/>
          <cell r="HU56"/>
          <cell r="HV56"/>
          <cell r="HW56"/>
          <cell r="HX56"/>
          <cell r="HY56"/>
          <cell r="HZ56"/>
          <cell r="IA56"/>
          <cell r="IB56"/>
          <cell r="IC56"/>
          <cell r="ID56"/>
          <cell r="IE56"/>
          <cell r="IF56"/>
          <cell r="IG56"/>
          <cell r="IH56"/>
          <cell r="II56"/>
          <cell r="IJ56"/>
          <cell r="IK56"/>
          <cell r="IL56"/>
          <cell r="IM56"/>
          <cell r="IN56"/>
          <cell r="IO56"/>
          <cell r="IP56"/>
          <cell r="IQ56"/>
          <cell r="IR56"/>
          <cell r="IS56"/>
          <cell r="IT56"/>
          <cell r="IU56"/>
          <cell r="IV56"/>
          <cell r="IW56"/>
          <cell r="IX56"/>
          <cell r="IY56"/>
          <cell r="IZ56"/>
          <cell r="JA56"/>
          <cell r="JB56"/>
          <cell r="JC56"/>
          <cell r="JD56"/>
          <cell r="JE56"/>
          <cell r="JF56"/>
          <cell r="JG56"/>
          <cell r="JH56"/>
          <cell r="JI56"/>
          <cell r="JJ56"/>
          <cell r="JK56"/>
          <cell r="JL56"/>
          <cell r="JM56"/>
          <cell r="JN56"/>
          <cell r="JO56"/>
          <cell r="JP56"/>
          <cell r="JQ56"/>
          <cell r="JR56"/>
          <cell r="JS56"/>
          <cell r="JT56"/>
          <cell r="JU56"/>
          <cell r="JV56"/>
          <cell r="JW56"/>
          <cell r="JX56"/>
          <cell r="JY56"/>
          <cell r="JZ56"/>
          <cell r="KA56"/>
          <cell r="KB56"/>
          <cell r="KC56"/>
          <cell r="KD56"/>
          <cell r="KE56"/>
          <cell r="KF56"/>
          <cell r="KG56"/>
          <cell r="KH56"/>
          <cell r="KI56"/>
          <cell r="KJ56"/>
          <cell r="KK56"/>
          <cell r="KL56"/>
          <cell r="KM56"/>
          <cell r="KN56"/>
          <cell r="KO56"/>
          <cell r="KP56"/>
          <cell r="KQ56"/>
          <cell r="KR56"/>
          <cell r="KS56"/>
          <cell r="KT56"/>
          <cell r="KU56"/>
          <cell r="KV56"/>
          <cell r="KW56"/>
          <cell r="KX56"/>
          <cell r="KY56"/>
          <cell r="KZ56"/>
          <cell r="LA56"/>
          <cell r="LB56"/>
          <cell r="LC56"/>
          <cell r="LD56"/>
          <cell r="LE56"/>
          <cell r="LF56"/>
          <cell r="LG56"/>
          <cell r="LH56"/>
          <cell r="LI56"/>
        </row>
        <row r="57">
          <cell r="D57">
            <v>4112</v>
          </cell>
          <cell r="E57" t="str">
            <v>Porez na zarade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  <cell r="GF57"/>
          <cell r="GG57"/>
          <cell r="GH57"/>
          <cell r="GI57"/>
          <cell r="GJ57"/>
          <cell r="GK57"/>
          <cell r="GL57"/>
          <cell r="GM57"/>
          <cell r="GN57"/>
          <cell r="GO57"/>
          <cell r="GP57"/>
          <cell r="GQ57"/>
          <cell r="GR57"/>
          <cell r="GS57"/>
          <cell r="GT57"/>
          <cell r="GU57"/>
          <cell r="GV57"/>
          <cell r="GW57"/>
          <cell r="GX57"/>
          <cell r="GY57"/>
          <cell r="GZ57"/>
          <cell r="HA57"/>
          <cell r="HB57"/>
          <cell r="HC57"/>
          <cell r="HD57"/>
          <cell r="HE57"/>
          <cell r="HF57"/>
          <cell r="HG57"/>
          <cell r="HH57"/>
          <cell r="HI57"/>
          <cell r="HJ57"/>
          <cell r="HK57"/>
          <cell r="HL57"/>
          <cell r="HM57"/>
          <cell r="HN57"/>
          <cell r="HO57"/>
          <cell r="HP57"/>
          <cell r="HQ57"/>
          <cell r="HR57"/>
          <cell r="HS57"/>
          <cell r="HT57"/>
          <cell r="HU57"/>
          <cell r="HV57"/>
          <cell r="HW57"/>
          <cell r="HX57"/>
          <cell r="HY57"/>
          <cell r="HZ57"/>
          <cell r="IA57"/>
          <cell r="IB57"/>
          <cell r="IC57"/>
          <cell r="ID57"/>
          <cell r="IE57"/>
          <cell r="IF57"/>
          <cell r="IG57"/>
          <cell r="IH57"/>
          <cell r="II57"/>
          <cell r="IJ57"/>
          <cell r="IK57"/>
          <cell r="IL57"/>
          <cell r="IM57"/>
          <cell r="IN57"/>
          <cell r="IO57"/>
          <cell r="IP57"/>
          <cell r="IQ57"/>
          <cell r="IR57"/>
          <cell r="IS57"/>
          <cell r="IT57"/>
          <cell r="IU57"/>
          <cell r="IV57"/>
          <cell r="IW57"/>
          <cell r="IX57"/>
          <cell r="IY57"/>
          <cell r="IZ57"/>
          <cell r="JA57"/>
          <cell r="JB57"/>
          <cell r="JC57"/>
          <cell r="JD57"/>
          <cell r="JE57"/>
          <cell r="JF57"/>
          <cell r="JG57"/>
          <cell r="JH57"/>
          <cell r="JI57"/>
          <cell r="JJ57"/>
          <cell r="JK57"/>
          <cell r="JL57"/>
          <cell r="JM57"/>
          <cell r="JN57"/>
          <cell r="JO57"/>
          <cell r="JP57"/>
          <cell r="JQ57"/>
          <cell r="JR57"/>
          <cell r="JS57"/>
          <cell r="JT57"/>
          <cell r="JU57"/>
          <cell r="JV57"/>
          <cell r="JW57"/>
          <cell r="JX57"/>
          <cell r="JY57"/>
          <cell r="JZ57"/>
          <cell r="KA57"/>
          <cell r="KB57"/>
          <cell r="KC57"/>
          <cell r="KD57"/>
          <cell r="KE57"/>
          <cell r="KF57"/>
          <cell r="KG57"/>
          <cell r="KH57"/>
          <cell r="KI57"/>
          <cell r="KJ57"/>
          <cell r="KK57"/>
          <cell r="KL57"/>
          <cell r="KM57"/>
          <cell r="KN57"/>
          <cell r="KO57"/>
          <cell r="KP57"/>
          <cell r="KQ57"/>
          <cell r="KR57"/>
          <cell r="KS57"/>
          <cell r="KT57"/>
          <cell r="KU57"/>
          <cell r="KV57"/>
          <cell r="KW57"/>
          <cell r="KX57"/>
          <cell r="KY57"/>
          <cell r="KZ57"/>
          <cell r="LA57"/>
          <cell r="LB57"/>
          <cell r="LC57"/>
          <cell r="LD57"/>
          <cell r="LE57"/>
          <cell r="LF57"/>
          <cell r="LG57"/>
          <cell r="LH57"/>
          <cell r="LI57"/>
        </row>
        <row r="58">
          <cell r="D58">
            <v>4113</v>
          </cell>
          <cell r="E58" t="str">
            <v>Doprinosi na teret zaposlenog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  <cell r="GF58"/>
          <cell r="GG58"/>
          <cell r="GH58"/>
          <cell r="GI58"/>
          <cell r="GJ58"/>
          <cell r="GK58"/>
          <cell r="GL58"/>
          <cell r="GM58"/>
          <cell r="GN58"/>
          <cell r="GO58"/>
          <cell r="GP58"/>
          <cell r="GQ58"/>
          <cell r="GR58"/>
          <cell r="GS58"/>
          <cell r="GT58"/>
          <cell r="GU58"/>
          <cell r="GV58"/>
          <cell r="GW58"/>
          <cell r="GX58"/>
          <cell r="GY58"/>
          <cell r="GZ58"/>
          <cell r="HA58"/>
          <cell r="HB58"/>
          <cell r="HC58"/>
          <cell r="HD58"/>
          <cell r="HE58"/>
          <cell r="HF58"/>
          <cell r="HG58"/>
          <cell r="HH58"/>
          <cell r="HI58"/>
          <cell r="HJ58"/>
          <cell r="HK58"/>
          <cell r="HL58"/>
          <cell r="HM58"/>
          <cell r="HN58"/>
          <cell r="HO58"/>
          <cell r="HP58"/>
          <cell r="HQ58"/>
          <cell r="HR58"/>
          <cell r="HS58"/>
          <cell r="HT58"/>
          <cell r="HU58"/>
          <cell r="HV58"/>
          <cell r="HW58"/>
          <cell r="HX58"/>
          <cell r="HY58"/>
          <cell r="HZ58"/>
          <cell r="IA58"/>
          <cell r="IB58"/>
          <cell r="IC58"/>
          <cell r="ID58"/>
          <cell r="IE58"/>
          <cell r="IF58"/>
          <cell r="IG58"/>
          <cell r="IH58"/>
          <cell r="II58"/>
          <cell r="IJ58"/>
          <cell r="IK58"/>
          <cell r="IL58"/>
          <cell r="IM58"/>
          <cell r="IN58"/>
          <cell r="IO58"/>
          <cell r="IP58"/>
          <cell r="IQ58"/>
          <cell r="IR58"/>
          <cell r="IS58"/>
          <cell r="IT58"/>
          <cell r="IU58"/>
          <cell r="IV58"/>
          <cell r="IW58"/>
          <cell r="IX58"/>
          <cell r="IY58"/>
          <cell r="IZ58"/>
          <cell r="JA58"/>
          <cell r="JB58"/>
          <cell r="JC58"/>
          <cell r="JD58"/>
          <cell r="JE58"/>
          <cell r="JF58"/>
          <cell r="JG58"/>
          <cell r="JH58"/>
          <cell r="JI58"/>
          <cell r="JJ58"/>
          <cell r="JK58"/>
          <cell r="JL58"/>
          <cell r="JM58"/>
          <cell r="JN58"/>
          <cell r="JO58"/>
          <cell r="JP58"/>
          <cell r="JQ58"/>
          <cell r="JR58"/>
          <cell r="JS58"/>
          <cell r="JT58"/>
          <cell r="JU58"/>
          <cell r="JV58"/>
          <cell r="JW58"/>
          <cell r="JX58"/>
          <cell r="JY58"/>
          <cell r="JZ58"/>
          <cell r="KA58"/>
          <cell r="KB58"/>
          <cell r="KC58"/>
          <cell r="KD58"/>
          <cell r="KE58"/>
          <cell r="KF58"/>
          <cell r="KG58"/>
          <cell r="KH58"/>
          <cell r="KI58"/>
          <cell r="KJ58"/>
          <cell r="KK58"/>
          <cell r="KL58"/>
          <cell r="KM58"/>
          <cell r="KN58"/>
          <cell r="KO58"/>
          <cell r="KP58"/>
          <cell r="KQ58"/>
          <cell r="KR58"/>
          <cell r="KS58"/>
          <cell r="KT58"/>
          <cell r="KU58"/>
          <cell r="KV58"/>
          <cell r="KW58"/>
          <cell r="KX58"/>
          <cell r="KY58"/>
          <cell r="KZ58"/>
          <cell r="LA58"/>
          <cell r="LB58"/>
          <cell r="LC58"/>
          <cell r="LD58"/>
          <cell r="LE58"/>
          <cell r="LF58"/>
          <cell r="LG58"/>
          <cell r="LH58"/>
          <cell r="LI58"/>
        </row>
        <row r="59">
          <cell r="D59">
            <v>4114</v>
          </cell>
          <cell r="E59" t="str">
            <v>Doprinosi na teret poslodavca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  <cell r="FX59"/>
          <cell r="FY59"/>
          <cell r="FZ59"/>
          <cell r="GA59"/>
          <cell r="GB59"/>
          <cell r="GC59"/>
          <cell r="GD59"/>
          <cell r="GE59"/>
          <cell r="GF59"/>
          <cell r="GG59"/>
          <cell r="GH59"/>
          <cell r="GI59"/>
          <cell r="GJ59"/>
          <cell r="GK59"/>
          <cell r="GL59"/>
          <cell r="GM59"/>
          <cell r="GN59"/>
          <cell r="GO59"/>
          <cell r="GP59"/>
          <cell r="GQ59"/>
          <cell r="GR59"/>
          <cell r="GS59"/>
          <cell r="GT59"/>
          <cell r="GU59"/>
          <cell r="GV59"/>
          <cell r="GW59"/>
          <cell r="GX59"/>
          <cell r="GY59"/>
          <cell r="GZ59"/>
          <cell r="HA59"/>
          <cell r="HB59"/>
          <cell r="HC59"/>
          <cell r="HD59"/>
          <cell r="HE59"/>
          <cell r="HF59"/>
          <cell r="HG59"/>
          <cell r="HH59"/>
          <cell r="HI59"/>
          <cell r="HJ59"/>
          <cell r="HK59"/>
          <cell r="HL59"/>
          <cell r="HM59"/>
          <cell r="HN59"/>
          <cell r="HO59"/>
          <cell r="HP59"/>
          <cell r="HQ59"/>
          <cell r="HR59"/>
          <cell r="HS59"/>
          <cell r="HT59"/>
          <cell r="HU59"/>
          <cell r="HV59"/>
          <cell r="HW59"/>
          <cell r="HX59"/>
          <cell r="HY59"/>
          <cell r="HZ59"/>
          <cell r="IA59"/>
          <cell r="IB59"/>
          <cell r="IC59"/>
          <cell r="ID59"/>
          <cell r="IE59"/>
          <cell r="IF59"/>
          <cell r="IG59"/>
          <cell r="IH59"/>
          <cell r="II59"/>
          <cell r="IJ59"/>
          <cell r="IK59"/>
          <cell r="IL59"/>
          <cell r="IM59"/>
          <cell r="IN59"/>
          <cell r="IO59"/>
          <cell r="IP59"/>
          <cell r="IQ59"/>
          <cell r="IR59"/>
          <cell r="IS59"/>
          <cell r="IT59"/>
          <cell r="IU59"/>
          <cell r="IV59"/>
          <cell r="IW59"/>
          <cell r="IX59"/>
          <cell r="IY59"/>
          <cell r="IZ59"/>
          <cell r="JA59"/>
          <cell r="JB59"/>
          <cell r="JC59"/>
          <cell r="JD59"/>
          <cell r="JE59"/>
          <cell r="JF59"/>
          <cell r="JG59"/>
          <cell r="JH59"/>
          <cell r="JI59"/>
          <cell r="JJ59"/>
          <cell r="JK59"/>
          <cell r="JL59"/>
          <cell r="JM59"/>
          <cell r="JN59"/>
          <cell r="JO59"/>
          <cell r="JP59"/>
          <cell r="JQ59"/>
          <cell r="JR59"/>
          <cell r="JS59"/>
          <cell r="JT59"/>
          <cell r="JU59"/>
          <cell r="JV59"/>
          <cell r="JW59"/>
          <cell r="JX59"/>
          <cell r="JY59"/>
          <cell r="JZ59"/>
          <cell r="KA59"/>
          <cell r="KB59"/>
          <cell r="KC59"/>
          <cell r="KD59"/>
          <cell r="KE59"/>
          <cell r="KF59"/>
          <cell r="KG59"/>
          <cell r="KH59"/>
          <cell r="KI59"/>
          <cell r="KJ59"/>
          <cell r="KK59"/>
          <cell r="KL59"/>
          <cell r="KM59"/>
          <cell r="KN59"/>
          <cell r="KO59"/>
          <cell r="KP59"/>
          <cell r="KQ59"/>
          <cell r="KR59"/>
          <cell r="KS59"/>
          <cell r="KT59"/>
          <cell r="KU59"/>
          <cell r="KV59"/>
          <cell r="KW59"/>
          <cell r="KX59"/>
          <cell r="KY59"/>
          <cell r="KZ59"/>
          <cell r="LA59"/>
          <cell r="LB59"/>
          <cell r="LC59"/>
          <cell r="LD59"/>
          <cell r="LE59"/>
          <cell r="LF59"/>
          <cell r="LG59"/>
          <cell r="LH59"/>
          <cell r="LI59"/>
        </row>
        <row r="60">
          <cell r="D60">
            <v>4115</v>
          </cell>
          <cell r="E60" t="str">
            <v>Opštinski prirez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/>
          <cell r="ED60"/>
          <cell r="EE60"/>
          <cell r="EF60"/>
          <cell r="EG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  <cell r="GF60"/>
          <cell r="GG60"/>
          <cell r="GH60"/>
          <cell r="GI60"/>
          <cell r="GJ60"/>
          <cell r="GK60"/>
          <cell r="GL60"/>
          <cell r="GM60"/>
          <cell r="GN60"/>
          <cell r="GO60"/>
          <cell r="GP60"/>
          <cell r="GQ60"/>
          <cell r="GR60"/>
          <cell r="GS60"/>
          <cell r="GT60"/>
          <cell r="GU60"/>
          <cell r="GV60"/>
          <cell r="GW60"/>
          <cell r="GX60"/>
          <cell r="GY60"/>
          <cell r="GZ60"/>
          <cell r="HA60"/>
          <cell r="HB60"/>
          <cell r="HC60"/>
          <cell r="HD60"/>
          <cell r="HE60"/>
          <cell r="HF60"/>
          <cell r="HG60"/>
          <cell r="HH60"/>
          <cell r="HI60"/>
          <cell r="HJ60"/>
          <cell r="HK60"/>
          <cell r="HL60"/>
          <cell r="HM60"/>
          <cell r="HN60"/>
          <cell r="HO60"/>
          <cell r="HP60"/>
          <cell r="HQ60"/>
          <cell r="HR60"/>
          <cell r="HS60"/>
          <cell r="HT60"/>
          <cell r="HU60"/>
          <cell r="HV60"/>
          <cell r="HW60"/>
          <cell r="HX60"/>
          <cell r="HY60"/>
          <cell r="HZ60"/>
          <cell r="IA60"/>
          <cell r="IB60"/>
          <cell r="IC60"/>
          <cell r="ID60"/>
          <cell r="IE60"/>
          <cell r="IF60"/>
          <cell r="IG60"/>
          <cell r="IH60"/>
          <cell r="II60"/>
          <cell r="IJ60"/>
          <cell r="IK60"/>
          <cell r="IL60"/>
          <cell r="IM60"/>
          <cell r="IN60"/>
          <cell r="IO60"/>
          <cell r="IP60"/>
          <cell r="IQ60"/>
          <cell r="IR60"/>
          <cell r="IS60"/>
          <cell r="IT60"/>
          <cell r="IU60"/>
          <cell r="IV60"/>
          <cell r="IW60"/>
          <cell r="IX60"/>
          <cell r="IY60"/>
          <cell r="IZ60"/>
          <cell r="JA60"/>
          <cell r="JB60"/>
          <cell r="JC60"/>
          <cell r="JD60"/>
          <cell r="JE60"/>
          <cell r="JF60"/>
          <cell r="JG60"/>
          <cell r="JH60"/>
          <cell r="JI60"/>
          <cell r="JJ60"/>
          <cell r="JK60"/>
          <cell r="JL60"/>
          <cell r="JM60"/>
          <cell r="JN60"/>
          <cell r="JO60"/>
          <cell r="JP60"/>
          <cell r="JQ60"/>
          <cell r="JR60"/>
          <cell r="JS60"/>
          <cell r="JT60"/>
          <cell r="JU60"/>
          <cell r="JV60"/>
          <cell r="JW60"/>
          <cell r="JX60"/>
          <cell r="JY60"/>
          <cell r="JZ60"/>
          <cell r="KA60"/>
          <cell r="KB60"/>
          <cell r="KC60"/>
          <cell r="KD60"/>
          <cell r="KE60"/>
          <cell r="KF60"/>
          <cell r="KG60"/>
          <cell r="KH60"/>
          <cell r="KI60"/>
          <cell r="KJ60"/>
          <cell r="KK60"/>
          <cell r="KL60"/>
          <cell r="KM60"/>
          <cell r="KN60"/>
          <cell r="KO60"/>
          <cell r="KP60"/>
          <cell r="KQ60"/>
          <cell r="KR60"/>
          <cell r="KS60"/>
          <cell r="KT60"/>
          <cell r="KU60"/>
          <cell r="KV60"/>
          <cell r="KW60"/>
          <cell r="KX60"/>
          <cell r="KY60"/>
          <cell r="KZ60"/>
          <cell r="LA60"/>
          <cell r="LB60"/>
          <cell r="LC60"/>
          <cell r="LD60"/>
          <cell r="LE60"/>
          <cell r="LF60"/>
          <cell r="LG60"/>
          <cell r="LH60"/>
          <cell r="LI60"/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/>
          <cell r="FS61"/>
          <cell r="FT61"/>
          <cell r="FU61"/>
          <cell r="FV61"/>
          <cell r="FW61"/>
          <cell r="FX61"/>
          <cell r="FY61"/>
          <cell r="FZ61"/>
          <cell r="GA61"/>
          <cell r="GB61"/>
          <cell r="GC61"/>
          <cell r="GD61"/>
          <cell r="GE61"/>
          <cell r="GF61"/>
          <cell r="GG61"/>
          <cell r="GH61"/>
          <cell r="GI61"/>
          <cell r="GJ61"/>
          <cell r="GK61"/>
          <cell r="GL61"/>
          <cell r="GM61"/>
          <cell r="GN61"/>
          <cell r="GO61"/>
          <cell r="GP61"/>
          <cell r="GQ61"/>
          <cell r="GR61"/>
          <cell r="GS61"/>
          <cell r="GT61"/>
          <cell r="GU61"/>
          <cell r="GV61"/>
          <cell r="GW61"/>
          <cell r="GX61"/>
          <cell r="GY61"/>
          <cell r="GZ61"/>
          <cell r="HA61"/>
          <cell r="HB61"/>
          <cell r="HC61"/>
          <cell r="HD61"/>
          <cell r="HE61"/>
          <cell r="HF61"/>
          <cell r="HG61"/>
          <cell r="HH61"/>
          <cell r="HI61"/>
          <cell r="HJ61"/>
          <cell r="HK61"/>
          <cell r="HL61"/>
          <cell r="HM61"/>
          <cell r="HN61"/>
          <cell r="HO61"/>
          <cell r="HP61"/>
          <cell r="HQ61"/>
          <cell r="HR61"/>
          <cell r="HS61"/>
          <cell r="HT61"/>
          <cell r="HU61"/>
          <cell r="HV61"/>
          <cell r="HW61"/>
          <cell r="HX61"/>
          <cell r="HY61"/>
          <cell r="HZ61"/>
          <cell r="IA61"/>
          <cell r="IB61"/>
          <cell r="IC61"/>
          <cell r="ID61"/>
          <cell r="IE61"/>
          <cell r="IF61"/>
          <cell r="IG61"/>
          <cell r="IH61"/>
          <cell r="II61"/>
          <cell r="IJ61"/>
          <cell r="IK61"/>
          <cell r="IL61"/>
          <cell r="IM61"/>
          <cell r="IN61"/>
          <cell r="IO61"/>
          <cell r="IP61"/>
          <cell r="IQ61"/>
          <cell r="IR61"/>
          <cell r="IS61"/>
          <cell r="IT61"/>
          <cell r="IU61"/>
          <cell r="IV61"/>
          <cell r="IW61"/>
          <cell r="IX61"/>
          <cell r="IY61"/>
          <cell r="IZ61"/>
          <cell r="JA61"/>
          <cell r="JB61"/>
          <cell r="JC61"/>
          <cell r="JD61"/>
          <cell r="JE61"/>
          <cell r="JF61"/>
          <cell r="JG61"/>
          <cell r="JH61"/>
          <cell r="JI61"/>
          <cell r="JJ61"/>
          <cell r="JK61"/>
          <cell r="JL61"/>
          <cell r="JM61"/>
          <cell r="JN61"/>
          <cell r="JO61"/>
          <cell r="JP61"/>
          <cell r="JQ61"/>
          <cell r="JR61"/>
          <cell r="JS61"/>
          <cell r="JT61"/>
          <cell r="JU61"/>
          <cell r="JV61"/>
          <cell r="JW61"/>
          <cell r="JX61"/>
          <cell r="JY61"/>
          <cell r="JZ61"/>
          <cell r="KA61"/>
          <cell r="KB61"/>
          <cell r="KC61"/>
          <cell r="KD61"/>
          <cell r="KE61"/>
          <cell r="KF61"/>
          <cell r="KG61"/>
          <cell r="KH61"/>
          <cell r="KI61"/>
          <cell r="KJ61"/>
          <cell r="KK61"/>
          <cell r="KL61"/>
          <cell r="KM61"/>
          <cell r="KN61"/>
          <cell r="KO61"/>
          <cell r="KP61"/>
          <cell r="KQ61"/>
          <cell r="KR61"/>
          <cell r="KS61"/>
          <cell r="KT61"/>
          <cell r="KU61"/>
          <cell r="KV61"/>
          <cell r="KW61"/>
          <cell r="KX61"/>
          <cell r="KY61"/>
          <cell r="KZ61"/>
          <cell r="LA61"/>
          <cell r="LB61"/>
          <cell r="LC61"/>
          <cell r="LD61"/>
          <cell r="LE61"/>
          <cell r="LF61"/>
          <cell r="LG61"/>
          <cell r="LH61"/>
          <cell r="LI61"/>
        </row>
        <row r="62">
          <cell r="D62">
            <v>4121</v>
          </cell>
          <cell r="E62" t="str">
            <v>Naknada za zimnicu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  <cell r="GF62"/>
          <cell r="GG62"/>
          <cell r="GH62"/>
          <cell r="GI62"/>
          <cell r="GJ62"/>
          <cell r="GK62"/>
          <cell r="GL62"/>
          <cell r="GM62"/>
          <cell r="GN62"/>
          <cell r="GO62"/>
          <cell r="GP62"/>
          <cell r="GQ62"/>
          <cell r="GR62"/>
          <cell r="GS62"/>
          <cell r="GT62"/>
          <cell r="GU62"/>
          <cell r="GV62"/>
          <cell r="GW62"/>
          <cell r="GX62"/>
          <cell r="GY62"/>
          <cell r="GZ62"/>
          <cell r="HA62"/>
          <cell r="HB62"/>
          <cell r="HC62"/>
          <cell r="HD62"/>
          <cell r="HE62"/>
          <cell r="HF62"/>
          <cell r="HG62"/>
          <cell r="HH62"/>
          <cell r="HI62"/>
          <cell r="HJ62"/>
          <cell r="HK62"/>
          <cell r="HL62"/>
          <cell r="HM62"/>
          <cell r="HN62"/>
          <cell r="HO62"/>
          <cell r="HP62"/>
          <cell r="HQ62"/>
          <cell r="HR62"/>
          <cell r="HS62"/>
          <cell r="HT62"/>
          <cell r="HU62"/>
          <cell r="HV62"/>
          <cell r="HW62"/>
          <cell r="HX62"/>
          <cell r="HY62"/>
          <cell r="HZ62"/>
          <cell r="IA62"/>
          <cell r="IB62"/>
          <cell r="IC62"/>
          <cell r="ID62"/>
          <cell r="IE62"/>
          <cell r="IF62"/>
          <cell r="IG62"/>
          <cell r="IH62"/>
          <cell r="II62"/>
          <cell r="IJ62"/>
          <cell r="IK62"/>
          <cell r="IL62"/>
          <cell r="IM62"/>
          <cell r="IN62"/>
          <cell r="IO62"/>
          <cell r="IP62"/>
          <cell r="IQ62"/>
          <cell r="IR62"/>
          <cell r="IS62"/>
          <cell r="IT62"/>
          <cell r="IU62"/>
          <cell r="IV62"/>
          <cell r="IW62"/>
          <cell r="IX62"/>
          <cell r="IY62"/>
          <cell r="IZ62"/>
          <cell r="JA62"/>
          <cell r="JB62"/>
          <cell r="JC62"/>
          <cell r="JD62"/>
          <cell r="JE62"/>
          <cell r="JF62"/>
          <cell r="JG62"/>
          <cell r="JH62"/>
          <cell r="JI62"/>
          <cell r="JJ62"/>
          <cell r="JK62"/>
          <cell r="JL62"/>
          <cell r="JM62"/>
          <cell r="JN62"/>
          <cell r="JO62"/>
          <cell r="JP62"/>
          <cell r="JQ62"/>
          <cell r="JR62"/>
          <cell r="JS62"/>
          <cell r="JT62"/>
          <cell r="JU62"/>
          <cell r="JV62"/>
          <cell r="JW62"/>
          <cell r="JX62"/>
          <cell r="JY62"/>
          <cell r="JZ62"/>
          <cell r="KA62"/>
          <cell r="KB62"/>
          <cell r="KC62"/>
          <cell r="KD62"/>
          <cell r="KE62"/>
          <cell r="KF62"/>
          <cell r="KG62"/>
          <cell r="KH62"/>
          <cell r="KI62"/>
          <cell r="KJ62"/>
          <cell r="KK62"/>
          <cell r="KL62"/>
          <cell r="KM62"/>
          <cell r="KN62"/>
          <cell r="KO62"/>
          <cell r="KP62"/>
          <cell r="KQ62"/>
          <cell r="KR62"/>
          <cell r="KS62"/>
          <cell r="KT62"/>
          <cell r="KU62"/>
          <cell r="KV62"/>
          <cell r="KW62"/>
          <cell r="KX62"/>
          <cell r="KY62"/>
          <cell r="KZ62"/>
          <cell r="LA62"/>
          <cell r="LB62"/>
          <cell r="LC62"/>
          <cell r="LD62"/>
          <cell r="LE62"/>
          <cell r="LF62"/>
          <cell r="LG62"/>
          <cell r="LH62"/>
          <cell r="LI62"/>
        </row>
        <row r="63">
          <cell r="D63">
            <v>4122</v>
          </cell>
          <cell r="E63" t="str">
            <v>Naknada za stanovanje i odvojen život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  <cell r="GF63"/>
          <cell r="GG63"/>
          <cell r="GH63"/>
          <cell r="GI63"/>
          <cell r="GJ63"/>
          <cell r="GK63"/>
          <cell r="GL63"/>
          <cell r="GM63"/>
          <cell r="GN63"/>
          <cell r="GO63"/>
          <cell r="GP63"/>
          <cell r="GQ63"/>
          <cell r="GR63"/>
          <cell r="GS63"/>
          <cell r="GT63"/>
          <cell r="GU63"/>
          <cell r="GV63"/>
          <cell r="GW63"/>
          <cell r="GX63"/>
          <cell r="GY63"/>
          <cell r="GZ63"/>
          <cell r="HA63"/>
          <cell r="HB63"/>
          <cell r="HC63"/>
          <cell r="HD63"/>
          <cell r="HE63"/>
          <cell r="HF63"/>
          <cell r="HG63"/>
          <cell r="HH63"/>
          <cell r="HI63"/>
          <cell r="HJ63"/>
          <cell r="HK63"/>
          <cell r="HL63"/>
          <cell r="HM63"/>
          <cell r="HN63"/>
          <cell r="HO63"/>
          <cell r="HP63"/>
          <cell r="HQ63"/>
          <cell r="HR63"/>
          <cell r="HS63"/>
          <cell r="HT63"/>
          <cell r="HU63"/>
          <cell r="HV63"/>
          <cell r="HW63"/>
          <cell r="HX63"/>
          <cell r="HY63"/>
          <cell r="HZ63"/>
          <cell r="IA63"/>
          <cell r="IB63"/>
          <cell r="IC63"/>
          <cell r="ID63"/>
          <cell r="IE63"/>
          <cell r="IF63"/>
          <cell r="IG63"/>
          <cell r="IH63"/>
          <cell r="II63"/>
          <cell r="IJ63"/>
          <cell r="IK63"/>
          <cell r="IL63"/>
          <cell r="IM63"/>
          <cell r="IN63"/>
          <cell r="IO63"/>
          <cell r="IP63"/>
          <cell r="IQ63"/>
          <cell r="IR63"/>
          <cell r="IS63"/>
          <cell r="IT63"/>
          <cell r="IU63"/>
          <cell r="IV63"/>
          <cell r="IW63"/>
          <cell r="IX63"/>
          <cell r="IY63"/>
          <cell r="IZ63"/>
          <cell r="JA63"/>
          <cell r="JB63"/>
          <cell r="JC63"/>
          <cell r="JD63"/>
          <cell r="JE63"/>
          <cell r="JF63"/>
          <cell r="JG63"/>
          <cell r="JH63"/>
          <cell r="JI63"/>
          <cell r="JJ63"/>
          <cell r="JK63"/>
          <cell r="JL63"/>
          <cell r="JM63"/>
          <cell r="JN63"/>
          <cell r="JO63"/>
          <cell r="JP63"/>
          <cell r="JQ63"/>
          <cell r="JR63"/>
          <cell r="JS63"/>
          <cell r="JT63"/>
          <cell r="JU63"/>
          <cell r="JV63"/>
          <cell r="JW63"/>
          <cell r="JX63"/>
          <cell r="JY63"/>
          <cell r="JZ63"/>
          <cell r="KA63"/>
          <cell r="KB63"/>
          <cell r="KC63"/>
          <cell r="KD63"/>
          <cell r="KE63"/>
          <cell r="KF63"/>
          <cell r="KG63"/>
          <cell r="KH63"/>
          <cell r="KI63"/>
          <cell r="KJ63"/>
          <cell r="KK63"/>
          <cell r="KL63"/>
          <cell r="KM63"/>
          <cell r="KN63"/>
          <cell r="KO63"/>
          <cell r="KP63"/>
          <cell r="KQ63"/>
          <cell r="KR63"/>
          <cell r="KS63"/>
          <cell r="KT63"/>
          <cell r="KU63"/>
          <cell r="KV63"/>
          <cell r="KW63"/>
          <cell r="KX63"/>
          <cell r="KY63"/>
          <cell r="KZ63"/>
          <cell r="LA63"/>
          <cell r="LB63"/>
          <cell r="LC63"/>
          <cell r="LD63"/>
          <cell r="LE63"/>
          <cell r="LF63"/>
          <cell r="LG63"/>
          <cell r="LH63"/>
          <cell r="LI63"/>
        </row>
        <row r="64">
          <cell r="D64">
            <v>4123</v>
          </cell>
          <cell r="E64" t="str">
            <v>Naknada za prevoz</v>
          </cell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/>
          <cell r="EC64"/>
          <cell r="ED64"/>
          <cell r="EE64"/>
          <cell r="EF64"/>
          <cell r="EG64"/>
          <cell r="EH64"/>
          <cell r="EI64"/>
          <cell r="EJ64"/>
          <cell r="EK64"/>
          <cell r="EL64"/>
          <cell r="EM64"/>
          <cell r="EN64"/>
          <cell r="EO64"/>
          <cell r="EP64"/>
          <cell r="EQ64"/>
          <cell r="ER64"/>
          <cell r="ES64"/>
          <cell r="ET64"/>
          <cell r="EU64"/>
          <cell r="EV64"/>
          <cell r="EW64"/>
          <cell r="EX64"/>
          <cell r="EY64"/>
          <cell r="EZ64"/>
          <cell r="FA64"/>
          <cell r="FB64"/>
          <cell r="FC64"/>
          <cell r="FD64"/>
          <cell r="FE64"/>
          <cell r="FF64"/>
          <cell r="FG64"/>
          <cell r="FH64"/>
          <cell r="FI64"/>
          <cell r="FJ64"/>
          <cell r="FK64"/>
          <cell r="FL64"/>
          <cell r="FM64"/>
          <cell r="FN64"/>
          <cell r="FO64"/>
          <cell r="FP64"/>
          <cell r="FQ64"/>
          <cell r="FR64"/>
          <cell r="FS64"/>
          <cell r="FT64"/>
          <cell r="FU64"/>
          <cell r="FV64"/>
          <cell r="FW64"/>
          <cell r="FX64"/>
          <cell r="FY64"/>
          <cell r="FZ64"/>
          <cell r="GA64"/>
          <cell r="GB64"/>
          <cell r="GC64"/>
          <cell r="GD64"/>
          <cell r="GE64"/>
          <cell r="GF64"/>
          <cell r="GG64"/>
          <cell r="GH64"/>
          <cell r="GI64"/>
          <cell r="GJ64"/>
          <cell r="GK64"/>
          <cell r="GL64"/>
          <cell r="GM64"/>
          <cell r="GN64"/>
          <cell r="GO64"/>
          <cell r="GP64"/>
          <cell r="GQ64"/>
          <cell r="GR64"/>
          <cell r="GS64"/>
          <cell r="GT64"/>
          <cell r="GU64"/>
          <cell r="GV64"/>
          <cell r="GW64"/>
          <cell r="GX64"/>
          <cell r="GY64"/>
          <cell r="GZ64"/>
          <cell r="HA64"/>
          <cell r="HB64"/>
          <cell r="HC64"/>
          <cell r="HD64"/>
          <cell r="HE64"/>
          <cell r="HF64"/>
          <cell r="HG64"/>
          <cell r="HH64"/>
          <cell r="HI64"/>
          <cell r="HJ64"/>
          <cell r="HK64"/>
          <cell r="HL64"/>
          <cell r="HM64"/>
          <cell r="HN64"/>
          <cell r="HO64"/>
          <cell r="HP64"/>
          <cell r="HQ64"/>
          <cell r="HR64"/>
          <cell r="HS64"/>
          <cell r="HT64"/>
          <cell r="HU64"/>
          <cell r="HV64"/>
          <cell r="HW64"/>
          <cell r="HX64"/>
          <cell r="HY64"/>
          <cell r="HZ64"/>
          <cell r="IA64"/>
          <cell r="IB64"/>
          <cell r="IC64"/>
          <cell r="ID64"/>
          <cell r="IE64"/>
          <cell r="IF64"/>
          <cell r="IG64"/>
          <cell r="IH64"/>
          <cell r="II64"/>
          <cell r="IJ64"/>
          <cell r="IK64"/>
          <cell r="IL64"/>
          <cell r="IM64"/>
          <cell r="IN64"/>
          <cell r="IO64"/>
          <cell r="IP64"/>
          <cell r="IQ64"/>
          <cell r="IR64"/>
          <cell r="IS64"/>
          <cell r="IT64"/>
          <cell r="IU64"/>
          <cell r="IV64"/>
          <cell r="IW64"/>
          <cell r="IX64"/>
          <cell r="IY64"/>
          <cell r="IZ64"/>
          <cell r="JA64"/>
          <cell r="JB64"/>
          <cell r="JC64"/>
          <cell r="JD64"/>
          <cell r="JE64"/>
          <cell r="JF64"/>
          <cell r="JG64"/>
          <cell r="JH64"/>
          <cell r="JI64"/>
          <cell r="JJ64"/>
          <cell r="JK64"/>
          <cell r="JL64"/>
          <cell r="JM64"/>
          <cell r="JN64"/>
          <cell r="JO64"/>
          <cell r="JP64"/>
          <cell r="JQ64"/>
          <cell r="JR64"/>
          <cell r="JS64"/>
          <cell r="JT64"/>
          <cell r="JU64"/>
          <cell r="JV64"/>
          <cell r="JW64"/>
          <cell r="JX64"/>
          <cell r="JY64"/>
          <cell r="JZ64"/>
          <cell r="KA64"/>
          <cell r="KB64"/>
          <cell r="KC64"/>
          <cell r="KD64"/>
          <cell r="KE64"/>
          <cell r="KF64"/>
          <cell r="KG64"/>
          <cell r="KH64"/>
          <cell r="KI64"/>
          <cell r="KJ64"/>
          <cell r="KK64"/>
          <cell r="KL64"/>
          <cell r="KM64"/>
          <cell r="KN64"/>
          <cell r="KO64"/>
          <cell r="KP64"/>
          <cell r="KQ64"/>
          <cell r="KR64"/>
          <cell r="KS64"/>
          <cell r="KT64"/>
          <cell r="KU64"/>
          <cell r="KV64"/>
          <cell r="KW64"/>
          <cell r="KX64"/>
          <cell r="KY64"/>
          <cell r="KZ64"/>
          <cell r="LA64"/>
          <cell r="LB64"/>
          <cell r="LC64"/>
          <cell r="LD64"/>
          <cell r="LE64"/>
          <cell r="LF64"/>
          <cell r="LG64"/>
          <cell r="LH64"/>
          <cell r="LI64"/>
        </row>
        <row r="65">
          <cell r="D65">
            <v>4124</v>
          </cell>
          <cell r="E65" t="str">
            <v>Jubilarne nagrade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  <cell r="GF65"/>
          <cell r="GG65"/>
          <cell r="GH65"/>
          <cell r="GI65"/>
          <cell r="GJ65"/>
          <cell r="GK65"/>
          <cell r="GL65"/>
          <cell r="GM65"/>
          <cell r="GN65"/>
          <cell r="GO65"/>
          <cell r="GP65"/>
          <cell r="GQ65"/>
          <cell r="GR65"/>
          <cell r="GS65"/>
          <cell r="GT65"/>
          <cell r="GU65"/>
          <cell r="GV65"/>
          <cell r="GW65"/>
          <cell r="GX65"/>
          <cell r="GY65"/>
          <cell r="GZ65"/>
          <cell r="HA65"/>
          <cell r="HB65"/>
          <cell r="HC65"/>
          <cell r="HD65"/>
          <cell r="HE65"/>
          <cell r="HF65"/>
          <cell r="HG65"/>
          <cell r="HH65"/>
          <cell r="HI65"/>
          <cell r="HJ65"/>
          <cell r="HK65"/>
          <cell r="HL65"/>
          <cell r="HM65"/>
          <cell r="HN65"/>
          <cell r="HO65"/>
          <cell r="HP65"/>
          <cell r="HQ65"/>
          <cell r="HR65"/>
          <cell r="HS65"/>
          <cell r="HT65"/>
          <cell r="HU65"/>
          <cell r="HV65"/>
          <cell r="HW65"/>
          <cell r="HX65"/>
          <cell r="HY65"/>
          <cell r="HZ65"/>
          <cell r="IA65"/>
          <cell r="IB65"/>
          <cell r="IC65"/>
          <cell r="ID65"/>
          <cell r="IE65"/>
          <cell r="IF65"/>
          <cell r="IG65"/>
          <cell r="IH65"/>
          <cell r="II65"/>
          <cell r="IJ65"/>
          <cell r="IK65"/>
          <cell r="IL65"/>
          <cell r="IM65"/>
          <cell r="IN65"/>
          <cell r="IO65"/>
          <cell r="IP65"/>
          <cell r="IQ65"/>
          <cell r="IR65"/>
          <cell r="IS65"/>
          <cell r="IT65"/>
          <cell r="IU65"/>
          <cell r="IV65"/>
          <cell r="IW65"/>
          <cell r="IX65"/>
          <cell r="IY65"/>
          <cell r="IZ65"/>
          <cell r="JA65"/>
          <cell r="JB65"/>
          <cell r="JC65"/>
          <cell r="JD65"/>
          <cell r="JE65"/>
          <cell r="JF65"/>
          <cell r="JG65"/>
          <cell r="JH65"/>
          <cell r="JI65"/>
          <cell r="JJ65"/>
          <cell r="JK65"/>
          <cell r="JL65"/>
          <cell r="JM65"/>
          <cell r="JN65"/>
          <cell r="JO65"/>
          <cell r="JP65"/>
          <cell r="JQ65"/>
          <cell r="JR65"/>
          <cell r="JS65"/>
          <cell r="JT65"/>
          <cell r="JU65"/>
          <cell r="JV65"/>
          <cell r="JW65"/>
          <cell r="JX65"/>
          <cell r="JY65"/>
          <cell r="JZ65"/>
          <cell r="KA65"/>
          <cell r="KB65"/>
          <cell r="KC65"/>
          <cell r="KD65"/>
          <cell r="KE65"/>
          <cell r="KF65"/>
          <cell r="KG65"/>
          <cell r="KH65"/>
          <cell r="KI65"/>
          <cell r="KJ65"/>
          <cell r="KK65"/>
          <cell r="KL65"/>
          <cell r="KM65"/>
          <cell r="KN65"/>
          <cell r="KO65"/>
          <cell r="KP65"/>
          <cell r="KQ65"/>
          <cell r="KR65"/>
          <cell r="KS65"/>
          <cell r="KT65"/>
          <cell r="KU65"/>
          <cell r="KV65"/>
          <cell r="KW65"/>
          <cell r="KX65"/>
          <cell r="KY65"/>
          <cell r="KZ65"/>
          <cell r="LA65"/>
          <cell r="LB65"/>
          <cell r="LC65"/>
          <cell r="LD65"/>
          <cell r="LE65"/>
          <cell r="LF65"/>
          <cell r="LG65"/>
          <cell r="LH65"/>
          <cell r="LI65"/>
        </row>
        <row r="66">
          <cell r="D66">
            <v>4125</v>
          </cell>
          <cell r="E66" t="str">
            <v>Otpremnine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  <cell r="GF66"/>
          <cell r="GG66"/>
          <cell r="GH66"/>
          <cell r="GI66"/>
          <cell r="GJ66"/>
          <cell r="GK66"/>
          <cell r="GL66"/>
          <cell r="GM66"/>
          <cell r="GN66"/>
          <cell r="GO66"/>
          <cell r="GP66"/>
          <cell r="GQ66"/>
          <cell r="GR66"/>
          <cell r="GS66"/>
          <cell r="GT66"/>
          <cell r="GU66"/>
          <cell r="GV66"/>
          <cell r="GW66"/>
          <cell r="GX66"/>
          <cell r="GY66"/>
          <cell r="GZ66"/>
          <cell r="HA66"/>
          <cell r="HB66"/>
          <cell r="HC66"/>
          <cell r="HD66"/>
          <cell r="HE66"/>
          <cell r="HF66"/>
          <cell r="HG66"/>
          <cell r="HH66"/>
          <cell r="HI66"/>
          <cell r="HJ66"/>
          <cell r="HK66"/>
          <cell r="HL66"/>
          <cell r="HM66"/>
          <cell r="HN66"/>
          <cell r="HO66"/>
          <cell r="HP66"/>
          <cell r="HQ66"/>
          <cell r="HR66"/>
          <cell r="HS66"/>
          <cell r="HT66"/>
          <cell r="HU66"/>
          <cell r="HV66"/>
          <cell r="HW66"/>
          <cell r="HX66"/>
          <cell r="HY66"/>
          <cell r="HZ66"/>
          <cell r="IA66"/>
          <cell r="IB66"/>
          <cell r="IC66"/>
          <cell r="ID66"/>
          <cell r="IE66"/>
          <cell r="IF66"/>
          <cell r="IG66"/>
          <cell r="IH66"/>
          <cell r="II66"/>
          <cell r="IJ66"/>
          <cell r="IK66"/>
          <cell r="IL66"/>
          <cell r="IM66"/>
          <cell r="IN66"/>
          <cell r="IO66"/>
          <cell r="IP66"/>
          <cell r="IQ66"/>
          <cell r="IR66"/>
          <cell r="IS66"/>
          <cell r="IT66"/>
          <cell r="IU66"/>
          <cell r="IV66"/>
          <cell r="IW66"/>
          <cell r="IX66"/>
          <cell r="IY66"/>
          <cell r="IZ66"/>
          <cell r="JA66"/>
          <cell r="JB66"/>
          <cell r="JC66"/>
          <cell r="JD66"/>
          <cell r="JE66"/>
          <cell r="JF66"/>
          <cell r="JG66"/>
          <cell r="JH66"/>
          <cell r="JI66"/>
          <cell r="JJ66"/>
          <cell r="JK66"/>
          <cell r="JL66"/>
          <cell r="JM66"/>
          <cell r="JN66"/>
          <cell r="JO66"/>
          <cell r="JP66"/>
          <cell r="JQ66"/>
          <cell r="JR66"/>
          <cell r="JS66"/>
          <cell r="JT66"/>
          <cell r="JU66"/>
          <cell r="JV66"/>
          <cell r="JW66"/>
          <cell r="JX66"/>
          <cell r="JY66"/>
          <cell r="JZ66"/>
          <cell r="KA66"/>
          <cell r="KB66"/>
          <cell r="KC66"/>
          <cell r="KD66"/>
          <cell r="KE66"/>
          <cell r="KF66"/>
          <cell r="KG66"/>
          <cell r="KH66"/>
          <cell r="KI66"/>
          <cell r="KJ66"/>
          <cell r="KK66"/>
          <cell r="KL66"/>
          <cell r="KM66"/>
          <cell r="KN66"/>
          <cell r="KO66"/>
          <cell r="KP66"/>
          <cell r="KQ66"/>
          <cell r="KR66"/>
          <cell r="KS66"/>
          <cell r="KT66"/>
          <cell r="KU66"/>
          <cell r="KV66"/>
          <cell r="KW66"/>
          <cell r="KX66"/>
          <cell r="KY66"/>
          <cell r="KZ66"/>
          <cell r="LA66"/>
          <cell r="LB66"/>
          <cell r="LC66"/>
          <cell r="LD66"/>
          <cell r="LE66"/>
          <cell r="LF66"/>
          <cell r="LG66"/>
          <cell r="LH66"/>
          <cell r="LI66"/>
        </row>
        <row r="67">
          <cell r="D67">
            <v>4126</v>
          </cell>
          <cell r="E67" t="str">
            <v>Naknada skupstinskim poslanicima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  <cell r="GF67"/>
          <cell r="GG67"/>
          <cell r="GH67"/>
          <cell r="GI67"/>
          <cell r="GJ67"/>
          <cell r="GK67"/>
          <cell r="GL67"/>
          <cell r="GM67"/>
          <cell r="GN67"/>
          <cell r="GO67"/>
          <cell r="GP67"/>
          <cell r="GQ67"/>
          <cell r="GR67"/>
          <cell r="GS67"/>
          <cell r="GT67"/>
          <cell r="GU67"/>
          <cell r="GV67"/>
          <cell r="GW67"/>
          <cell r="GX67"/>
          <cell r="GY67"/>
          <cell r="GZ67"/>
          <cell r="HA67"/>
          <cell r="HB67"/>
          <cell r="HC67"/>
          <cell r="HD67"/>
          <cell r="HE67"/>
          <cell r="HF67"/>
          <cell r="HG67"/>
          <cell r="HH67"/>
          <cell r="HI67"/>
          <cell r="HJ67"/>
          <cell r="HK67"/>
          <cell r="HL67"/>
          <cell r="HM67"/>
          <cell r="HN67"/>
          <cell r="HO67"/>
          <cell r="HP67"/>
          <cell r="HQ67"/>
          <cell r="HR67"/>
          <cell r="HS67"/>
          <cell r="HT67"/>
          <cell r="HU67"/>
          <cell r="HV67"/>
          <cell r="HW67"/>
          <cell r="HX67"/>
          <cell r="HY67"/>
          <cell r="HZ67"/>
          <cell r="IA67"/>
          <cell r="IB67"/>
          <cell r="IC67"/>
          <cell r="ID67"/>
          <cell r="IE67"/>
          <cell r="IF67"/>
          <cell r="IG67"/>
          <cell r="IH67"/>
          <cell r="II67"/>
          <cell r="IJ67"/>
          <cell r="IK67"/>
          <cell r="IL67"/>
          <cell r="IM67"/>
          <cell r="IN67"/>
          <cell r="IO67"/>
          <cell r="IP67"/>
          <cell r="IQ67"/>
          <cell r="IR67"/>
          <cell r="IS67"/>
          <cell r="IT67"/>
          <cell r="IU67"/>
          <cell r="IV67"/>
          <cell r="IW67"/>
          <cell r="IX67"/>
          <cell r="IY67"/>
          <cell r="IZ67"/>
          <cell r="JA67"/>
          <cell r="JB67"/>
          <cell r="JC67"/>
          <cell r="JD67"/>
          <cell r="JE67"/>
          <cell r="JF67"/>
          <cell r="JG67"/>
          <cell r="JH67"/>
          <cell r="JI67"/>
          <cell r="JJ67"/>
          <cell r="JK67"/>
          <cell r="JL67"/>
          <cell r="JM67"/>
          <cell r="JN67"/>
          <cell r="JO67"/>
          <cell r="JP67"/>
          <cell r="JQ67"/>
          <cell r="JR67"/>
          <cell r="JS67"/>
          <cell r="JT67"/>
          <cell r="JU67"/>
          <cell r="JV67"/>
          <cell r="JW67"/>
          <cell r="JX67"/>
          <cell r="JY67"/>
          <cell r="JZ67"/>
          <cell r="KA67"/>
          <cell r="KB67"/>
          <cell r="KC67"/>
          <cell r="KD67"/>
          <cell r="KE67"/>
          <cell r="KF67"/>
          <cell r="KG67"/>
          <cell r="KH67"/>
          <cell r="KI67"/>
          <cell r="KJ67"/>
          <cell r="KK67"/>
          <cell r="KL67"/>
          <cell r="KM67"/>
          <cell r="KN67"/>
          <cell r="KO67"/>
          <cell r="KP67"/>
          <cell r="KQ67"/>
          <cell r="KR67"/>
          <cell r="KS67"/>
          <cell r="KT67"/>
          <cell r="KU67"/>
          <cell r="KV67"/>
          <cell r="KW67"/>
          <cell r="KX67"/>
          <cell r="KY67"/>
          <cell r="KZ67"/>
          <cell r="LA67"/>
          <cell r="LB67"/>
          <cell r="LC67"/>
          <cell r="LD67"/>
          <cell r="LE67"/>
          <cell r="LF67"/>
          <cell r="LG67"/>
          <cell r="LH67"/>
          <cell r="LI67"/>
        </row>
        <row r="68">
          <cell r="D68">
            <v>4127</v>
          </cell>
          <cell r="E68" t="str">
            <v>Ostale naknade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/>
          <cell r="EC68"/>
          <cell r="ED68"/>
          <cell r="EE68"/>
          <cell r="EF68"/>
          <cell r="EG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  <cell r="GF68"/>
          <cell r="GG68"/>
          <cell r="GH68"/>
          <cell r="GI68"/>
          <cell r="GJ68"/>
          <cell r="GK68"/>
          <cell r="GL68"/>
          <cell r="GM68"/>
          <cell r="GN68"/>
          <cell r="GO68"/>
          <cell r="GP68"/>
          <cell r="GQ68"/>
          <cell r="GR68"/>
          <cell r="GS68"/>
          <cell r="GT68"/>
          <cell r="GU68"/>
          <cell r="GV68"/>
          <cell r="GW68"/>
          <cell r="GX68"/>
          <cell r="GY68"/>
          <cell r="GZ68"/>
          <cell r="HA68"/>
          <cell r="HB68"/>
          <cell r="HC68"/>
          <cell r="HD68"/>
          <cell r="HE68"/>
          <cell r="HF68"/>
          <cell r="HG68"/>
          <cell r="HH68"/>
          <cell r="HI68"/>
          <cell r="HJ68"/>
          <cell r="HK68"/>
          <cell r="HL68"/>
          <cell r="HM68"/>
          <cell r="HN68"/>
          <cell r="HO68"/>
          <cell r="HP68"/>
          <cell r="HQ68"/>
          <cell r="HR68"/>
          <cell r="HS68"/>
          <cell r="HT68"/>
          <cell r="HU68"/>
          <cell r="HV68"/>
          <cell r="HW68"/>
          <cell r="HX68"/>
          <cell r="HY68"/>
          <cell r="HZ68"/>
          <cell r="IA68"/>
          <cell r="IB68"/>
          <cell r="IC68"/>
          <cell r="ID68"/>
          <cell r="IE68"/>
          <cell r="IF68"/>
          <cell r="IG68"/>
          <cell r="IH68"/>
          <cell r="II68"/>
          <cell r="IJ68"/>
          <cell r="IK68"/>
          <cell r="IL68"/>
          <cell r="IM68"/>
          <cell r="IN68"/>
          <cell r="IO68"/>
          <cell r="IP68"/>
          <cell r="IQ68"/>
          <cell r="IR68"/>
          <cell r="IS68"/>
          <cell r="IT68"/>
          <cell r="IU68"/>
          <cell r="IV68"/>
          <cell r="IW68"/>
          <cell r="IX68"/>
          <cell r="IY68"/>
          <cell r="IZ68"/>
          <cell r="JA68"/>
          <cell r="JB68"/>
          <cell r="JC68"/>
          <cell r="JD68"/>
          <cell r="JE68"/>
          <cell r="JF68"/>
          <cell r="JG68"/>
          <cell r="JH68"/>
          <cell r="JI68"/>
          <cell r="JJ68"/>
          <cell r="JK68"/>
          <cell r="JL68"/>
          <cell r="JM68"/>
          <cell r="JN68"/>
          <cell r="JO68"/>
          <cell r="JP68"/>
          <cell r="JQ68"/>
          <cell r="JR68"/>
          <cell r="JS68"/>
          <cell r="JT68"/>
          <cell r="JU68"/>
          <cell r="JV68"/>
          <cell r="JW68"/>
          <cell r="JX68"/>
          <cell r="JY68"/>
          <cell r="JZ68"/>
          <cell r="KA68"/>
          <cell r="KB68"/>
          <cell r="KC68"/>
          <cell r="KD68"/>
          <cell r="KE68"/>
          <cell r="KF68"/>
          <cell r="KG68"/>
          <cell r="KH68"/>
          <cell r="KI68"/>
          <cell r="KJ68"/>
          <cell r="KK68"/>
          <cell r="KL68"/>
          <cell r="KM68"/>
          <cell r="KN68"/>
          <cell r="KO68"/>
          <cell r="KP68"/>
          <cell r="KQ68"/>
          <cell r="KR68"/>
          <cell r="KS68"/>
          <cell r="KT68"/>
          <cell r="KU68"/>
          <cell r="KV68"/>
          <cell r="KW68"/>
          <cell r="KX68"/>
          <cell r="KY68"/>
          <cell r="KZ68"/>
          <cell r="LA68"/>
          <cell r="LB68"/>
          <cell r="LC68"/>
          <cell r="LD68"/>
          <cell r="LE68"/>
          <cell r="LF68"/>
          <cell r="LG68"/>
          <cell r="LH68"/>
          <cell r="LI68"/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/>
          <cell r="FS69"/>
          <cell r="FT69"/>
          <cell r="FU69"/>
          <cell r="FV69"/>
          <cell r="FW69"/>
          <cell r="FX69"/>
          <cell r="FY69"/>
          <cell r="FZ69"/>
          <cell r="GA69"/>
          <cell r="GB69"/>
          <cell r="GC69"/>
          <cell r="GD69"/>
          <cell r="GE69"/>
          <cell r="GF69"/>
          <cell r="GG69"/>
          <cell r="GH69"/>
          <cell r="GI69"/>
          <cell r="GJ69"/>
          <cell r="GK69"/>
          <cell r="GL69"/>
          <cell r="GM69"/>
          <cell r="GN69"/>
          <cell r="GO69"/>
          <cell r="GP69"/>
          <cell r="GQ69"/>
          <cell r="GR69"/>
          <cell r="GS69"/>
          <cell r="GT69"/>
          <cell r="GU69"/>
          <cell r="GV69"/>
          <cell r="GW69"/>
          <cell r="GX69"/>
          <cell r="GY69"/>
          <cell r="GZ69"/>
          <cell r="HA69"/>
          <cell r="HB69"/>
          <cell r="HC69"/>
          <cell r="HD69"/>
          <cell r="HE69"/>
          <cell r="HF69"/>
          <cell r="HG69"/>
          <cell r="HH69"/>
          <cell r="HI69"/>
          <cell r="HJ69"/>
          <cell r="HK69"/>
          <cell r="HL69"/>
          <cell r="HM69"/>
          <cell r="HN69"/>
          <cell r="HO69"/>
          <cell r="HP69"/>
          <cell r="HQ69"/>
          <cell r="HR69"/>
          <cell r="HS69"/>
          <cell r="HT69"/>
          <cell r="HU69"/>
          <cell r="HV69"/>
          <cell r="HW69"/>
          <cell r="HX69"/>
          <cell r="HY69"/>
          <cell r="HZ69"/>
          <cell r="IA69"/>
          <cell r="IB69"/>
          <cell r="IC69"/>
          <cell r="ID69"/>
          <cell r="IE69"/>
          <cell r="IF69"/>
          <cell r="IG69"/>
          <cell r="IH69"/>
          <cell r="II69"/>
          <cell r="IJ69"/>
          <cell r="IK69"/>
          <cell r="IL69"/>
          <cell r="IM69"/>
          <cell r="IN69"/>
          <cell r="IO69"/>
          <cell r="IP69"/>
          <cell r="IQ69"/>
          <cell r="IR69"/>
          <cell r="IS69"/>
          <cell r="IT69"/>
          <cell r="IU69"/>
          <cell r="IV69"/>
          <cell r="IW69"/>
          <cell r="IX69"/>
          <cell r="IY69"/>
          <cell r="IZ69"/>
          <cell r="JA69"/>
          <cell r="JB69"/>
          <cell r="JC69"/>
          <cell r="JD69"/>
          <cell r="JE69"/>
          <cell r="JF69"/>
          <cell r="JG69"/>
          <cell r="JH69"/>
          <cell r="JI69"/>
          <cell r="JJ69"/>
          <cell r="JK69"/>
          <cell r="JL69"/>
          <cell r="JM69"/>
          <cell r="JN69"/>
          <cell r="JO69"/>
          <cell r="JP69"/>
          <cell r="JQ69"/>
          <cell r="JR69"/>
          <cell r="JS69"/>
          <cell r="JT69"/>
          <cell r="JU69"/>
          <cell r="JV69"/>
          <cell r="JW69"/>
          <cell r="JX69"/>
          <cell r="JY69"/>
          <cell r="JZ69"/>
          <cell r="KA69"/>
          <cell r="KB69"/>
          <cell r="KC69"/>
          <cell r="KD69"/>
          <cell r="KE69"/>
          <cell r="KF69"/>
          <cell r="KG69"/>
          <cell r="KH69"/>
          <cell r="KI69"/>
          <cell r="KJ69"/>
          <cell r="KK69"/>
          <cell r="KL69"/>
          <cell r="KM69"/>
          <cell r="KN69"/>
          <cell r="KO69"/>
          <cell r="KP69"/>
          <cell r="KQ69"/>
          <cell r="KR69"/>
          <cell r="KS69"/>
          <cell r="KT69"/>
          <cell r="KU69"/>
          <cell r="KV69"/>
          <cell r="KW69"/>
          <cell r="KX69"/>
          <cell r="KY69"/>
          <cell r="KZ69"/>
          <cell r="LA69"/>
          <cell r="LB69"/>
          <cell r="LC69"/>
          <cell r="LD69"/>
          <cell r="LE69"/>
          <cell r="LF69"/>
          <cell r="LG69"/>
          <cell r="LH69"/>
          <cell r="LI69"/>
        </row>
        <row r="70">
          <cell r="D70">
            <v>4131</v>
          </cell>
          <cell r="E70" t="str">
            <v>Administrativni materijal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/>
          <cell r="FA70"/>
          <cell r="FB70"/>
          <cell r="FC70"/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  <cell r="GF70"/>
          <cell r="GG70"/>
          <cell r="GH70"/>
          <cell r="GI70"/>
          <cell r="GJ70"/>
          <cell r="GK70"/>
          <cell r="GL70"/>
          <cell r="GM70"/>
          <cell r="GN70"/>
          <cell r="GO70"/>
          <cell r="GP70"/>
          <cell r="GQ70"/>
          <cell r="GR70"/>
          <cell r="GS70"/>
          <cell r="GT70"/>
          <cell r="GU70"/>
          <cell r="GV70"/>
          <cell r="GW70"/>
          <cell r="GX70"/>
          <cell r="GY70"/>
          <cell r="GZ70"/>
          <cell r="HA70"/>
          <cell r="HB70"/>
          <cell r="HC70"/>
          <cell r="HD70"/>
          <cell r="HE70"/>
          <cell r="HF70"/>
          <cell r="HG70"/>
          <cell r="HH70"/>
          <cell r="HI70"/>
          <cell r="HJ70"/>
          <cell r="HK70"/>
          <cell r="HL70"/>
          <cell r="HM70"/>
          <cell r="HN70"/>
          <cell r="HO70"/>
          <cell r="HP70"/>
          <cell r="HQ70"/>
          <cell r="HR70"/>
          <cell r="HS70"/>
          <cell r="HT70"/>
          <cell r="HU70"/>
          <cell r="HV70"/>
          <cell r="HW70"/>
          <cell r="HX70"/>
          <cell r="HY70"/>
          <cell r="HZ70"/>
          <cell r="IA70"/>
          <cell r="IB70"/>
          <cell r="IC70"/>
          <cell r="ID70"/>
          <cell r="IE70"/>
          <cell r="IF70"/>
          <cell r="IG70"/>
          <cell r="IH70"/>
          <cell r="II70"/>
          <cell r="IJ70"/>
          <cell r="IK70"/>
          <cell r="IL70"/>
          <cell r="IM70"/>
          <cell r="IN70"/>
          <cell r="IO70"/>
          <cell r="IP70"/>
          <cell r="IQ70"/>
          <cell r="IR70"/>
          <cell r="IS70"/>
          <cell r="IT70"/>
          <cell r="IU70"/>
          <cell r="IV70"/>
          <cell r="IW70"/>
          <cell r="IX70"/>
          <cell r="IY70"/>
          <cell r="IZ70"/>
          <cell r="JA70"/>
          <cell r="JB70"/>
          <cell r="JC70"/>
          <cell r="JD70"/>
          <cell r="JE70"/>
          <cell r="JF70"/>
          <cell r="JG70"/>
          <cell r="JH70"/>
          <cell r="JI70"/>
          <cell r="JJ70"/>
          <cell r="JK70"/>
          <cell r="JL70"/>
          <cell r="JM70"/>
          <cell r="JN70"/>
          <cell r="JO70"/>
          <cell r="JP70"/>
          <cell r="JQ70"/>
          <cell r="JR70"/>
          <cell r="JS70"/>
          <cell r="JT70"/>
          <cell r="JU70"/>
          <cell r="JV70"/>
          <cell r="JW70"/>
          <cell r="JX70"/>
          <cell r="JY70"/>
          <cell r="JZ70"/>
          <cell r="KA70"/>
          <cell r="KB70"/>
          <cell r="KC70"/>
          <cell r="KD70"/>
          <cell r="KE70"/>
          <cell r="KF70"/>
          <cell r="KG70"/>
          <cell r="KH70"/>
          <cell r="KI70"/>
          <cell r="KJ70"/>
          <cell r="KK70"/>
          <cell r="KL70"/>
          <cell r="KM70"/>
          <cell r="KN70"/>
          <cell r="KO70"/>
          <cell r="KP70"/>
          <cell r="KQ70"/>
          <cell r="KR70"/>
          <cell r="KS70"/>
          <cell r="KT70"/>
          <cell r="KU70"/>
          <cell r="KV70"/>
          <cell r="KW70"/>
          <cell r="KX70"/>
          <cell r="KY70"/>
          <cell r="KZ70"/>
          <cell r="LA70"/>
          <cell r="LB70"/>
          <cell r="LC70"/>
          <cell r="LD70"/>
          <cell r="LE70"/>
          <cell r="LF70"/>
          <cell r="LG70"/>
          <cell r="LH70"/>
          <cell r="LI70"/>
        </row>
        <row r="71">
          <cell r="D71">
            <v>4132</v>
          </cell>
          <cell r="E71" t="str">
            <v>Materijal za zdravstvenu zaštitu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  <cell r="GF71"/>
          <cell r="GG71"/>
          <cell r="GH71"/>
          <cell r="GI71"/>
          <cell r="GJ71"/>
          <cell r="GK71"/>
          <cell r="GL71"/>
          <cell r="GM71"/>
          <cell r="GN71"/>
          <cell r="GO71"/>
          <cell r="GP71"/>
          <cell r="GQ71"/>
          <cell r="GR71"/>
          <cell r="GS71"/>
          <cell r="GT71"/>
          <cell r="GU71"/>
          <cell r="GV71"/>
          <cell r="GW71"/>
          <cell r="GX71"/>
          <cell r="GY71"/>
          <cell r="GZ71"/>
          <cell r="HA71"/>
          <cell r="HB71"/>
          <cell r="HC71"/>
          <cell r="HD71"/>
          <cell r="HE71"/>
          <cell r="HF71"/>
          <cell r="HG71"/>
          <cell r="HH71"/>
          <cell r="HI71"/>
          <cell r="HJ71"/>
          <cell r="HK71"/>
          <cell r="HL71"/>
          <cell r="HM71"/>
          <cell r="HN71"/>
          <cell r="HO71"/>
          <cell r="HP71"/>
          <cell r="HQ71"/>
          <cell r="HR71"/>
          <cell r="HS71"/>
          <cell r="HT71"/>
          <cell r="HU71"/>
          <cell r="HV71"/>
          <cell r="HW71"/>
          <cell r="HX71"/>
          <cell r="HY71"/>
          <cell r="HZ71"/>
          <cell r="IA71"/>
          <cell r="IB71"/>
          <cell r="IC71"/>
          <cell r="ID71"/>
          <cell r="IE71"/>
          <cell r="IF71"/>
          <cell r="IG71"/>
          <cell r="IH71"/>
          <cell r="II71"/>
          <cell r="IJ71"/>
          <cell r="IK71"/>
          <cell r="IL71"/>
          <cell r="IM71"/>
          <cell r="IN71"/>
          <cell r="IO71"/>
          <cell r="IP71"/>
          <cell r="IQ71"/>
          <cell r="IR71"/>
          <cell r="IS71"/>
          <cell r="IT71"/>
          <cell r="IU71"/>
          <cell r="IV71"/>
          <cell r="IW71"/>
          <cell r="IX71"/>
          <cell r="IY71"/>
          <cell r="IZ71"/>
          <cell r="JA71"/>
          <cell r="JB71"/>
          <cell r="JC71"/>
          <cell r="JD71"/>
          <cell r="JE71"/>
          <cell r="JF71"/>
          <cell r="JG71"/>
          <cell r="JH71"/>
          <cell r="JI71"/>
          <cell r="JJ71"/>
          <cell r="JK71"/>
          <cell r="JL71"/>
          <cell r="JM71"/>
          <cell r="JN71"/>
          <cell r="JO71"/>
          <cell r="JP71"/>
          <cell r="JQ71"/>
          <cell r="JR71"/>
          <cell r="JS71"/>
          <cell r="JT71"/>
          <cell r="JU71"/>
          <cell r="JV71"/>
          <cell r="JW71"/>
          <cell r="JX71"/>
          <cell r="JY71"/>
          <cell r="JZ71"/>
          <cell r="KA71"/>
          <cell r="KB71"/>
          <cell r="KC71"/>
          <cell r="KD71"/>
          <cell r="KE71"/>
          <cell r="KF71"/>
          <cell r="KG71"/>
          <cell r="KH71"/>
          <cell r="KI71"/>
          <cell r="KJ71"/>
          <cell r="KK71"/>
          <cell r="KL71"/>
          <cell r="KM71"/>
          <cell r="KN71"/>
          <cell r="KO71"/>
          <cell r="KP71"/>
          <cell r="KQ71"/>
          <cell r="KR71"/>
          <cell r="KS71"/>
          <cell r="KT71"/>
          <cell r="KU71"/>
          <cell r="KV71"/>
          <cell r="KW71"/>
          <cell r="KX71"/>
          <cell r="KY71"/>
          <cell r="KZ71"/>
          <cell r="LA71"/>
          <cell r="LB71"/>
          <cell r="LC71"/>
          <cell r="LD71"/>
          <cell r="LE71"/>
          <cell r="LF71"/>
          <cell r="LG71"/>
          <cell r="LH71"/>
          <cell r="LI71"/>
        </row>
        <row r="72">
          <cell r="D72">
            <v>4133</v>
          </cell>
          <cell r="E72" t="str">
            <v>Materijal za posebne namjene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  <cell r="GF72"/>
          <cell r="GG72"/>
          <cell r="GH72"/>
          <cell r="GI72"/>
          <cell r="GJ72"/>
          <cell r="GK72"/>
          <cell r="GL72"/>
          <cell r="GM72"/>
          <cell r="GN72"/>
          <cell r="GO72"/>
          <cell r="GP72"/>
          <cell r="GQ72"/>
          <cell r="GR72"/>
          <cell r="GS72"/>
          <cell r="GT72"/>
          <cell r="GU72"/>
          <cell r="GV72"/>
          <cell r="GW72"/>
          <cell r="GX72"/>
          <cell r="GY72"/>
          <cell r="GZ72"/>
          <cell r="HA72"/>
          <cell r="HB72"/>
          <cell r="HC72"/>
          <cell r="HD72"/>
          <cell r="HE72"/>
          <cell r="HF72"/>
          <cell r="HG72"/>
          <cell r="HH72"/>
          <cell r="HI72"/>
          <cell r="HJ72"/>
          <cell r="HK72"/>
          <cell r="HL72"/>
          <cell r="HM72"/>
          <cell r="HN72"/>
          <cell r="HO72"/>
          <cell r="HP72"/>
          <cell r="HQ72"/>
          <cell r="HR72"/>
          <cell r="HS72"/>
          <cell r="HT72"/>
          <cell r="HU72"/>
          <cell r="HV72"/>
          <cell r="HW72"/>
          <cell r="HX72"/>
          <cell r="HY72"/>
          <cell r="HZ72"/>
          <cell r="IA72"/>
          <cell r="IB72"/>
          <cell r="IC72"/>
          <cell r="ID72"/>
          <cell r="IE72"/>
          <cell r="IF72"/>
          <cell r="IG72"/>
          <cell r="IH72"/>
          <cell r="II72"/>
          <cell r="IJ72"/>
          <cell r="IK72"/>
          <cell r="IL72"/>
          <cell r="IM72"/>
          <cell r="IN72"/>
          <cell r="IO72"/>
          <cell r="IP72"/>
          <cell r="IQ72"/>
          <cell r="IR72"/>
          <cell r="IS72"/>
          <cell r="IT72"/>
          <cell r="IU72"/>
          <cell r="IV72"/>
          <cell r="IW72"/>
          <cell r="IX72"/>
          <cell r="IY72"/>
          <cell r="IZ72"/>
          <cell r="JA72"/>
          <cell r="JB72"/>
          <cell r="JC72"/>
          <cell r="JD72"/>
          <cell r="JE72"/>
          <cell r="JF72"/>
          <cell r="JG72"/>
          <cell r="JH72"/>
          <cell r="JI72"/>
          <cell r="JJ72"/>
          <cell r="JK72"/>
          <cell r="JL72"/>
          <cell r="JM72"/>
          <cell r="JN72"/>
          <cell r="JO72"/>
          <cell r="JP72"/>
          <cell r="JQ72"/>
          <cell r="JR72"/>
          <cell r="JS72"/>
          <cell r="JT72"/>
          <cell r="JU72"/>
          <cell r="JV72"/>
          <cell r="JW72"/>
          <cell r="JX72"/>
          <cell r="JY72"/>
          <cell r="JZ72"/>
          <cell r="KA72"/>
          <cell r="KB72"/>
          <cell r="KC72"/>
          <cell r="KD72"/>
          <cell r="KE72"/>
          <cell r="KF72"/>
          <cell r="KG72"/>
          <cell r="KH72"/>
          <cell r="KI72"/>
          <cell r="KJ72"/>
          <cell r="KK72"/>
          <cell r="KL72"/>
          <cell r="KM72"/>
          <cell r="KN72"/>
          <cell r="KO72"/>
          <cell r="KP72"/>
          <cell r="KQ72"/>
          <cell r="KR72"/>
          <cell r="KS72"/>
          <cell r="KT72"/>
          <cell r="KU72"/>
          <cell r="KV72"/>
          <cell r="KW72"/>
          <cell r="KX72"/>
          <cell r="KY72"/>
          <cell r="KZ72"/>
          <cell r="LA72"/>
          <cell r="LB72"/>
          <cell r="LC72"/>
          <cell r="LD72"/>
          <cell r="LE72"/>
          <cell r="LF72"/>
          <cell r="LG72"/>
          <cell r="LH72"/>
          <cell r="LI72"/>
        </row>
        <row r="73">
          <cell r="D73">
            <v>4134</v>
          </cell>
          <cell r="E73" t="str">
            <v>Rashodi za energiju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  <cell r="GF73"/>
          <cell r="GG73"/>
          <cell r="GH73"/>
          <cell r="GI73"/>
          <cell r="GJ73"/>
          <cell r="GK73"/>
          <cell r="GL73"/>
          <cell r="GM73"/>
          <cell r="GN73"/>
          <cell r="GO73"/>
          <cell r="GP73"/>
          <cell r="GQ73"/>
          <cell r="GR73"/>
          <cell r="GS73"/>
          <cell r="GT73"/>
          <cell r="GU73"/>
          <cell r="GV73"/>
          <cell r="GW73"/>
          <cell r="GX73"/>
          <cell r="GY73"/>
          <cell r="GZ73"/>
          <cell r="HA73"/>
          <cell r="HB73"/>
          <cell r="HC73"/>
          <cell r="HD73"/>
          <cell r="HE73"/>
          <cell r="HF73"/>
          <cell r="HG73"/>
          <cell r="HH73"/>
          <cell r="HI73"/>
          <cell r="HJ73"/>
          <cell r="HK73"/>
          <cell r="HL73"/>
          <cell r="HM73"/>
          <cell r="HN73"/>
          <cell r="HO73"/>
          <cell r="HP73"/>
          <cell r="HQ73"/>
          <cell r="HR73"/>
          <cell r="HS73"/>
          <cell r="HT73"/>
          <cell r="HU73"/>
          <cell r="HV73"/>
          <cell r="HW73"/>
          <cell r="HX73"/>
          <cell r="HY73"/>
          <cell r="HZ73"/>
          <cell r="IA73"/>
          <cell r="IB73"/>
          <cell r="IC73"/>
          <cell r="ID73"/>
          <cell r="IE73"/>
          <cell r="IF73"/>
          <cell r="IG73"/>
          <cell r="IH73"/>
          <cell r="II73"/>
          <cell r="IJ73"/>
          <cell r="IK73"/>
          <cell r="IL73"/>
          <cell r="IM73"/>
          <cell r="IN73"/>
          <cell r="IO73"/>
          <cell r="IP73"/>
          <cell r="IQ73"/>
          <cell r="IR73"/>
          <cell r="IS73"/>
          <cell r="IT73"/>
          <cell r="IU73"/>
          <cell r="IV73"/>
          <cell r="IW73"/>
          <cell r="IX73"/>
          <cell r="IY73"/>
          <cell r="IZ73"/>
          <cell r="JA73"/>
          <cell r="JB73"/>
          <cell r="JC73"/>
          <cell r="JD73"/>
          <cell r="JE73"/>
          <cell r="JF73"/>
          <cell r="JG73"/>
          <cell r="JH73"/>
          <cell r="JI73"/>
          <cell r="JJ73"/>
          <cell r="JK73"/>
          <cell r="JL73"/>
          <cell r="JM73"/>
          <cell r="JN73"/>
          <cell r="JO73"/>
          <cell r="JP73"/>
          <cell r="JQ73"/>
          <cell r="JR73"/>
          <cell r="JS73"/>
          <cell r="JT73"/>
          <cell r="JU73"/>
          <cell r="JV73"/>
          <cell r="JW73"/>
          <cell r="JX73"/>
          <cell r="JY73"/>
          <cell r="JZ73"/>
          <cell r="KA73"/>
          <cell r="KB73"/>
          <cell r="KC73"/>
          <cell r="KD73"/>
          <cell r="KE73"/>
          <cell r="KF73"/>
          <cell r="KG73"/>
          <cell r="KH73"/>
          <cell r="KI73"/>
          <cell r="KJ73"/>
          <cell r="KK73"/>
          <cell r="KL73"/>
          <cell r="KM73"/>
          <cell r="KN73"/>
          <cell r="KO73"/>
          <cell r="KP73"/>
          <cell r="KQ73"/>
          <cell r="KR73"/>
          <cell r="KS73"/>
          <cell r="KT73"/>
          <cell r="KU73"/>
          <cell r="KV73"/>
          <cell r="KW73"/>
          <cell r="KX73"/>
          <cell r="KY73"/>
          <cell r="KZ73"/>
          <cell r="LA73"/>
          <cell r="LB73"/>
          <cell r="LC73"/>
          <cell r="LD73"/>
          <cell r="LE73"/>
          <cell r="LF73"/>
          <cell r="LG73"/>
          <cell r="LH73"/>
          <cell r="LI73"/>
        </row>
        <row r="74">
          <cell r="D74">
            <v>4135</v>
          </cell>
          <cell r="E74" t="str">
            <v>Rashodi za gorivo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  <cell r="GF74"/>
          <cell r="GG74"/>
          <cell r="GH74"/>
          <cell r="GI74"/>
          <cell r="GJ74"/>
          <cell r="GK74"/>
          <cell r="GL74"/>
          <cell r="GM74"/>
          <cell r="GN74"/>
          <cell r="GO74"/>
          <cell r="GP74"/>
          <cell r="GQ74"/>
          <cell r="GR74"/>
          <cell r="GS74"/>
          <cell r="GT74"/>
          <cell r="GU74"/>
          <cell r="GV74"/>
          <cell r="GW74"/>
          <cell r="GX74"/>
          <cell r="GY74"/>
          <cell r="GZ74"/>
          <cell r="HA74"/>
          <cell r="HB74"/>
          <cell r="HC74"/>
          <cell r="HD74"/>
          <cell r="HE74"/>
          <cell r="HF74"/>
          <cell r="HG74"/>
          <cell r="HH74"/>
          <cell r="HI74"/>
          <cell r="HJ74"/>
          <cell r="HK74"/>
          <cell r="HL74"/>
          <cell r="HM74"/>
          <cell r="HN74"/>
          <cell r="HO74"/>
          <cell r="HP74"/>
          <cell r="HQ74"/>
          <cell r="HR74"/>
          <cell r="HS74"/>
          <cell r="HT74"/>
          <cell r="HU74"/>
          <cell r="HV74"/>
          <cell r="HW74"/>
          <cell r="HX74"/>
          <cell r="HY74"/>
          <cell r="HZ74"/>
          <cell r="IA74"/>
          <cell r="IB74"/>
          <cell r="IC74"/>
          <cell r="ID74"/>
          <cell r="IE74"/>
          <cell r="IF74"/>
          <cell r="IG74"/>
          <cell r="IH74"/>
          <cell r="II74"/>
          <cell r="IJ74"/>
          <cell r="IK74"/>
          <cell r="IL74"/>
          <cell r="IM74"/>
          <cell r="IN74"/>
          <cell r="IO74"/>
          <cell r="IP74"/>
          <cell r="IQ74"/>
          <cell r="IR74"/>
          <cell r="IS74"/>
          <cell r="IT74"/>
          <cell r="IU74"/>
          <cell r="IV74"/>
          <cell r="IW74"/>
          <cell r="IX74"/>
          <cell r="IY74"/>
          <cell r="IZ74"/>
          <cell r="JA74"/>
          <cell r="JB74"/>
          <cell r="JC74"/>
          <cell r="JD74"/>
          <cell r="JE74"/>
          <cell r="JF74"/>
          <cell r="JG74"/>
          <cell r="JH74"/>
          <cell r="JI74"/>
          <cell r="JJ74"/>
          <cell r="JK74"/>
          <cell r="JL74"/>
          <cell r="JM74"/>
          <cell r="JN74"/>
          <cell r="JO74"/>
          <cell r="JP74"/>
          <cell r="JQ74"/>
          <cell r="JR74"/>
          <cell r="JS74"/>
          <cell r="JT74"/>
          <cell r="JU74"/>
          <cell r="JV74"/>
          <cell r="JW74"/>
          <cell r="JX74"/>
          <cell r="JY74"/>
          <cell r="JZ74"/>
          <cell r="KA74"/>
          <cell r="KB74"/>
          <cell r="KC74"/>
          <cell r="KD74"/>
          <cell r="KE74"/>
          <cell r="KF74"/>
          <cell r="KG74"/>
          <cell r="KH74"/>
          <cell r="KI74"/>
          <cell r="KJ74"/>
          <cell r="KK74"/>
          <cell r="KL74"/>
          <cell r="KM74"/>
          <cell r="KN74"/>
          <cell r="KO74"/>
          <cell r="KP74"/>
          <cell r="KQ74"/>
          <cell r="KR74"/>
          <cell r="KS74"/>
          <cell r="KT74"/>
          <cell r="KU74"/>
          <cell r="KV74"/>
          <cell r="KW74"/>
          <cell r="KX74"/>
          <cell r="KY74"/>
          <cell r="KZ74"/>
          <cell r="LA74"/>
          <cell r="LB74"/>
          <cell r="LC74"/>
          <cell r="LD74"/>
          <cell r="LE74"/>
          <cell r="LF74"/>
          <cell r="LG74"/>
          <cell r="LH74"/>
          <cell r="LI74"/>
        </row>
        <row r="75">
          <cell r="D75">
            <v>4139</v>
          </cell>
          <cell r="E75" t="str">
            <v>Ostali rashodi za materijal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/>
          <cell r="EC75"/>
          <cell r="ED75"/>
          <cell r="EE75"/>
          <cell r="EF75"/>
          <cell r="EG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  <cell r="GF75"/>
          <cell r="GG75"/>
          <cell r="GH75"/>
          <cell r="GI75"/>
          <cell r="GJ75"/>
          <cell r="GK75"/>
          <cell r="GL75"/>
          <cell r="GM75"/>
          <cell r="GN75"/>
          <cell r="GO75"/>
          <cell r="GP75"/>
          <cell r="GQ75"/>
          <cell r="GR75"/>
          <cell r="GS75"/>
          <cell r="GT75"/>
          <cell r="GU75"/>
          <cell r="GV75"/>
          <cell r="GW75"/>
          <cell r="GX75"/>
          <cell r="GY75"/>
          <cell r="GZ75"/>
          <cell r="HA75"/>
          <cell r="HB75"/>
          <cell r="HC75"/>
          <cell r="HD75"/>
          <cell r="HE75"/>
          <cell r="HF75"/>
          <cell r="HG75"/>
          <cell r="HH75"/>
          <cell r="HI75"/>
          <cell r="HJ75"/>
          <cell r="HK75"/>
          <cell r="HL75"/>
          <cell r="HM75"/>
          <cell r="HN75"/>
          <cell r="HO75"/>
          <cell r="HP75"/>
          <cell r="HQ75"/>
          <cell r="HR75"/>
          <cell r="HS75"/>
          <cell r="HT75"/>
          <cell r="HU75"/>
          <cell r="HV75"/>
          <cell r="HW75"/>
          <cell r="HX75"/>
          <cell r="HY75"/>
          <cell r="HZ75"/>
          <cell r="IA75"/>
          <cell r="IB75"/>
          <cell r="IC75"/>
          <cell r="ID75"/>
          <cell r="IE75"/>
          <cell r="IF75"/>
          <cell r="IG75"/>
          <cell r="IH75"/>
          <cell r="II75"/>
          <cell r="IJ75"/>
          <cell r="IK75"/>
          <cell r="IL75"/>
          <cell r="IM75"/>
          <cell r="IN75"/>
          <cell r="IO75"/>
          <cell r="IP75"/>
          <cell r="IQ75"/>
          <cell r="IR75"/>
          <cell r="IS75"/>
          <cell r="IT75"/>
          <cell r="IU75"/>
          <cell r="IV75"/>
          <cell r="IW75"/>
          <cell r="IX75"/>
          <cell r="IY75"/>
          <cell r="IZ75"/>
          <cell r="JA75"/>
          <cell r="JB75"/>
          <cell r="JC75"/>
          <cell r="JD75"/>
          <cell r="JE75"/>
          <cell r="JF75"/>
          <cell r="JG75"/>
          <cell r="JH75"/>
          <cell r="JI75"/>
          <cell r="JJ75"/>
          <cell r="JK75"/>
          <cell r="JL75"/>
          <cell r="JM75"/>
          <cell r="JN75"/>
          <cell r="JO75"/>
          <cell r="JP75"/>
          <cell r="JQ75"/>
          <cell r="JR75"/>
          <cell r="JS75"/>
          <cell r="JT75"/>
          <cell r="JU75"/>
          <cell r="JV75"/>
          <cell r="JW75"/>
          <cell r="JX75"/>
          <cell r="JY75"/>
          <cell r="JZ75"/>
          <cell r="KA75"/>
          <cell r="KB75"/>
          <cell r="KC75"/>
          <cell r="KD75"/>
          <cell r="KE75"/>
          <cell r="KF75"/>
          <cell r="KG75"/>
          <cell r="KH75"/>
          <cell r="KI75"/>
          <cell r="KJ75"/>
          <cell r="KK75"/>
          <cell r="KL75"/>
          <cell r="KM75"/>
          <cell r="KN75"/>
          <cell r="KO75"/>
          <cell r="KP75"/>
          <cell r="KQ75"/>
          <cell r="KR75"/>
          <cell r="KS75"/>
          <cell r="KT75"/>
          <cell r="KU75"/>
          <cell r="KV75"/>
          <cell r="KW75"/>
          <cell r="KX75"/>
          <cell r="KY75"/>
          <cell r="KZ75"/>
          <cell r="LA75"/>
          <cell r="LB75"/>
          <cell r="LC75"/>
          <cell r="LD75"/>
          <cell r="LE75"/>
          <cell r="LF75"/>
          <cell r="LG75"/>
          <cell r="LH75"/>
          <cell r="LI75"/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  <cell r="GF76"/>
          <cell r="GG76"/>
          <cell r="GH76"/>
          <cell r="GI76"/>
          <cell r="GJ76"/>
          <cell r="GK76"/>
          <cell r="GL76"/>
          <cell r="GM76"/>
          <cell r="GN76"/>
          <cell r="GO76"/>
          <cell r="GP76"/>
          <cell r="GQ76"/>
          <cell r="GR76"/>
          <cell r="GS76"/>
          <cell r="GT76"/>
          <cell r="GU76"/>
          <cell r="GV76"/>
          <cell r="GW76"/>
          <cell r="GX76"/>
          <cell r="GY76"/>
          <cell r="GZ76"/>
          <cell r="HA76"/>
          <cell r="HB76"/>
          <cell r="HC76"/>
          <cell r="HD76"/>
          <cell r="HE76"/>
          <cell r="HF76"/>
          <cell r="HG76"/>
          <cell r="HH76"/>
          <cell r="HI76"/>
          <cell r="HJ76"/>
          <cell r="HK76"/>
          <cell r="HL76"/>
          <cell r="HM76"/>
          <cell r="HN76"/>
          <cell r="HO76"/>
          <cell r="HP76"/>
          <cell r="HQ76"/>
          <cell r="HR76"/>
          <cell r="HS76"/>
          <cell r="HT76"/>
          <cell r="HU76"/>
          <cell r="HV76"/>
          <cell r="HW76"/>
          <cell r="HX76"/>
          <cell r="HY76"/>
          <cell r="HZ76"/>
          <cell r="IA76"/>
          <cell r="IB76"/>
          <cell r="IC76"/>
          <cell r="ID76"/>
          <cell r="IE76"/>
          <cell r="IF76"/>
          <cell r="IG76"/>
          <cell r="IH76"/>
          <cell r="II76"/>
          <cell r="IJ76"/>
          <cell r="IK76"/>
          <cell r="IL76"/>
          <cell r="IM76"/>
          <cell r="IN76"/>
          <cell r="IO76"/>
          <cell r="IP76"/>
          <cell r="IQ76"/>
          <cell r="IR76"/>
          <cell r="IS76"/>
          <cell r="IT76"/>
          <cell r="IU76"/>
          <cell r="IV76"/>
          <cell r="IW76"/>
          <cell r="IX76"/>
          <cell r="IY76"/>
          <cell r="IZ76"/>
          <cell r="JA76"/>
          <cell r="JB76"/>
          <cell r="JC76"/>
          <cell r="JD76"/>
          <cell r="JE76"/>
          <cell r="JF76"/>
          <cell r="JG76"/>
          <cell r="JH76"/>
          <cell r="JI76"/>
          <cell r="JJ76"/>
          <cell r="JK76"/>
          <cell r="JL76"/>
          <cell r="JM76"/>
          <cell r="JN76"/>
          <cell r="JO76"/>
          <cell r="JP76"/>
          <cell r="JQ76"/>
          <cell r="JR76"/>
          <cell r="JS76"/>
          <cell r="JT76"/>
          <cell r="JU76"/>
          <cell r="JV76"/>
          <cell r="JW76"/>
          <cell r="JX76"/>
          <cell r="JY76"/>
          <cell r="JZ76"/>
          <cell r="KA76"/>
          <cell r="KB76"/>
          <cell r="KC76"/>
          <cell r="KD76"/>
          <cell r="KE76"/>
          <cell r="KF76"/>
          <cell r="KG76"/>
          <cell r="KH76"/>
          <cell r="KI76"/>
          <cell r="KJ76"/>
          <cell r="KK76"/>
          <cell r="KL76"/>
          <cell r="KM76"/>
          <cell r="KN76"/>
          <cell r="KO76"/>
          <cell r="KP76"/>
          <cell r="KQ76"/>
          <cell r="KR76"/>
          <cell r="KS76"/>
          <cell r="KT76"/>
          <cell r="KU76"/>
          <cell r="KV76"/>
          <cell r="KW76"/>
          <cell r="KX76"/>
          <cell r="KY76"/>
          <cell r="KZ76"/>
          <cell r="LA76"/>
          <cell r="LB76"/>
          <cell r="LC76"/>
          <cell r="LD76"/>
          <cell r="LE76"/>
          <cell r="LF76"/>
          <cell r="LG76"/>
          <cell r="LH76"/>
          <cell r="LI76"/>
        </row>
        <row r="77">
          <cell r="D77">
            <v>4141</v>
          </cell>
          <cell r="E77" t="str">
            <v>Službena putovanja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  <cell r="GF77"/>
          <cell r="GG77"/>
          <cell r="GH77"/>
          <cell r="GI77"/>
          <cell r="GJ77"/>
          <cell r="GK77"/>
          <cell r="GL77"/>
          <cell r="GM77"/>
          <cell r="GN77"/>
          <cell r="GO77"/>
          <cell r="GP77"/>
          <cell r="GQ77"/>
          <cell r="GR77"/>
          <cell r="GS77"/>
          <cell r="GT77"/>
          <cell r="GU77"/>
          <cell r="GV77"/>
          <cell r="GW77"/>
          <cell r="GX77"/>
          <cell r="GY77"/>
          <cell r="GZ77"/>
          <cell r="HA77"/>
          <cell r="HB77"/>
          <cell r="HC77"/>
          <cell r="HD77"/>
          <cell r="HE77"/>
          <cell r="HF77"/>
          <cell r="HG77"/>
          <cell r="HH77"/>
          <cell r="HI77"/>
          <cell r="HJ77"/>
          <cell r="HK77"/>
          <cell r="HL77"/>
          <cell r="HM77"/>
          <cell r="HN77"/>
          <cell r="HO77"/>
          <cell r="HP77"/>
          <cell r="HQ77"/>
          <cell r="HR77"/>
          <cell r="HS77"/>
          <cell r="HT77"/>
          <cell r="HU77"/>
          <cell r="HV77"/>
          <cell r="HW77"/>
          <cell r="HX77"/>
          <cell r="HY77"/>
          <cell r="HZ77"/>
          <cell r="IA77"/>
          <cell r="IB77"/>
          <cell r="IC77"/>
          <cell r="ID77"/>
          <cell r="IE77"/>
          <cell r="IF77"/>
          <cell r="IG77"/>
          <cell r="IH77"/>
          <cell r="II77"/>
          <cell r="IJ77"/>
          <cell r="IK77"/>
          <cell r="IL77"/>
          <cell r="IM77"/>
          <cell r="IN77"/>
          <cell r="IO77"/>
          <cell r="IP77"/>
          <cell r="IQ77"/>
          <cell r="IR77"/>
          <cell r="IS77"/>
          <cell r="IT77"/>
          <cell r="IU77"/>
          <cell r="IV77"/>
          <cell r="IW77"/>
          <cell r="IX77"/>
          <cell r="IY77"/>
          <cell r="IZ77"/>
          <cell r="JA77"/>
          <cell r="JB77"/>
          <cell r="JC77"/>
          <cell r="JD77"/>
          <cell r="JE77"/>
          <cell r="JF77"/>
          <cell r="JG77"/>
          <cell r="JH77"/>
          <cell r="JI77"/>
          <cell r="JJ77"/>
          <cell r="JK77"/>
          <cell r="JL77"/>
          <cell r="JM77"/>
          <cell r="JN77"/>
          <cell r="JO77"/>
          <cell r="JP77"/>
          <cell r="JQ77"/>
          <cell r="JR77"/>
          <cell r="JS77"/>
          <cell r="JT77"/>
          <cell r="JU77"/>
          <cell r="JV77"/>
          <cell r="JW77"/>
          <cell r="JX77"/>
          <cell r="JY77"/>
          <cell r="JZ77"/>
          <cell r="KA77"/>
          <cell r="KB77"/>
          <cell r="KC77"/>
          <cell r="KD77"/>
          <cell r="KE77"/>
          <cell r="KF77"/>
          <cell r="KG77"/>
          <cell r="KH77"/>
          <cell r="KI77"/>
          <cell r="KJ77"/>
          <cell r="KK77"/>
          <cell r="KL77"/>
          <cell r="KM77"/>
          <cell r="KN77"/>
          <cell r="KO77"/>
          <cell r="KP77"/>
          <cell r="KQ77"/>
          <cell r="KR77"/>
          <cell r="KS77"/>
          <cell r="KT77"/>
          <cell r="KU77"/>
          <cell r="KV77"/>
          <cell r="KW77"/>
          <cell r="KX77"/>
          <cell r="KY77"/>
          <cell r="KZ77"/>
          <cell r="LA77"/>
          <cell r="LB77"/>
          <cell r="LC77"/>
          <cell r="LD77"/>
          <cell r="LE77"/>
          <cell r="LF77"/>
          <cell r="LG77"/>
          <cell r="LH77"/>
          <cell r="LI77"/>
        </row>
        <row r="78">
          <cell r="D78">
            <v>4142</v>
          </cell>
          <cell r="E78" t="str">
            <v>Reprezentacija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  <cell r="GF78"/>
          <cell r="GG78"/>
          <cell r="GH78"/>
          <cell r="GI78"/>
          <cell r="GJ78"/>
          <cell r="GK78"/>
          <cell r="GL78"/>
          <cell r="GM78"/>
          <cell r="GN78"/>
          <cell r="GO78"/>
          <cell r="GP78"/>
          <cell r="GQ78"/>
          <cell r="GR78"/>
          <cell r="GS78"/>
          <cell r="GT78"/>
          <cell r="GU78"/>
          <cell r="GV78"/>
          <cell r="GW78"/>
          <cell r="GX78"/>
          <cell r="GY78"/>
          <cell r="GZ78"/>
          <cell r="HA78"/>
          <cell r="HB78"/>
          <cell r="HC78"/>
          <cell r="HD78"/>
          <cell r="HE78"/>
          <cell r="HF78"/>
          <cell r="HG78"/>
          <cell r="HH78"/>
          <cell r="HI78"/>
          <cell r="HJ78"/>
          <cell r="HK78"/>
          <cell r="HL78"/>
          <cell r="HM78"/>
          <cell r="HN78"/>
          <cell r="HO78"/>
          <cell r="HP78"/>
          <cell r="HQ78"/>
          <cell r="HR78"/>
          <cell r="HS78"/>
          <cell r="HT78"/>
          <cell r="HU78"/>
          <cell r="HV78"/>
          <cell r="HW78"/>
          <cell r="HX78"/>
          <cell r="HY78"/>
          <cell r="HZ78"/>
          <cell r="IA78"/>
          <cell r="IB78"/>
          <cell r="IC78"/>
          <cell r="ID78"/>
          <cell r="IE78"/>
          <cell r="IF78"/>
          <cell r="IG78"/>
          <cell r="IH78"/>
          <cell r="II78"/>
          <cell r="IJ78"/>
          <cell r="IK78"/>
          <cell r="IL78"/>
          <cell r="IM78"/>
          <cell r="IN78"/>
          <cell r="IO78"/>
          <cell r="IP78"/>
          <cell r="IQ78"/>
          <cell r="IR78"/>
          <cell r="IS78"/>
          <cell r="IT78"/>
          <cell r="IU78"/>
          <cell r="IV78"/>
          <cell r="IW78"/>
          <cell r="IX78"/>
          <cell r="IY78"/>
          <cell r="IZ78"/>
          <cell r="JA78"/>
          <cell r="JB78"/>
          <cell r="JC78"/>
          <cell r="JD78"/>
          <cell r="JE78"/>
          <cell r="JF78"/>
          <cell r="JG78"/>
          <cell r="JH78"/>
          <cell r="JI78"/>
          <cell r="JJ78"/>
          <cell r="JK78"/>
          <cell r="JL78"/>
          <cell r="JM78"/>
          <cell r="JN78"/>
          <cell r="JO78"/>
          <cell r="JP78"/>
          <cell r="JQ78"/>
          <cell r="JR78"/>
          <cell r="JS78"/>
          <cell r="JT78"/>
          <cell r="JU78"/>
          <cell r="JV78"/>
          <cell r="JW78"/>
          <cell r="JX78"/>
          <cell r="JY78"/>
          <cell r="JZ78"/>
          <cell r="KA78"/>
          <cell r="KB78"/>
          <cell r="KC78"/>
          <cell r="KD78"/>
          <cell r="KE78"/>
          <cell r="KF78"/>
          <cell r="KG78"/>
          <cell r="KH78"/>
          <cell r="KI78"/>
          <cell r="KJ78"/>
          <cell r="KK78"/>
          <cell r="KL78"/>
          <cell r="KM78"/>
          <cell r="KN78"/>
          <cell r="KO78"/>
          <cell r="KP78"/>
          <cell r="KQ78"/>
          <cell r="KR78"/>
          <cell r="KS78"/>
          <cell r="KT78"/>
          <cell r="KU78"/>
          <cell r="KV78"/>
          <cell r="KW78"/>
          <cell r="KX78"/>
          <cell r="KY78"/>
          <cell r="KZ78"/>
          <cell r="LA78"/>
          <cell r="LB78"/>
          <cell r="LC78"/>
          <cell r="LD78"/>
          <cell r="LE78"/>
          <cell r="LF78"/>
          <cell r="LG78"/>
          <cell r="LH78"/>
          <cell r="LI78"/>
        </row>
        <row r="79">
          <cell r="D79">
            <v>4143</v>
          </cell>
          <cell r="E79" t="str">
            <v>Komunikacione usluge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  <cell r="GF79"/>
          <cell r="GG79"/>
          <cell r="GH79"/>
          <cell r="GI79"/>
          <cell r="GJ79"/>
          <cell r="GK79"/>
          <cell r="GL79"/>
          <cell r="GM79"/>
          <cell r="GN79"/>
          <cell r="GO79"/>
          <cell r="GP79"/>
          <cell r="GQ79"/>
          <cell r="GR79"/>
          <cell r="GS79"/>
          <cell r="GT79"/>
          <cell r="GU79"/>
          <cell r="GV79"/>
          <cell r="GW79"/>
          <cell r="GX79"/>
          <cell r="GY79"/>
          <cell r="GZ79"/>
          <cell r="HA79"/>
          <cell r="HB79"/>
          <cell r="HC79"/>
          <cell r="HD79"/>
          <cell r="HE79"/>
          <cell r="HF79"/>
          <cell r="HG79"/>
          <cell r="HH79"/>
          <cell r="HI79"/>
          <cell r="HJ79"/>
          <cell r="HK79"/>
          <cell r="HL79"/>
          <cell r="HM79"/>
          <cell r="HN79"/>
          <cell r="HO79"/>
          <cell r="HP79"/>
          <cell r="HQ79"/>
          <cell r="HR79"/>
          <cell r="HS79"/>
          <cell r="HT79"/>
          <cell r="HU79"/>
          <cell r="HV79"/>
          <cell r="HW79"/>
          <cell r="HX79"/>
          <cell r="HY79"/>
          <cell r="HZ79"/>
          <cell r="IA79"/>
          <cell r="IB79"/>
          <cell r="IC79"/>
          <cell r="ID79"/>
          <cell r="IE79"/>
          <cell r="IF79"/>
          <cell r="IG79"/>
          <cell r="IH79"/>
          <cell r="II79"/>
          <cell r="IJ79"/>
          <cell r="IK79"/>
          <cell r="IL79"/>
          <cell r="IM79"/>
          <cell r="IN79"/>
          <cell r="IO79"/>
          <cell r="IP79"/>
          <cell r="IQ79"/>
          <cell r="IR79"/>
          <cell r="IS79"/>
          <cell r="IT79"/>
          <cell r="IU79"/>
          <cell r="IV79"/>
          <cell r="IW79"/>
          <cell r="IX79"/>
          <cell r="IY79"/>
          <cell r="IZ79"/>
          <cell r="JA79"/>
          <cell r="JB79"/>
          <cell r="JC79"/>
          <cell r="JD79"/>
          <cell r="JE79"/>
          <cell r="JF79"/>
          <cell r="JG79"/>
          <cell r="JH79"/>
          <cell r="JI79"/>
          <cell r="JJ79"/>
          <cell r="JK79"/>
          <cell r="JL79"/>
          <cell r="JM79"/>
          <cell r="JN79"/>
          <cell r="JO79"/>
          <cell r="JP79"/>
          <cell r="JQ79"/>
          <cell r="JR79"/>
          <cell r="JS79"/>
          <cell r="JT79"/>
          <cell r="JU79"/>
          <cell r="JV79"/>
          <cell r="JW79"/>
          <cell r="JX79"/>
          <cell r="JY79"/>
          <cell r="JZ79"/>
          <cell r="KA79"/>
          <cell r="KB79"/>
          <cell r="KC79"/>
          <cell r="KD79"/>
          <cell r="KE79"/>
          <cell r="KF79"/>
          <cell r="KG79"/>
          <cell r="KH79"/>
          <cell r="KI79"/>
          <cell r="KJ79"/>
          <cell r="KK79"/>
          <cell r="KL79"/>
          <cell r="KM79"/>
          <cell r="KN79"/>
          <cell r="KO79"/>
          <cell r="KP79"/>
          <cell r="KQ79"/>
          <cell r="KR79"/>
          <cell r="KS79"/>
          <cell r="KT79"/>
          <cell r="KU79"/>
          <cell r="KV79"/>
          <cell r="KW79"/>
          <cell r="KX79"/>
          <cell r="KY79"/>
          <cell r="KZ79"/>
          <cell r="LA79"/>
          <cell r="LB79"/>
          <cell r="LC79"/>
          <cell r="LD79"/>
          <cell r="LE79"/>
          <cell r="LF79"/>
          <cell r="LG79"/>
          <cell r="LH79"/>
          <cell r="LI79"/>
        </row>
        <row r="80">
          <cell r="D80">
            <v>4144</v>
          </cell>
          <cell r="E80" t="str">
            <v>Bankarske usluge i negativne kursne razlike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  <cell r="GF80"/>
          <cell r="GG80"/>
          <cell r="GH80"/>
          <cell r="GI80"/>
          <cell r="GJ80"/>
          <cell r="GK80"/>
          <cell r="GL80"/>
          <cell r="GM80"/>
          <cell r="GN80"/>
          <cell r="GO80"/>
          <cell r="GP80"/>
          <cell r="GQ80"/>
          <cell r="GR80"/>
          <cell r="GS80"/>
          <cell r="GT80"/>
          <cell r="GU80"/>
          <cell r="GV80"/>
          <cell r="GW80"/>
          <cell r="GX80"/>
          <cell r="GY80"/>
          <cell r="GZ80"/>
          <cell r="HA80"/>
          <cell r="HB80"/>
          <cell r="HC80"/>
          <cell r="HD80"/>
          <cell r="HE80"/>
          <cell r="HF80"/>
          <cell r="HG80"/>
          <cell r="HH80"/>
          <cell r="HI80"/>
          <cell r="HJ80"/>
          <cell r="HK80"/>
          <cell r="HL80"/>
          <cell r="HM80"/>
          <cell r="HN80"/>
          <cell r="HO80"/>
          <cell r="HP80"/>
          <cell r="HQ80"/>
          <cell r="HR80"/>
          <cell r="HS80"/>
          <cell r="HT80"/>
          <cell r="HU80"/>
          <cell r="HV80"/>
          <cell r="HW80"/>
          <cell r="HX80"/>
          <cell r="HY80"/>
          <cell r="HZ80"/>
          <cell r="IA80"/>
          <cell r="IB80"/>
          <cell r="IC80"/>
          <cell r="ID80"/>
          <cell r="IE80"/>
          <cell r="IF80"/>
          <cell r="IG80"/>
          <cell r="IH80"/>
          <cell r="II80"/>
          <cell r="IJ80"/>
          <cell r="IK80"/>
          <cell r="IL80"/>
          <cell r="IM80"/>
          <cell r="IN80"/>
          <cell r="IO80"/>
          <cell r="IP80"/>
          <cell r="IQ80"/>
          <cell r="IR80"/>
          <cell r="IS80"/>
          <cell r="IT80"/>
          <cell r="IU80"/>
          <cell r="IV80"/>
          <cell r="IW80"/>
          <cell r="IX80"/>
          <cell r="IY80"/>
          <cell r="IZ80"/>
          <cell r="JA80"/>
          <cell r="JB80"/>
          <cell r="JC80"/>
          <cell r="JD80"/>
          <cell r="JE80"/>
          <cell r="JF80"/>
          <cell r="JG80"/>
          <cell r="JH80"/>
          <cell r="JI80"/>
          <cell r="JJ80"/>
          <cell r="JK80"/>
          <cell r="JL80"/>
          <cell r="JM80"/>
          <cell r="JN80"/>
          <cell r="JO80"/>
          <cell r="JP80"/>
          <cell r="JQ80"/>
          <cell r="JR80"/>
          <cell r="JS80"/>
          <cell r="JT80"/>
          <cell r="JU80"/>
          <cell r="JV80"/>
          <cell r="JW80"/>
          <cell r="JX80"/>
          <cell r="JY80"/>
          <cell r="JZ80"/>
          <cell r="KA80"/>
          <cell r="KB80"/>
          <cell r="KC80"/>
          <cell r="KD80"/>
          <cell r="KE80"/>
          <cell r="KF80"/>
          <cell r="KG80"/>
          <cell r="KH80"/>
          <cell r="KI80"/>
          <cell r="KJ80"/>
          <cell r="KK80"/>
          <cell r="KL80"/>
          <cell r="KM80"/>
          <cell r="KN80"/>
          <cell r="KO80"/>
          <cell r="KP80"/>
          <cell r="KQ80"/>
          <cell r="KR80"/>
          <cell r="KS80"/>
          <cell r="KT80"/>
          <cell r="KU80"/>
          <cell r="KV80"/>
          <cell r="KW80"/>
          <cell r="KX80"/>
          <cell r="KY80"/>
          <cell r="KZ80"/>
          <cell r="LA80"/>
          <cell r="LB80"/>
          <cell r="LC80"/>
          <cell r="LD80"/>
          <cell r="LE80"/>
          <cell r="LF80"/>
          <cell r="LG80"/>
          <cell r="LH80"/>
          <cell r="LI80"/>
        </row>
        <row r="81">
          <cell r="D81">
            <v>4145</v>
          </cell>
          <cell r="E81" t="str">
            <v>Usluge prevoza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  <cell r="GF81"/>
          <cell r="GG81"/>
          <cell r="GH81"/>
          <cell r="GI81"/>
          <cell r="GJ81"/>
          <cell r="GK81"/>
          <cell r="GL81"/>
          <cell r="GM81"/>
          <cell r="GN81"/>
          <cell r="GO81"/>
          <cell r="GP81"/>
          <cell r="GQ81"/>
          <cell r="GR81"/>
          <cell r="GS81"/>
          <cell r="GT81"/>
          <cell r="GU81"/>
          <cell r="GV81"/>
          <cell r="GW81"/>
          <cell r="GX81"/>
          <cell r="GY81"/>
          <cell r="GZ81"/>
          <cell r="HA81"/>
          <cell r="HB81"/>
          <cell r="HC81"/>
          <cell r="HD81"/>
          <cell r="HE81"/>
          <cell r="HF81"/>
          <cell r="HG81"/>
          <cell r="HH81"/>
          <cell r="HI81"/>
          <cell r="HJ81"/>
          <cell r="HK81"/>
          <cell r="HL81"/>
          <cell r="HM81"/>
          <cell r="HN81"/>
          <cell r="HO81"/>
          <cell r="HP81"/>
          <cell r="HQ81"/>
          <cell r="HR81"/>
          <cell r="HS81"/>
          <cell r="HT81"/>
          <cell r="HU81"/>
          <cell r="HV81"/>
          <cell r="HW81"/>
          <cell r="HX81"/>
          <cell r="HY81"/>
          <cell r="HZ81"/>
          <cell r="IA81"/>
          <cell r="IB81"/>
          <cell r="IC81"/>
          <cell r="ID81"/>
          <cell r="IE81"/>
          <cell r="IF81"/>
          <cell r="IG81"/>
          <cell r="IH81"/>
          <cell r="II81"/>
          <cell r="IJ81"/>
          <cell r="IK81"/>
          <cell r="IL81"/>
          <cell r="IM81"/>
          <cell r="IN81"/>
          <cell r="IO81"/>
          <cell r="IP81"/>
          <cell r="IQ81"/>
          <cell r="IR81"/>
          <cell r="IS81"/>
          <cell r="IT81"/>
          <cell r="IU81"/>
          <cell r="IV81"/>
          <cell r="IW81"/>
          <cell r="IX81"/>
          <cell r="IY81"/>
          <cell r="IZ81"/>
          <cell r="JA81"/>
          <cell r="JB81"/>
          <cell r="JC81"/>
          <cell r="JD81"/>
          <cell r="JE81"/>
          <cell r="JF81"/>
          <cell r="JG81"/>
          <cell r="JH81"/>
          <cell r="JI81"/>
          <cell r="JJ81"/>
          <cell r="JK81"/>
          <cell r="JL81"/>
          <cell r="JM81"/>
          <cell r="JN81"/>
          <cell r="JO81"/>
          <cell r="JP81"/>
          <cell r="JQ81"/>
          <cell r="JR81"/>
          <cell r="JS81"/>
          <cell r="JT81"/>
          <cell r="JU81"/>
          <cell r="JV81"/>
          <cell r="JW81"/>
          <cell r="JX81"/>
          <cell r="JY81"/>
          <cell r="JZ81"/>
          <cell r="KA81"/>
          <cell r="KB81"/>
          <cell r="KC81"/>
          <cell r="KD81"/>
          <cell r="KE81"/>
          <cell r="KF81"/>
          <cell r="KG81"/>
          <cell r="KH81"/>
          <cell r="KI81"/>
          <cell r="KJ81"/>
          <cell r="KK81"/>
          <cell r="KL81"/>
          <cell r="KM81"/>
          <cell r="KN81"/>
          <cell r="KO81"/>
          <cell r="KP81"/>
          <cell r="KQ81"/>
          <cell r="KR81"/>
          <cell r="KS81"/>
          <cell r="KT81"/>
          <cell r="KU81"/>
          <cell r="KV81"/>
          <cell r="KW81"/>
          <cell r="KX81"/>
          <cell r="KY81"/>
          <cell r="KZ81"/>
          <cell r="LA81"/>
          <cell r="LB81"/>
          <cell r="LC81"/>
          <cell r="LD81"/>
          <cell r="LE81"/>
          <cell r="LF81"/>
          <cell r="LG81"/>
          <cell r="LH81"/>
          <cell r="LI81"/>
        </row>
        <row r="82">
          <cell r="D82">
            <v>4146</v>
          </cell>
          <cell r="E82" t="str">
            <v>Advokatske, notarske i pravne usluge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  <cell r="GF82"/>
          <cell r="GG82"/>
          <cell r="GH82"/>
          <cell r="GI82"/>
          <cell r="GJ82"/>
          <cell r="GK82"/>
          <cell r="GL82"/>
          <cell r="GM82"/>
          <cell r="GN82"/>
          <cell r="GO82"/>
          <cell r="GP82"/>
          <cell r="GQ82"/>
          <cell r="GR82"/>
          <cell r="GS82"/>
          <cell r="GT82"/>
          <cell r="GU82"/>
          <cell r="GV82"/>
          <cell r="GW82"/>
          <cell r="GX82"/>
          <cell r="GY82"/>
          <cell r="GZ82"/>
          <cell r="HA82"/>
          <cell r="HB82"/>
          <cell r="HC82"/>
          <cell r="HD82"/>
          <cell r="HE82"/>
          <cell r="HF82"/>
          <cell r="HG82"/>
          <cell r="HH82"/>
          <cell r="HI82"/>
          <cell r="HJ82"/>
          <cell r="HK82"/>
          <cell r="HL82"/>
          <cell r="HM82"/>
          <cell r="HN82"/>
          <cell r="HO82"/>
          <cell r="HP82"/>
          <cell r="HQ82"/>
          <cell r="HR82"/>
          <cell r="HS82"/>
          <cell r="HT82"/>
          <cell r="HU82"/>
          <cell r="HV82"/>
          <cell r="HW82"/>
          <cell r="HX82"/>
          <cell r="HY82"/>
          <cell r="HZ82"/>
          <cell r="IA82"/>
          <cell r="IB82"/>
          <cell r="IC82"/>
          <cell r="ID82"/>
          <cell r="IE82"/>
          <cell r="IF82"/>
          <cell r="IG82"/>
          <cell r="IH82"/>
          <cell r="II82"/>
          <cell r="IJ82"/>
          <cell r="IK82"/>
          <cell r="IL82"/>
          <cell r="IM82"/>
          <cell r="IN82"/>
          <cell r="IO82"/>
          <cell r="IP82"/>
          <cell r="IQ82"/>
          <cell r="IR82"/>
          <cell r="IS82"/>
          <cell r="IT82"/>
          <cell r="IU82"/>
          <cell r="IV82"/>
          <cell r="IW82"/>
          <cell r="IX82"/>
          <cell r="IY82"/>
          <cell r="IZ82"/>
          <cell r="JA82"/>
          <cell r="JB82"/>
          <cell r="JC82"/>
          <cell r="JD82"/>
          <cell r="JE82"/>
          <cell r="JF82"/>
          <cell r="JG82"/>
          <cell r="JH82"/>
          <cell r="JI82"/>
          <cell r="JJ82"/>
          <cell r="JK82"/>
          <cell r="JL82"/>
          <cell r="JM82"/>
          <cell r="JN82"/>
          <cell r="JO82"/>
          <cell r="JP82"/>
          <cell r="JQ82"/>
          <cell r="JR82"/>
          <cell r="JS82"/>
          <cell r="JT82"/>
          <cell r="JU82"/>
          <cell r="JV82"/>
          <cell r="JW82"/>
          <cell r="JX82"/>
          <cell r="JY82"/>
          <cell r="JZ82"/>
          <cell r="KA82"/>
          <cell r="KB82"/>
          <cell r="KC82"/>
          <cell r="KD82"/>
          <cell r="KE82"/>
          <cell r="KF82"/>
          <cell r="KG82"/>
          <cell r="KH82"/>
          <cell r="KI82"/>
          <cell r="KJ82"/>
          <cell r="KK82"/>
          <cell r="KL82"/>
          <cell r="KM82"/>
          <cell r="KN82"/>
          <cell r="KO82"/>
          <cell r="KP82"/>
          <cell r="KQ82"/>
          <cell r="KR82"/>
          <cell r="KS82"/>
          <cell r="KT82"/>
          <cell r="KU82"/>
          <cell r="KV82"/>
          <cell r="KW82"/>
          <cell r="KX82"/>
          <cell r="KY82"/>
          <cell r="KZ82"/>
          <cell r="LA82"/>
          <cell r="LB82"/>
          <cell r="LC82"/>
          <cell r="LD82"/>
          <cell r="LE82"/>
          <cell r="LF82"/>
          <cell r="LG82"/>
          <cell r="LH82"/>
          <cell r="LI82"/>
        </row>
        <row r="83">
          <cell r="D83">
            <v>4147</v>
          </cell>
          <cell r="E83" t="str">
            <v>Konsultantske usluge, projekti i studije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  <cell r="GF83"/>
          <cell r="GG83"/>
          <cell r="GH83"/>
          <cell r="GI83"/>
          <cell r="GJ83"/>
          <cell r="GK83"/>
          <cell r="GL83"/>
          <cell r="GM83"/>
          <cell r="GN83"/>
          <cell r="GO83"/>
          <cell r="GP83"/>
          <cell r="GQ83"/>
          <cell r="GR83"/>
          <cell r="GS83"/>
          <cell r="GT83"/>
          <cell r="GU83"/>
          <cell r="GV83"/>
          <cell r="GW83"/>
          <cell r="GX83"/>
          <cell r="GY83"/>
          <cell r="GZ83"/>
          <cell r="HA83"/>
          <cell r="HB83"/>
          <cell r="HC83"/>
          <cell r="HD83"/>
          <cell r="HE83"/>
          <cell r="HF83"/>
          <cell r="HG83"/>
          <cell r="HH83"/>
          <cell r="HI83"/>
          <cell r="HJ83"/>
          <cell r="HK83"/>
          <cell r="HL83"/>
          <cell r="HM83"/>
          <cell r="HN83"/>
          <cell r="HO83"/>
          <cell r="HP83"/>
          <cell r="HQ83"/>
          <cell r="HR83"/>
          <cell r="HS83"/>
          <cell r="HT83"/>
          <cell r="HU83"/>
          <cell r="HV83"/>
          <cell r="HW83"/>
          <cell r="HX83"/>
          <cell r="HY83"/>
          <cell r="HZ83"/>
          <cell r="IA83"/>
          <cell r="IB83"/>
          <cell r="IC83"/>
          <cell r="ID83"/>
          <cell r="IE83"/>
          <cell r="IF83"/>
          <cell r="IG83"/>
          <cell r="IH83"/>
          <cell r="II83"/>
          <cell r="IJ83"/>
          <cell r="IK83"/>
          <cell r="IL83"/>
          <cell r="IM83"/>
          <cell r="IN83"/>
          <cell r="IO83"/>
          <cell r="IP83"/>
          <cell r="IQ83"/>
          <cell r="IR83"/>
          <cell r="IS83"/>
          <cell r="IT83"/>
          <cell r="IU83"/>
          <cell r="IV83"/>
          <cell r="IW83"/>
          <cell r="IX83"/>
          <cell r="IY83"/>
          <cell r="IZ83"/>
          <cell r="JA83"/>
          <cell r="JB83"/>
          <cell r="JC83"/>
          <cell r="JD83"/>
          <cell r="JE83"/>
          <cell r="JF83"/>
          <cell r="JG83"/>
          <cell r="JH83"/>
          <cell r="JI83"/>
          <cell r="JJ83"/>
          <cell r="JK83"/>
          <cell r="JL83"/>
          <cell r="JM83"/>
          <cell r="JN83"/>
          <cell r="JO83"/>
          <cell r="JP83"/>
          <cell r="JQ83"/>
          <cell r="JR83"/>
          <cell r="JS83"/>
          <cell r="JT83"/>
          <cell r="JU83"/>
          <cell r="JV83"/>
          <cell r="JW83"/>
          <cell r="JX83"/>
          <cell r="JY83"/>
          <cell r="JZ83"/>
          <cell r="KA83"/>
          <cell r="KB83"/>
          <cell r="KC83"/>
          <cell r="KD83"/>
          <cell r="KE83"/>
          <cell r="KF83"/>
          <cell r="KG83"/>
          <cell r="KH83"/>
          <cell r="KI83"/>
          <cell r="KJ83"/>
          <cell r="KK83"/>
          <cell r="KL83"/>
          <cell r="KM83"/>
          <cell r="KN83"/>
          <cell r="KO83"/>
          <cell r="KP83"/>
          <cell r="KQ83"/>
          <cell r="KR83"/>
          <cell r="KS83"/>
          <cell r="KT83"/>
          <cell r="KU83"/>
          <cell r="KV83"/>
          <cell r="KW83"/>
          <cell r="KX83"/>
          <cell r="KY83"/>
          <cell r="KZ83"/>
          <cell r="LA83"/>
          <cell r="LB83"/>
          <cell r="LC83"/>
          <cell r="LD83"/>
          <cell r="LE83"/>
          <cell r="LF83"/>
          <cell r="LG83"/>
          <cell r="LH83"/>
          <cell r="LI83"/>
        </row>
        <row r="84">
          <cell r="D84">
            <v>4148</v>
          </cell>
          <cell r="E84" t="str">
            <v>Usluge stručnog usavršavanja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/>
          <cell r="GA84"/>
          <cell r="GB84"/>
          <cell r="GC84"/>
          <cell r="GD84"/>
          <cell r="GE84"/>
          <cell r="GF84"/>
          <cell r="GG84"/>
          <cell r="GH84"/>
          <cell r="GI84"/>
          <cell r="GJ84"/>
          <cell r="GK84"/>
          <cell r="GL84"/>
          <cell r="GM84"/>
          <cell r="GN84"/>
          <cell r="GO84"/>
          <cell r="GP84"/>
          <cell r="GQ84"/>
          <cell r="GR84"/>
          <cell r="GS84"/>
          <cell r="GT84"/>
          <cell r="GU84"/>
          <cell r="GV84"/>
          <cell r="GW84"/>
          <cell r="GX84"/>
          <cell r="GY84"/>
          <cell r="GZ84"/>
          <cell r="HA84"/>
          <cell r="HB84"/>
          <cell r="HC84"/>
          <cell r="HD84"/>
          <cell r="HE84"/>
          <cell r="HF84"/>
          <cell r="HG84"/>
          <cell r="HH84"/>
          <cell r="HI84"/>
          <cell r="HJ84"/>
          <cell r="HK84"/>
          <cell r="HL84"/>
          <cell r="HM84"/>
          <cell r="HN84"/>
          <cell r="HO84"/>
          <cell r="HP84"/>
          <cell r="HQ84"/>
          <cell r="HR84"/>
          <cell r="HS84"/>
          <cell r="HT84"/>
          <cell r="HU84"/>
          <cell r="HV84"/>
          <cell r="HW84"/>
          <cell r="HX84"/>
          <cell r="HY84"/>
          <cell r="HZ84"/>
          <cell r="IA84"/>
          <cell r="IB84"/>
          <cell r="IC84"/>
          <cell r="ID84"/>
          <cell r="IE84"/>
          <cell r="IF84"/>
          <cell r="IG84"/>
          <cell r="IH84"/>
          <cell r="II84"/>
          <cell r="IJ84"/>
          <cell r="IK84"/>
          <cell r="IL84"/>
          <cell r="IM84"/>
          <cell r="IN84"/>
          <cell r="IO84"/>
          <cell r="IP84"/>
          <cell r="IQ84"/>
          <cell r="IR84"/>
          <cell r="IS84"/>
          <cell r="IT84"/>
          <cell r="IU84"/>
          <cell r="IV84"/>
          <cell r="IW84"/>
          <cell r="IX84"/>
          <cell r="IY84"/>
          <cell r="IZ84"/>
          <cell r="JA84"/>
          <cell r="JB84"/>
          <cell r="JC84"/>
          <cell r="JD84"/>
          <cell r="JE84"/>
          <cell r="JF84"/>
          <cell r="JG84"/>
          <cell r="JH84"/>
          <cell r="JI84"/>
          <cell r="JJ84"/>
          <cell r="JK84"/>
          <cell r="JL84"/>
          <cell r="JM84"/>
          <cell r="JN84"/>
          <cell r="JO84"/>
          <cell r="JP84"/>
          <cell r="JQ84"/>
          <cell r="JR84"/>
          <cell r="JS84"/>
          <cell r="JT84"/>
          <cell r="JU84"/>
          <cell r="JV84"/>
          <cell r="JW84"/>
          <cell r="JX84"/>
          <cell r="JY84"/>
          <cell r="JZ84"/>
          <cell r="KA84"/>
          <cell r="KB84"/>
          <cell r="KC84"/>
          <cell r="KD84"/>
          <cell r="KE84"/>
          <cell r="KF84"/>
          <cell r="KG84"/>
          <cell r="KH84"/>
          <cell r="KI84"/>
          <cell r="KJ84"/>
          <cell r="KK84"/>
          <cell r="KL84"/>
          <cell r="KM84"/>
          <cell r="KN84"/>
          <cell r="KO84"/>
          <cell r="KP84"/>
          <cell r="KQ84"/>
          <cell r="KR84"/>
          <cell r="KS84"/>
          <cell r="KT84"/>
          <cell r="KU84"/>
          <cell r="KV84"/>
          <cell r="KW84"/>
          <cell r="KX84"/>
          <cell r="KY84"/>
          <cell r="KZ84"/>
          <cell r="LA84"/>
          <cell r="LB84"/>
          <cell r="LC84"/>
          <cell r="LD84"/>
          <cell r="LE84"/>
          <cell r="LF84"/>
          <cell r="LG84"/>
          <cell r="LH84"/>
          <cell r="LI84"/>
        </row>
        <row r="85">
          <cell r="D85">
            <v>4149</v>
          </cell>
          <cell r="E85" t="str">
            <v>Ostale usluge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/>
          <cell r="ED85"/>
          <cell r="EE85"/>
          <cell r="EF85"/>
          <cell r="EG85"/>
          <cell r="ET85"/>
          <cell r="EU85"/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/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  <cell r="GF85"/>
          <cell r="GG85"/>
          <cell r="GH85"/>
          <cell r="GI85"/>
          <cell r="GJ85"/>
          <cell r="GK85"/>
          <cell r="GL85"/>
          <cell r="GM85"/>
          <cell r="GN85"/>
          <cell r="GO85"/>
          <cell r="GP85"/>
          <cell r="GQ85"/>
          <cell r="GR85"/>
          <cell r="GS85"/>
          <cell r="GT85"/>
          <cell r="GU85"/>
          <cell r="GV85"/>
          <cell r="GW85"/>
          <cell r="GX85"/>
          <cell r="GY85"/>
          <cell r="GZ85"/>
          <cell r="HA85"/>
          <cell r="HB85"/>
          <cell r="HC85"/>
          <cell r="HD85"/>
          <cell r="HE85"/>
          <cell r="HF85"/>
          <cell r="HG85"/>
          <cell r="HH85"/>
          <cell r="HI85"/>
          <cell r="HJ85"/>
          <cell r="HK85"/>
          <cell r="HL85"/>
          <cell r="HM85"/>
          <cell r="HN85"/>
          <cell r="HO85"/>
          <cell r="HP85"/>
          <cell r="HQ85"/>
          <cell r="HR85"/>
          <cell r="HS85"/>
          <cell r="HT85"/>
          <cell r="HU85"/>
          <cell r="HV85"/>
          <cell r="HW85"/>
          <cell r="HX85"/>
          <cell r="HY85"/>
          <cell r="HZ85"/>
          <cell r="IA85"/>
          <cell r="IB85"/>
          <cell r="IC85"/>
          <cell r="ID85"/>
          <cell r="IE85"/>
          <cell r="IF85"/>
          <cell r="IG85"/>
          <cell r="IH85"/>
          <cell r="II85"/>
          <cell r="IJ85"/>
          <cell r="IK85"/>
          <cell r="IL85"/>
          <cell r="IM85"/>
          <cell r="IN85"/>
          <cell r="IO85"/>
          <cell r="IP85"/>
          <cell r="IQ85"/>
          <cell r="IR85"/>
          <cell r="IS85"/>
          <cell r="IT85"/>
          <cell r="IU85"/>
          <cell r="IV85"/>
          <cell r="IW85"/>
          <cell r="IX85"/>
          <cell r="IY85"/>
          <cell r="IZ85"/>
          <cell r="JA85"/>
          <cell r="JB85"/>
          <cell r="JC85"/>
          <cell r="JD85"/>
          <cell r="JE85"/>
          <cell r="JF85"/>
          <cell r="JG85"/>
          <cell r="JH85"/>
          <cell r="JI85"/>
          <cell r="JJ85"/>
          <cell r="JK85"/>
          <cell r="JL85"/>
          <cell r="JM85"/>
          <cell r="JN85"/>
          <cell r="JO85"/>
          <cell r="JP85"/>
          <cell r="JQ85"/>
          <cell r="JR85"/>
          <cell r="JS85"/>
          <cell r="JT85"/>
          <cell r="JU85"/>
          <cell r="JV85"/>
          <cell r="JW85"/>
          <cell r="JX85"/>
          <cell r="JY85"/>
          <cell r="JZ85"/>
          <cell r="KA85"/>
          <cell r="KB85"/>
          <cell r="KC85"/>
          <cell r="KD85"/>
          <cell r="KE85"/>
          <cell r="KF85"/>
          <cell r="KG85"/>
          <cell r="KH85"/>
          <cell r="KI85"/>
          <cell r="KJ85"/>
          <cell r="KK85"/>
          <cell r="KL85"/>
          <cell r="KM85"/>
          <cell r="KN85"/>
          <cell r="KO85"/>
          <cell r="KP85"/>
          <cell r="KQ85"/>
          <cell r="KR85"/>
          <cell r="KS85"/>
          <cell r="KT85"/>
          <cell r="KU85"/>
          <cell r="KV85"/>
          <cell r="KW85"/>
          <cell r="KX85"/>
          <cell r="KY85"/>
          <cell r="KZ85"/>
          <cell r="LA85"/>
          <cell r="LB85"/>
          <cell r="LC85"/>
          <cell r="LD85"/>
          <cell r="LE85"/>
          <cell r="LF85"/>
          <cell r="LG85"/>
          <cell r="LH85"/>
          <cell r="LI85"/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  <cell r="GF86"/>
          <cell r="GG86"/>
          <cell r="GH86"/>
          <cell r="GI86"/>
          <cell r="GJ86"/>
          <cell r="GK86"/>
          <cell r="GL86"/>
          <cell r="GM86"/>
          <cell r="GN86"/>
          <cell r="GO86"/>
          <cell r="GP86"/>
          <cell r="GQ86"/>
          <cell r="GR86"/>
          <cell r="GS86"/>
          <cell r="GT86"/>
          <cell r="GU86"/>
          <cell r="GV86"/>
          <cell r="GW86"/>
          <cell r="GX86"/>
          <cell r="GY86"/>
          <cell r="GZ86"/>
          <cell r="HA86"/>
          <cell r="HB86"/>
          <cell r="HC86"/>
          <cell r="HD86"/>
          <cell r="HE86"/>
          <cell r="HF86"/>
          <cell r="HG86"/>
          <cell r="HH86"/>
          <cell r="HI86"/>
          <cell r="HJ86"/>
          <cell r="HK86"/>
          <cell r="HL86"/>
          <cell r="HM86"/>
          <cell r="HN86"/>
          <cell r="HO86"/>
          <cell r="HP86"/>
          <cell r="HQ86"/>
          <cell r="HR86"/>
          <cell r="HS86"/>
          <cell r="HT86"/>
          <cell r="HU86"/>
          <cell r="HV86"/>
          <cell r="HW86"/>
          <cell r="HX86"/>
          <cell r="HY86"/>
          <cell r="HZ86"/>
          <cell r="IA86"/>
          <cell r="IB86"/>
          <cell r="IC86"/>
          <cell r="ID86"/>
          <cell r="IE86"/>
          <cell r="IF86"/>
          <cell r="IG86"/>
          <cell r="IH86"/>
          <cell r="II86"/>
          <cell r="IJ86"/>
          <cell r="IK86"/>
          <cell r="IL86"/>
          <cell r="IM86"/>
          <cell r="IN86"/>
          <cell r="IO86"/>
          <cell r="IP86"/>
          <cell r="IQ86"/>
          <cell r="IR86"/>
          <cell r="IS86"/>
          <cell r="IT86"/>
          <cell r="IU86"/>
          <cell r="IV86"/>
          <cell r="IW86"/>
          <cell r="IX86"/>
          <cell r="IY86"/>
          <cell r="IZ86"/>
          <cell r="JA86"/>
          <cell r="JB86"/>
          <cell r="JC86"/>
          <cell r="JD86"/>
          <cell r="JE86"/>
          <cell r="JF86"/>
          <cell r="JG86"/>
          <cell r="JH86"/>
          <cell r="JI86"/>
          <cell r="JJ86"/>
          <cell r="JK86"/>
          <cell r="JL86"/>
          <cell r="JM86"/>
          <cell r="JN86"/>
          <cell r="JO86"/>
          <cell r="JP86"/>
          <cell r="JQ86"/>
          <cell r="JR86"/>
          <cell r="JS86"/>
          <cell r="JT86"/>
          <cell r="JU86"/>
          <cell r="JV86"/>
          <cell r="JW86"/>
          <cell r="JX86"/>
          <cell r="JY86"/>
          <cell r="JZ86"/>
          <cell r="KA86"/>
          <cell r="KB86"/>
          <cell r="KC86"/>
          <cell r="KD86"/>
          <cell r="KE86"/>
          <cell r="KF86"/>
          <cell r="KG86"/>
          <cell r="KH86"/>
          <cell r="KI86"/>
          <cell r="KJ86"/>
          <cell r="KK86"/>
          <cell r="KL86"/>
          <cell r="KM86"/>
          <cell r="KN86"/>
          <cell r="KO86"/>
          <cell r="KP86"/>
          <cell r="KQ86"/>
          <cell r="KR86"/>
          <cell r="KS86"/>
          <cell r="KT86"/>
          <cell r="KU86"/>
          <cell r="KV86"/>
          <cell r="KW86"/>
          <cell r="KX86"/>
          <cell r="KY86"/>
          <cell r="KZ86"/>
          <cell r="LA86"/>
          <cell r="LB86"/>
          <cell r="LC86"/>
          <cell r="LD86"/>
          <cell r="LE86"/>
          <cell r="LF86"/>
          <cell r="LG86"/>
          <cell r="LH86"/>
          <cell r="LI86"/>
        </row>
        <row r="87">
          <cell r="D87">
            <v>4151</v>
          </cell>
          <cell r="E87" t="str">
            <v>Tekuće održavanje javne infrastrukture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  <cell r="GF87"/>
          <cell r="GG87"/>
          <cell r="GH87"/>
          <cell r="GI87"/>
          <cell r="GJ87"/>
          <cell r="GK87"/>
          <cell r="GL87"/>
          <cell r="GM87"/>
          <cell r="GN87"/>
          <cell r="GO87"/>
          <cell r="GP87"/>
          <cell r="GQ87"/>
          <cell r="GR87"/>
          <cell r="GS87"/>
          <cell r="GT87"/>
          <cell r="GU87"/>
          <cell r="GV87"/>
          <cell r="GW87"/>
          <cell r="GX87"/>
          <cell r="GY87"/>
          <cell r="GZ87"/>
          <cell r="HA87"/>
          <cell r="HB87"/>
          <cell r="HC87"/>
          <cell r="HD87"/>
          <cell r="HE87"/>
          <cell r="HF87"/>
          <cell r="HG87"/>
          <cell r="HH87"/>
          <cell r="HI87"/>
          <cell r="HJ87"/>
          <cell r="HK87"/>
          <cell r="HL87"/>
          <cell r="HM87"/>
          <cell r="HN87"/>
          <cell r="HO87"/>
          <cell r="HP87"/>
          <cell r="HQ87"/>
          <cell r="HR87"/>
          <cell r="HS87"/>
          <cell r="HT87"/>
          <cell r="HU87"/>
          <cell r="HV87"/>
          <cell r="HW87"/>
          <cell r="HX87"/>
          <cell r="HY87"/>
          <cell r="HZ87"/>
          <cell r="IA87"/>
          <cell r="IB87"/>
          <cell r="IC87"/>
          <cell r="ID87"/>
          <cell r="IE87"/>
          <cell r="IF87"/>
          <cell r="IG87"/>
          <cell r="IH87"/>
          <cell r="II87"/>
          <cell r="IJ87"/>
          <cell r="IK87"/>
          <cell r="IL87"/>
          <cell r="IM87"/>
          <cell r="IN87"/>
          <cell r="IO87"/>
          <cell r="IP87"/>
          <cell r="IQ87"/>
          <cell r="IR87"/>
          <cell r="IS87"/>
          <cell r="IT87"/>
          <cell r="IU87"/>
          <cell r="IV87"/>
          <cell r="IW87"/>
          <cell r="IX87"/>
          <cell r="IY87"/>
          <cell r="IZ87"/>
          <cell r="JA87"/>
          <cell r="JB87"/>
          <cell r="JC87"/>
          <cell r="JD87"/>
          <cell r="JE87"/>
          <cell r="JF87"/>
          <cell r="JG87"/>
          <cell r="JH87"/>
          <cell r="JI87"/>
          <cell r="JJ87"/>
          <cell r="JK87"/>
          <cell r="JL87"/>
          <cell r="JM87"/>
          <cell r="JN87"/>
          <cell r="JO87"/>
          <cell r="JP87"/>
          <cell r="JQ87"/>
          <cell r="JR87"/>
          <cell r="JS87"/>
          <cell r="JT87"/>
          <cell r="JU87"/>
          <cell r="JV87"/>
          <cell r="JW87"/>
          <cell r="JX87"/>
          <cell r="JY87"/>
          <cell r="JZ87"/>
          <cell r="KA87"/>
          <cell r="KB87"/>
          <cell r="KC87"/>
          <cell r="KD87"/>
          <cell r="KE87"/>
          <cell r="KF87"/>
          <cell r="KG87"/>
          <cell r="KH87"/>
          <cell r="KI87"/>
          <cell r="KJ87"/>
          <cell r="KK87"/>
          <cell r="KL87"/>
          <cell r="KM87"/>
          <cell r="KN87"/>
          <cell r="KO87"/>
          <cell r="KP87"/>
          <cell r="KQ87"/>
          <cell r="KR87"/>
          <cell r="KS87"/>
          <cell r="KT87"/>
          <cell r="KU87"/>
          <cell r="KV87"/>
          <cell r="KW87"/>
          <cell r="KX87"/>
          <cell r="KY87"/>
          <cell r="KZ87"/>
          <cell r="LA87"/>
          <cell r="LB87"/>
          <cell r="LC87"/>
          <cell r="LD87"/>
          <cell r="LE87"/>
          <cell r="LF87"/>
          <cell r="LG87"/>
          <cell r="LH87"/>
          <cell r="LI87"/>
        </row>
        <row r="88">
          <cell r="D88">
            <v>4152</v>
          </cell>
          <cell r="E88" t="str">
            <v>Tekuće održavanje građevinskih objekata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  <cell r="GF88"/>
          <cell r="GG88"/>
          <cell r="GH88"/>
          <cell r="GI88"/>
          <cell r="GJ88"/>
          <cell r="GK88"/>
          <cell r="GL88"/>
          <cell r="GM88"/>
          <cell r="GN88"/>
          <cell r="GO88"/>
          <cell r="GP88"/>
          <cell r="GQ88"/>
          <cell r="GR88"/>
          <cell r="GS88"/>
          <cell r="GT88"/>
          <cell r="GU88"/>
          <cell r="GV88"/>
          <cell r="GW88"/>
          <cell r="GX88"/>
          <cell r="GY88"/>
          <cell r="GZ88"/>
          <cell r="HA88"/>
          <cell r="HB88"/>
          <cell r="HC88"/>
          <cell r="HD88"/>
          <cell r="HE88"/>
          <cell r="HF88"/>
          <cell r="HG88"/>
          <cell r="HH88"/>
          <cell r="HI88"/>
          <cell r="HJ88"/>
          <cell r="HK88"/>
          <cell r="HL88"/>
          <cell r="HM88"/>
          <cell r="HN88"/>
          <cell r="HO88"/>
          <cell r="HP88"/>
          <cell r="HQ88"/>
          <cell r="HR88"/>
          <cell r="HS88"/>
          <cell r="HT88"/>
          <cell r="HU88"/>
          <cell r="HV88"/>
          <cell r="HW88"/>
          <cell r="HX88"/>
          <cell r="HY88"/>
          <cell r="HZ88"/>
          <cell r="IA88"/>
          <cell r="IB88"/>
          <cell r="IC88"/>
          <cell r="ID88"/>
          <cell r="IE88"/>
          <cell r="IF88"/>
          <cell r="IG88"/>
          <cell r="IH88"/>
          <cell r="II88"/>
          <cell r="IJ88"/>
          <cell r="IK88"/>
          <cell r="IL88"/>
          <cell r="IM88"/>
          <cell r="IN88"/>
          <cell r="IO88"/>
          <cell r="IP88"/>
          <cell r="IQ88"/>
          <cell r="IR88"/>
          <cell r="IS88"/>
          <cell r="IT88"/>
          <cell r="IU88"/>
          <cell r="IV88"/>
          <cell r="IW88"/>
          <cell r="IX88"/>
          <cell r="IY88"/>
          <cell r="IZ88"/>
          <cell r="JA88"/>
          <cell r="JB88"/>
          <cell r="JC88"/>
          <cell r="JD88"/>
          <cell r="JE88"/>
          <cell r="JF88"/>
          <cell r="JG88"/>
          <cell r="JH88"/>
          <cell r="JI88"/>
          <cell r="JJ88"/>
          <cell r="JK88"/>
          <cell r="JL88"/>
          <cell r="JM88"/>
          <cell r="JN88"/>
          <cell r="JO88"/>
          <cell r="JP88"/>
          <cell r="JQ88"/>
          <cell r="JR88"/>
          <cell r="JS88"/>
          <cell r="JT88"/>
          <cell r="JU88"/>
          <cell r="JV88"/>
          <cell r="JW88"/>
          <cell r="JX88"/>
          <cell r="JY88"/>
          <cell r="JZ88"/>
          <cell r="KA88"/>
          <cell r="KB88"/>
          <cell r="KC88"/>
          <cell r="KD88"/>
          <cell r="KE88"/>
          <cell r="KF88"/>
          <cell r="KG88"/>
          <cell r="KH88"/>
          <cell r="KI88"/>
          <cell r="KJ88"/>
          <cell r="KK88"/>
          <cell r="KL88"/>
          <cell r="KM88"/>
          <cell r="KN88"/>
          <cell r="KO88"/>
          <cell r="KP88"/>
          <cell r="KQ88"/>
          <cell r="KR88"/>
          <cell r="KS88"/>
          <cell r="KT88"/>
          <cell r="KU88"/>
          <cell r="KV88"/>
          <cell r="KW88"/>
          <cell r="KX88"/>
          <cell r="KY88"/>
          <cell r="KZ88"/>
          <cell r="LA88"/>
          <cell r="LB88"/>
          <cell r="LC88"/>
          <cell r="LD88"/>
          <cell r="LE88"/>
          <cell r="LF88"/>
          <cell r="LG88"/>
          <cell r="LH88"/>
          <cell r="LI88"/>
        </row>
        <row r="89">
          <cell r="D89">
            <v>4153</v>
          </cell>
          <cell r="E89" t="str">
            <v>Tekuće održavanje opreme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/>
          <cell r="ED89"/>
          <cell r="EE89"/>
          <cell r="EF89"/>
          <cell r="EG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  <cell r="GF89"/>
          <cell r="GG89"/>
          <cell r="GH89"/>
          <cell r="GI89"/>
          <cell r="GJ89"/>
          <cell r="GK89"/>
          <cell r="GL89"/>
          <cell r="GM89"/>
          <cell r="GN89"/>
          <cell r="GO89"/>
          <cell r="GP89"/>
          <cell r="GQ89"/>
          <cell r="GR89"/>
          <cell r="GS89"/>
          <cell r="GT89"/>
          <cell r="GU89"/>
          <cell r="GV89"/>
          <cell r="GW89"/>
          <cell r="GX89"/>
          <cell r="GY89"/>
          <cell r="GZ89"/>
          <cell r="HA89"/>
          <cell r="HB89"/>
          <cell r="HC89"/>
          <cell r="HD89"/>
          <cell r="HE89"/>
          <cell r="HF89"/>
          <cell r="HG89"/>
          <cell r="HH89"/>
          <cell r="HI89"/>
          <cell r="HJ89"/>
          <cell r="HK89"/>
          <cell r="HL89"/>
          <cell r="HM89"/>
          <cell r="HN89"/>
          <cell r="HO89"/>
          <cell r="HP89"/>
          <cell r="HQ89"/>
          <cell r="HR89"/>
          <cell r="HS89"/>
          <cell r="HT89"/>
          <cell r="HU89"/>
          <cell r="HV89"/>
          <cell r="HW89"/>
          <cell r="HX89"/>
          <cell r="HY89"/>
          <cell r="HZ89"/>
          <cell r="IA89"/>
          <cell r="IB89"/>
          <cell r="IC89"/>
          <cell r="ID89"/>
          <cell r="IE89"/>
          <cell r="IF89"/>
          <cell r="IG89"/>
          <cell r="IH89"/>
          <cell r="II89"/>
          <cell r="IJ89"/>
          <cell r="IK89"/>
          <cell r="IL89"/>
          <cell r="IM89"/>
          <cell r="IN89"/>
          <cell r="IO89"/>
          <cell r="IP89"/>
          <cell r="IQ89"/>
          <cell r="IR89"/>
          <cell r="IS89"/>
          <cell r="IT89"/>
          <cell r="IU89"/>
          <cell r="IV89"/>
          <cell r="IW89"/>
          <cell r="IX89"/>
          <cell r="IY89"/>
          <cell r="IZ89"/>
          <cell r="JA89"/>
          <cell r="JB89"/>
          <cell r="JC89"/>
          <cell r="JD89"/>
          <cell r="JE89"/>
          <cell r="JF89"/>
          <cell r="JG89"/>
          <cell r="JH89"/>
          <cell r="JI89"/>
          <cell r="JJ89"/>
          <cell r="JK89"/>
          <cell r="JL89"/>
          <cell r="JM89"/>
          <cell r="JN89"/>
          <cell r="JO89"/>
          <cell r="JP89"/>
          <cell r="JQ89"/>
          <cell r="JR89"/>
          <cell r="JS89"/>
          <cell r="JT89"/>
          <cell r="JU89"/>
          <cell r="JV89"/>
          <cell r="JW89"/>
          <cell r="JX89"/>
          <cell r="JY89"/>
          <cell r="JZ89"/>
          <cell r="KA89"/>
          <cell r="KB89"/>
          <cell r="KC89"/>
          <cell r="KD89"/>
          <cell r="KE89"/>
          <cell r="KF89"/>
          <cell r="KG89"/>
          <cell r="KH89"/>
          <cell r="KI89"/>
          <cell r="KJ89"/>
          <cell r="KK89"/>
          <cell r="KL89"/>
          <cell r="KM89"/>
          <cell r="KN89"/>
          <cell r="KO89"/>
          <cell r="KP89"/>
          <cell r="KQ89"/>
          <cell r="KR89"/>
          <cell r="KS89"/>
          <cell r="KT89"/>
          <cell r="KU89"/>
          <cell r="KV89"/>
          <cell r="KW89"/>
          <cell r="KX89"/>
          <cell r="KY89"/>
          <cell r="KZ89"/>
          <cell r="LA89"/>
          <cell r="LB89"/>
          <cell r="LC89"/>
          <cell r="LD89"/>
          <cell r="LE89"/>
          <cell r="LF89"/>
          <cell r="LG89"/>
          <cell r="LH89"/>
          <cell r="LI89"/>
        </row>
        <row r="90">
          <cell r="C90">
            <v>416</v>
          </cell>
          <cell r="D90">
            <v>416</v>
          </cell>
          <cell r="E90" t="str">
            <v>Kamate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/>
          <cell r="FS90"/>
          <cell r="FT90"/>
          <cell r="FU90"/>
          <cell r="FV90"/>
          <cell r="FW90"/>
          <cell r="FX90"/>
          <cell r="FY90"/>
          <cell r="FZ90"/>
          <cell r="GA90"/>
          <cell r="GB90"/>
          <cell r="GC90"/>
          <cell r="GD90"/>
          <cell r="GE90"/>
          <cell r="GF90"/>
          <cell r="GG90"/>
          <cell r="GH90"/>
          <cell r="GI90"/>
          <cell r="GJ90"/>
          <cell r="GK90"/>
          <cell r="GL90"/>
          <cell r="GM90"/>
          <cell r="GN90"/>
          <cell r="GO90"/>
          <cell r="GP90"/>
          <cell r="GQ90"/>
          <cell r="GR90"/>
          <cell r="GS90"/>
          <cell r="GT90"/>
          <cell r="GU90"/>
          <cell r="GV90"/>
          <cell r="GW90"/>
          <cell r="GX90"/>
          <cell r="GY90"/>
          <cell r="GZ90"/>
          <cell r="HA90"/>
          <cell r="HB90"/>
          <cell r="HC90"/>
          <cell r="HD90"/>
          <cell r="HE90"/>
          <cell r="HF90"/>
          <cell r="HG90"/>
          <cell r="HH90"/>
          <cell r="HI90"/>
          <cell r="HJ90"/>
          <cell r="HK90"/>
          <cell r="HL90"/>
          <cell r="HM90"/>
          <cell r="HN90"/>
          <cell r="HO90"/>
          <cell r="HP90"/>
          <cell r="HQ90"/>
          <cell r="HR90"/>
          <cell r="HS90"/>
          <cell r="HT90"/>
          <cell r="HU90"/>
          <cell r="HV90"/>
          <cell r="HW90"/>
          <cell r="HX90"/>
          <cell r="HY90"/>
          <cell r="HZ90"/>
          <cell r="IA90"/>
          <cell r="IB90"/>
          <cell r="IC90"/>
          <cell r="ID90"/>
          <cell r="IE90"/>
          <cell r="IF90"/>
          <cell r="IG90"/>
          <cell r="IH90"/>
          <cell r="II90"/>
          <cell r="IJ90"/>
          <cell r="IK90"/>
          <cell r="IL90"/>
          <cell r="IM90"/>
          <cell r="IN90"/>
          <cell r="IO90"/>
          <cell r="IP90"/>
          <cell r="IQ90"/>
          <cell r="IR90"/>
          <cell r="IS90"/>
          <cell r="IT90"/>
          <cell r="IU90"/>
          <cell r="IV90"/>
          <cell r="IW90"/>
          <cell r="IX90"/>
          <cell r="IY90"/>
          <cell r="IZ90"/>
          <cell r="JA90"/>
          <cell r="JB90"/>
          <cell r="JC90"/>
          <cell r="JD90"/>
          <cell r="JE90"/>
          <cell r="JF90"/>
          <cell r="JG90"/>
          <cell r="JH90"/>
          <cell r="JI90"/>
          <cell r="JJ90"/>
          <cell r="JK90"/>
          <cell r="JL90"/>
          <cell r="JM90"/>
          <cell r="JN90"/>
          <cell r="JO90"/>
          <cell r="JP90"/>
          <cell r="JQ90"/>
          <cell r="JR90"/>
          <cell r="JS90"/>
          <cell r="JT90"/>
          <cell r="JU90"/>
          <cell r="JV90"/>
          <cell r="JW90"/>
          <cell r="JX90"/>
          <cell r="JY90"/>
          <cell r="JZ90"/>
          <cell r="KA90"/>
          <cell r="KB90"/>
          <cell r="KC90"/>
          <cell r="KD90"/>
          <cell r="KE90"/>
          <cell r="KF90"/>
          <cell r="KG90"/>
          <cell r="KH90"/>
          <cell r="KI90"/>
          <cell r="KJ90"/>
          <cell r="KK90"/>
          <cell r="KL90"/>
          <cell r="KM90"/>
          <cell r="KN90"/>
          <cell r="KO90"/>
          <cell r="KP90"/>
          <cell r="KQ90"/>
          <cell r="KR90"/>
          <cell r="KS90"/>
          <cell r="KT90"/>
          <cell r="KU90"/>
          <cell r="KV90"/>
          <cell r="KW90"/>
          <cell r="KX90"/>
          <cell r="KY90"/>
          <cell r="KZ90"/>
          <cell r="LA90"/>
          <cell r="LB90"/>
          <cell r="LC90"/>
          <cell r="LD90"/>
          <cell r="LE90"/>
          <cell r="LF90"/>
          <cell r="LG90"/>
          <cell r="LH90"/>
          <cell r="LI90"/>
        </row>
        <row r="91">
          <cell r="D91">
            <v>4161</v>
          </cell>
          <cell r="E91" t="str">
            <v>Kamate rezidentima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  <cell r="GF91"/>
          <cell r="GG91"/>
          <cell r="GH91"/>
          <cell r="GI91"/>
          <cell r="GJ91"/>
          <cell r="GK91"/>
          <cell r="GL91"/>
          <cell r="GM91"/>
          <cell r="GN91"/>
          <cell r="GO91"/>
          <cell r="GP91"/>
          <cell r="GQ91"/>
          <cell r="GR91"/>
          <cell r="GS91"/>
          <cell r="GT91"/>
          <cell r="GU91"/>
          <cell r="GV91"/>
          <cell r="GW91"/>
          <cell r="GX91"/>
          <cell r="GY91"/>
          <cell r="GZ91"/>
          <cell r="HA91"/>
          <cell r="HB91"/>
          <cell r="HC91"/>
          <cell r="HD91"/>
          <cell r="HE91"/>
          <cell r="HF91"/>
          <cell r="HG91"/>
          <cell r="HH91"/>
          <cell r="HI91"/>
          <cell r="HJ91"/>
          <cell r="HK91"/>
          <cell r="HL91"/>
          <cell r="HM91"/>
          <cell r="HN91"/>
          <cell r="HO91"/>
          <cell r="HP91"/>
          <cell r="HQ91"/>
          <cell r="HR91"/>
          <cell r="HS91"/>
          <cell r="HT91"/>
          <cell r="HU91"/>
          <cell r="HV91"/>
          <cell r="HW91"/>
          <cell r="HX91"/>
          <cell r="HY91"/>
          <cell r="HZ91"/>
          <cell r="IA91"/>
          <cell r="IB91"/>
          <cell r="IC91"/>
          <cell r="ID91"/>
          <cell r="IE91"/>
          <cell r="IF91"/>
          <cell r="IG91"/>
          <cell r="IH91"/>
          <cell r="II91"/>
          <cell r="IJ91"/>
          <cell r="IK91"/>
          <cell r="IL91"/>
          <cell r="IM91"/>
          <cell r="IN91"/>
          <cell r="IO91"/>
          <cell r="IP91"/>
          <cell r="IQ91"/>
          <cell r="IR91"/>
          <cell r="IS91"/>
          <cell r="IT91"/>
          <cell r="IU91"/>
          <cell r="IV91"/>
          <cell r="IW91"/>
          <cell r="IX91"/>
          <cell r="IY91"/>
          <cell r="IZ91"/>
          <cell r="JA91"/>
          <cell r="JB91"/>
          <cell r="JC91"/>
          <cell r="JD91"/>
          <cell r="JE91"/>
          <cell r="JF91"/>
          <cell r="JG91"/>
          <cell r="JH91"/>
          <cell r="JI91"/>
          <cell r="JJ91"/>
          <cell r="JK91"/>
          <cell r="JL91"/>
          <cell r="JM91"/>
          <cell r="JN91"/>
          <cell r="JO91"/>
          <cell r="JP91"/>
          <cell r="JQ91"/>
          <cell r="JR91"/>
          <cell r="JS91"/>
          <cell r="JT91"/>
          <cell r="JU91"/>
          <cell r="JV91"/>
          <cell r="JW91"/>
          <cell r="JX91"/>
          <cell r="JY91"/>
          <cell r="JZ91"/>
          <cell r="KA91"/>
          <cell r="KB91"/>
          <cell r="KC91"/>
          <cell r="KD91"/>
          <cell r="KE91"/>
          <cell r="KF91"/>
          <cell r="KG91"/>
          <cell r="KH91"/>
          <cell r="KI91"/>
          <cell r="KJ91"/>
          <cell r="KK91"/>
          <cell r="KL91"/>
          <cell r="KM91"/>
          <cell r="KN91"/>
          <cell r="KO91"/>
          <cell r="KP91"/>
          <cell r="KQ91"/>
          <cell r="KR91"/>
          <cell r="KS91"/>
          <cell r="KT91"/>
          <cell r="KU91"/>
          <cell r="KV91"/>
          <cell r="KW91"/>
          <cell r="KX91"/>
          <cell r="KY91"/>
          <cell r="KZ91"/>
          <cell r="LA91"/>
          <cell r="LB91"/>
          <cell r="LC91"/>
          <cell r="LD91"/>
          <cell r="LE91"/>
          <cell r="LF91"/>
          <cell r="LG91"/>
          <cell r="LH91"/>
          <cell r="LI91"/>
        </row>
        <row r="92">
          <cell r="D92">
            <v>4162</v>
          </cell>
          <cell r="E92" t="str">
            <v>Kamate nerezidentima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/>
          <cell r="EE92"/>
          <cell r="EF92"/>
          <cell r="EG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  <cell r="GF92"/>
          <cell r="GG92"/>
          <cell r="GH92"/>
          <cell r="GI92"/>
          <cell r="GJ92"/>
          <cell r="GK92"/>
          <cell r="GL92"/>
          <cell r="GM92"/>
          <cell r="GN92"/>
          <cell r="GO92"/>
          <cell r="GP92"/>
          <cell r="GQ92"/>
          <cell r="GR92"/>
          <cell r="GS92"/>
          <cell r="GT92"/>
          <cell r="GU92"/>
          <cell r="GV92"/>
          <cell r="GW92"/>
          <cell r="GX92"/>
          <cell r="GY92"/>
          <cell r="GZ92"/>
          <cell r="HA92"/>
          <cell r="HB92"/>
          <cell r="HC92"/>
          <cell r="HD92"/>
          <cell r="HE92"/>
          <cell r="HF92"/>
          <cell r="HG92"/>
          <cell r="HH92"/>
          <cell r="HI92"/>
          <cell r="HJ92"/>
          <cell r="HK92"/>
          <cell r="HL92"/>
          <cell r="HM92"/>
          <cell r="HN92"/>
          <cell r="HO92"/>
          <cell r="HP92"/>
          <cell r="HQ92"/>
          <cell r="HR92"/>
          <cell r="HS92"/>
          <cell r="HT92"/>
          <cell r="HU92"/>
          <cell r="HV92"/>
          <cell r="HW92"/>
          <cell r="HX92"/>
          <cell r="HY92"/>
          <cell r="HZ92"/>
          <cell r="IA92"/>
          <cell r="IB92"/>
          <cell r="IC92"/>
          <cell r="ID92"/>
          <cell r="IE92"/>
          <cell r="IF92"/>
          <cell r="IG92"/>
          <cell r="IH92"/>
          <cell r="II92"/>
          <cell r="IJ92"/>
          <cell r="IK92"/>
          <cell r="IL92"/>
          <cell r="IM92"/>
          <cell r="IN92"/>
          <cell r="IO92"/>
          <cell r="IP92"/>
          <cell r="IQ92"/>
          <cell r="IR92"/>
          <cell r="IS92"/>
          <cell r="IT92"/>
          <cell r="IU92"/>
          <cell r="IV92"/>
          <cell r="IW92"/>
          <cell r="IX92"/>
          <cell r="IY92"/>
          <cell r="IZ92"/>
          <cell r="JA92"/>
          <cell r="JB92"/>
          <cell r="JC92"/>
          <cell r="JD92"/>
          <cell r="JE92"/>
          <cell r="JF92"/>
          <cell r="JG92"/>
          <cell r="JH92"/>
          <cell r="JI92"/>
          <cell r="JJ92"/>
          <cell r="JK92"/>
          <cell r="JL92"/>
          <cell r="JM92"/>
          <cell r="JN92"/>
          <cell r="JO92"/>
          <cell r="JP92"/>
          <cell r="JQ92"/>
          <cell r="JR92"/>
          <cell r="JS92"/>
          <cell r="JT92"/>
          <cell r="JU92"/>
          <cell r="JV92"/>
          <cell r="JW92"/>
          <cell r="JX92"/>
          <cell r="JY92"/>
          <cell r="JZ92"/>
          <cell r="KA92"/>
          <cell r="KB92"/>
          <cell r="KC92"/>
          <cell r="KD92"/>
          <cell r="KE92"/>
          <cell r="KF92"/>
          <cell r="KG92"/>
          <cell r="KH92"/>
          <cell r="KI92"/>
          <cell r="KJ92"/>
          <cell r="KK92"/>
          <cell r="KL92"/>
          <cell r="KM92"/>
          <cell r="KN92"/>
          <cell r="KO92"/>
          <cell r="KP92"/>
          <cell r="KQ92"/>
          <cell r="KR92"/>
          <cell r="KS92"/>
          <cell r="KT92"/>
          <cell r="KU92"/>
          <cell r="KV92"/>
          <cell r="KW92"/>
          <cell r="KX92"/>
          <cell r="KY92"/>
          <cell r="KZ92"/>
          <cell r="LA92"/>
          <cell r="LB92"/>
          <cell r="LC92"/>
          <cell r="LD92"/>
          <cell r="LE92"/>
          <cell r="LF92"/>
          <cell r="LG92"/>
          <cell r="LH92"/>
          <cell r="LI92"/>
        </row>
        <row r="93">
          <cell r="C93">
            <v>417</v>
          </cell>
          <cell r="D93">
            <v>417</v>
          </cell>
          <cell r="E93" t="str">
            <v>Renta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  <cell r="GF93"/>
          <cell r="GG93"/>
          <cell r="GH93"/>
          <cell r="GI93"/>
          <cell r="GJ93"/>
          <cell r="GK93"/>
          <cell r="GL93"/>
          <cell r="GM93"/>
          <cell r="GN93"/>
          <cell r="GO93"/>
          <cell r="GP93"/>
          <cell r="GQ93"/>
          <cell r="GR93"/>
          <cell r="GS93"/>
          <cell r="GT93"/>
          <cell r="GU93"/>
          <cell r="GV93"/>
          <cell r="GW93"/>
          <cell r="GX93"/>
          <cell r="GY93"/>
          <cell r="GZ93"/>
          <cell r="HA93"/>
          <cell r="HB93"/>
          <cell r="HC93"/>
          <cell r="HD93"/>
          <cell r="HE93"/>
          <cell r="HF93"/>
          <cell r="HG93"/>
          <cell r="HH93"/>
          <cell r="HI93"/>
          <cell r="HJ93"/>
          <cell r="HK93"/>
          <cell r="HL93"/>
          <cell r="HM93"/>
          <cell r="HN93"/>
          <cell r="HO93"/>
          <cell r="HP93"/>
          <cell r="HQ93"/>
          <cell r="HR93"/>
          <cell r="HS93"/>
          <cell r="HT93"/>
          <cell r="HU93"/>
          <cell r="HV93"/>
          <cell r="HW93"/>
          <cell r="HX93"/>
          <cell r="HY93"/>
          <cell r="HZ93"/>
          <cell r="IA93"/>
          <cell r="IB93"/>
          <cell r="IC93"/>
          <cell r="ID93"/>
          <cell r="IE93"/>
          <cell r="IF93"/>
          <cell r="IG93"/>
          <cell r="IH93"/>
          <cell r="II93"/>
          <cell r="IJ93"/>
          <cell r="IK93"/>
          <cell r="IL93"/>
          <cell r="IM93"/>
          <cell r="IN93"/>
          <cell r="IO93"/>
          <cell r="IP93"/>
          <cell r="IQ93"/>
          <cell r="IR93"/>
          <cell r="IS93"/>
          <cell r="IT93"/>
          <cell r="IU93"/>
          <cell r="IV93"/>
          <cell r="IW93"/>
          <cell r="IX93"/>
          <cell r="IY93"/>
          <cell r="IZ93"/>
          <cell r="JA93"/>
          <cell r="JB93"/>
          <cell r="JC93"/>
          <cell r="JD93"/>
          <cell r="JE93"/>
          <cell r="JF93"/>
          <cell r="JG93"/>
          <cell r="JH93"/>
          <cell r="JI93"/>
          <cell r="JJ93"/>
          <cell r="JK93"/>
          <cell r="JL93"/>
          <cell r="JM93"/>
          <cell r="JN93"/>
          <cell r="JO93"/>
          <cell r="JP93"/>
          <cell r="JQ93"/>
          <cell r="JR93"/>
          <cell r="JS93"/>
          <cell r="JT93"/>
          <cell r="JU93"/>
          <cell r="JV93"/>
          <cell r="JW93"/>
          <cell r="JX93"/>
          <cell r="JY93"/>
          <cell r="JZ93"/>
          <cell r="KA93"/>
          <cell r="KB93"/>
          <cell r="KC93"/>
          <cell r="KD93"/>
          <cell r="KE93"/>
          <cell r="KF93"/>
          <cell r="KG93"/>
          <cell r="KH93"/>
          <cell r="KI93"/>
          <cell r="KJ93"/>
          <cell r="KK93"/>
          <cell r="KL93"/>
          <cell r="KM93"/>
          <cell r="KN93"/>
          <cell r="KO93"/>
          <cell r="KP93"/>
          <cell r="KQ93"/>
          <cell r="KR93"/>
          <cell r="KS93"/>
          <cell r="KT93"/>
          <cell r="KU93"/>
          <cell r="KV93"/>
          <cell r="KW93"/>
          <cell r="KX93"/>
          <cell r="KY93"/>
          <cell r="KZ93"/>
          <cell r="LA93"/>
          <cell r="LB93"/>
          <cell r="LC93"/>
          <cell r="LD93"/>
          <cell r="LE93"/>
          <cell r="LF93"/>
          <cell r="LG93"/>
          <cell r="LH93"/>
          <cell r="LI93"/>
        </row>
        <row r="94">
          <cell r="D94">
            <v>4171</v>
          </cell>
          <cell r="E94" t="str">
            <v>Zakup objekata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  <cell r="GF94"/>
          <cell r="GG94"/>
          <cell r="GH94"/>
          <cell r="GI94"/>
          <cell r="GJ94"/>
          <cell r="GK94"/>
          <cell r="GL94"/>
          <cell r="GM94"/>
          <cell r="GN94"/>
          <cell r="GO94"/>
          <cell r="GP94"/>
          <cell r="GQ94"/>
          <cell r="GR94"/>
          <cell r="GS94"/>
          <cell r="GT94"/>
          <cell r="GU94"/>
          <cell r="GV94"/>
          <cell r="GW94"/>
          <cell r="GX94"/>
          <cell r="GY94"/>
          <cell r="GZ94"/>
          <cell r="HA94"/>
          <cell r="HB94"/>
          <cell r="HC94"/>
          <cell r="HD94"/>
          <cell r="HE94"/>
          <cell r="HF94"/>
          <cell r="HG94"/>
          <cell r="HH94"/>
          <cell r="HI94"/>
          <cell r="HJ94"/>
          <cell r="HK94"/>
          <cell r="HL94"/>
          <cell r="HM94"/>
          <cell r="HN94"/>
          <cell r="HO94"/>
          <cell r="HP94"/>
          <cell r="HQ94"/>
          <cell r="HR94"/>
          <cell r="HS94"/>
          <cell r="HT94"/>
          <cell r="HU94"/>
          <cell r="HV94"/>
          <cell r="HW94"/>
          <cell r="HX94"/>
          <cell r="HY94"/>
          <cell r="HZ94"/>
          <cell r="IA94"/>
          <cell r="IB94"/>
          <cell r="IC94"/>
          <cell r="ID94"/>
          <cell r="IE94"/>
          <cell r="IF94"/>
          <cell r="IG94"/>
          <cell r="IH94"/>
          <cell r="II94"/>
          <cell r="IJ94"/>
          <cell r="IK94"/>
          <cell r="IL94"/>
          <cell r="IM94"/>
          <cell r="IN94"/>
          <cell r="IO94"/>
          <cell r="IP94"/>
          <cell r="IQ94"/>
          <cell r="IR94"/>
          <cell r="IS94"/>
          <cell r="IT94"/>
          <cell r="IU94"/>
          <cell r="IV94"/>
          <cell r="IW94"/>
          <cell r="IX94"/>
          <cell r="IY94"/>
          <cell r="IZ94"/>
          <cell r="JA94"/>
          <cell r="JB94"/>
          <cell r="JC94"/>
          <cell r="JD94"/>
          <cell r="JE94"/>
          <cell r="JF94"/>
          <cell r="JG94"/>
          <cell r="JH94"/>
          <cell r="JI94"/>
          <cell r="JJ94"/>
          <cell r="JK94"/>
          <cell r="JL94"/>
          <cell r="JM94"/>
          <cell r="JN94"/>
          <cell r="JO94"/>
          <cell r="JP94"/>
          <cell r="JQ94"/>
          <cell r="JR94"/>
          <cell r="JS94"/>
          <cell r="JT94"/>
          <cell r="JU94"/>
          <cell r="JV94"/>
          <cell r="JW94"/>
          <cell r="JX94"/>
          <cell r="JY94"/>
          <cell r="JZ94"/>
          <cell r="KA94"/>
          <cell r="KB94"/>
          <cell r="KC94"/>
          <cell r="KD94"/>
          <cell r="KE94"/>
          <cell r="KF94"/>
          <cell r="KG94"/>
          <cell r="KH94"/>
          <cell r="KI94"/>
          <cell r="KJ94"/>
          <cell r="KK94"/>
          <cell r="KL94"/>
          <cell r="KM94"/>
          <cell r="KN94"/>
          <cell r="KO94"/>
          <cell r="KP94"/>
          <cell r="KQ94"/>
          <cell r="KR94"/>
          <cell r="KS94"/>
          <cell r="KT94"/>
          <cell r="KU94"/>
          <cell r="KV94"/>
          <cell r="KW94"/>
          <cell r="KX94"/>
          <cell r="KY94"/>
          <cell r="KZ94"/>
          <cell r="LA94"/>
          <cell r="LB94"/>
          <cell r="LC94"/>
          <cell r="LD94"/>
          <cell r="LE94"/>
          <cell r="LF94"/>
          <cell r="LG94"/>
          <cell r="LH94"/>
          <cell r="LI94"/>
        </row>
        <row r="95">
          <cell r="D95">
            <v>4172</v>
          </cell>
          <cell r="E95" t="str">
            <v>Zakup opreme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  <cell r="GF95"/>
          <cell r="GG95"/>
          <cell r="GH95"/>
          <cell r="GI95"/>
          <cell r="GJ95"/>
          <cell r="GK95"/>
          <cell r="GL95"/>
          <cell r="GM95"/>
          <cell r="GN95"/>
          <cell r="GO95"/>
          <cell r="GP95"/>
          <cell r="GQ95"/>
          <cell r="GR95"/>
          <cell r="GS95"/>
          <cell r="GT95"/>
          <cell r="GU95"/>
          <cell r="GV95"/>
          <cell r="GW95"/>
          <cell r="GX95"/>
          <cell r="GY95"/>
          <cell r="GZ95"/>
          <cell r="HA95"/>
          <cell r="HB95"/>
          <cell r="HC95"/>
          <cell r="HD95"/>
          <cell r="HE95"/>
          <cell r="HF95"/>
          <cell r="HG95"/>
          <cell r="HH95"/>
          <cell r="HI95"/>
          <cell r="HJ95"/>
          <cell r="HK95"/>
          <cell r="HL95"/>
          <cell r="HM95"/>
          <cell r="HN95"/>
          <cell r="HO95"/>
          <cell r="HP95"/>
          <cell r="HQ95"/>
          <cell r="HR95"/>
          <cell r="HS95"/>
          <cell r="HT95"/>
          <cell r="HU95"/>
          <cell r="HV95"/>
          <cell r="HW95"/>
          <cell r="HX95"/>
          <cell r="HY95"/>
          <cell r="HZ95"/>
          <cell r="IA95"/>
          <cell r="IB95"/>
          <cell r="IC95"/>
          <cell r="ID95"/>
          <cell r="IE95"/>
          <cell r="IF95"/>
          <cell r="IG95"/>
          <cell r="IH95"/>
          <cell r="II95"/>
          <cell r="IJ95"/>
          <cell r="IK95"/>
          <cell r="IL95"/>
          <cell r="IM95"/>
          <cell r="IN95"/>
          <cell r="IO95"/>
          <cell r="IP95"/>
          <cell r="IQ95"/>
          <cell r="IR95"/>
          <cell r="IS95"/>
          <cell r="IT95"/>
          <cell r="IU95"/>
          <cell r="IV95"/>
          <cell r="IW95"/>
          <cell r="IX95"/>
          <cell r="IY95"/>
          <cell r="IZ95"/>
          <cell r="JA95"/>
          <cell r="JB95"/>
          <cell r="JC95"/>
          <cell r="JD95"/>
          <cell r="JE95"/>
          <cell r="JF95"/>
          <cell r="JG95"/>
          <cell r="JH95"/>
          <cell r="JI95"/>
          <cell r="JJ95"/>
          <cell r="JK95"/>
          <cell r="JL95"/>
          <cell r="JM95"/>
          <cell r="JN95"/>
          <cell r="JO95"/>
          <cell r="JP95"/>
          <cell r="JQ95"/>
          <cell r="JR95"/>
          <cell r="JS95"/>
          <cell r="JT95"/>
          <cell r="JU95"/>
          <cell r="JV95"/>
          <cell r="JW95"/>
          <cell r="JX95"/>
          <cell r="JY95"/>
          <cell r="JZ95"/>
          <cell r="KA95"/>
          <cell r="KB95"/>
          <cell r="KC95"/>
          <cell r="KD95"/>
          <cell r="KE95"/>
          <cell r="KF95"/>
          <cell r="KG95"/>
          <cell r="KH95"/>
          <cell r="KI95"/>
          <cell r="KJ95"/>
          <cell r="KK95"/>
          <cell r="KL95"/>
          <cell r="KM95"/>
          <cell r="KN95"/>
          <cell r="KO95"/>
          <cell r="KP95"/>
          <cell r="KQ95"/>
          <cell r="KR95"/>
          <cell r="KS95"/>
          <cell r="KT95"/>
          <cell r="KU95"/>
          <cell r="KV95"/>
          <cell r="KW95"/>
          <cell r="KX95"/>
          <cell r="KY95"/>
          <cell r="KZ95"/>
          <cell r="LA95"/>
          <cell r="LB95"/>
          <cell r="LC95"/>
          <cell r="LD95"/>
          <cell r="LE95"/>
          <cell r="LF95"/>
          <cell r="LG95"/>
          <cell r="LH95"/>
          <cell r="LI95"/>
        </row>
        <row r="96">
          <cell r="D96">
            <v>4173</v>
          </cell>
          <cell r="E96" t="str">
            <v>Zakup zemljišta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/>
          <cell r="ED96"/>
          <cell r="EE96"/>
          <cell r="EF96"/>
          <cell r="EG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  <cell r="GF96"/>
          <cell r="GG96"/>
          <cell r="GH96"/>
          <cell r="GI96"/>
          <cell r="GJ96"/>
          <cell r="GK96"/>
          <cell r="GL96"/>
          <cell r="GM96"/>
          <cell r="GN96"/>
          <cell r="GO96"/>
          <cell r="GP96"/>
          <cell r="GQ96"/>
          <cell r="GR96"/>
          <cell r="GS96"/>
          <cell r="GT96"/>
          <cell r="GU96"/>
          <cell r="GV96"/>
          <cell r="GW96"/>
          <cell r="GX96"/>
          <cell r="GY96"/>
          <cell r="GZ96"/>
          <cell r="HA96"/>
          <cell r="HB96"/>
          <cell r="HC96"/>
          <cell r="HD96"/>
          <cell r="HE96"/>
          <cell r="HF96"/>
          <cell r="HG96"/>
          <cell r="HH96"/>
          <cell r="HI96"/>
          <cell r="HJ96"/>
          <cell r="HK96"/>
          <cell r="HL96"/>
          <cell r="HM96"/>
          <cell r="HN96"/>
          <cell r="HO96"/>
          <cell r="HP96"/>
          <cell r="HQ96"/>
          <cell r="HR96"/>
          <cell r="HS96"/>
          <cell r="HT96"/>
          <cell r="HU96"/>
          <cell r="HV96"/>
          <cell r="HW96"/>
          <cell r="HX96"/>
          <cell r="HY96"/>
          <cell r="HZ96"/>
          <cell r="IA96"/>
          <cell r="IB96"/>
          <cell r="IC96"/>
          <cell r="ID96"/>
          <cell r="IE96"/>
          <cell r="IF96"/>
          <cell r="IG96"/>
          <cell r="IH96"/>
          <cell r="II96"/>
          <cell r="IJ96"/>
          <cell r="IK96"/>
          <cell r="IL96"/>
          <cell r="IM96"/>
          <cell r="IN96"/>
          <cell r="IO96"/>
          <cell r="IP96"/>
          <cell r="IQ96"/>
          <cell r="IR96"/>
          <cell r="IS96"/>
          <cell r="IT96"/>
          <cell r="IU96"/>
          <cell r="IV96"/>
          <cell r="IW96"/>
          <cell r="IX96"/>
          <cell r="IY96"/>
          <cell r="IZ96"/>
          <cell r="JA96"/>
          <cell r="JB96"/>
          <cell r="JC96"/>
          <cell r="JD96"/>
          <cell r="JE96"/>
          <cell r="JF96"/>
          <cell r="JG96"/>
          <cell r="JH96"/>
          <cell r="JI96"/>
          <cell r="JJ96"/>
          <cell r="JK96"/>
          <cell r="JL96"/>
          <cell r="JM96"/>
          <cell r="JN96"/>
          <cell r="JO96"/>
          <cell r="JP96"/>
          <cell r="JQ96"/>
          <cell r="JR96"/>
          <cell r="JS96"/>
          <cell r="JT96"/>
          <cell r="JU96"/>
          <cell r="JV96"/>
          <cell r="JW96"/>
          <cell r="JX96"/>
          <cell r="JY96"/>
          <cell r="JZ96"/>
          <cell r="KA96"/>
          <cell r="KB96"/>
          <cell r="KC96"/>
          <cell r="KD96"/>
          <cell r="KE96"/>
          <cell r="KF96"/>
          <cell r="KG96"/>
          <cell r="KH96"/>
          <cell r="KI96"/>
          <cell r="KJ96"/>
          <cell r="KK96"/>
          <cell r="KL96"/>
          <cell r="KM96"/>
          <cell r="KN96"/>
          <cell r="KO96"/>
          <cell r="KP96"/>
          <cell r="KQ96"/>
          <cell r="KR96"/>
          <cell r="KS96"/>
          <cell r="KT96"/>
          <cell r="KU96"/>
          <cell r="KV96"/>
          <cell r="KW96"/>
          <cell r="KX96"/>
          <cell r="KY96"/>
          <cell r="KZ96"/>
          <cell r="LA96"/>
          <cell r="LB96"/>
          <cell r="LC96"/>
          <cell r="LD96"/>
          <cell r="LE96"/>
          <cell r="LF96"/>
          <cell r="LG96"/>
          <cell r="LH96"/>
          <cell r="LI96"/>
        </row>
        <row r="97">
          <cell r="C97">
            <v>418</v>
          </cell>
          <cell r="D97">
            <v>418</v>
          </cell>
          <cell r="E97" t="str">
            <v>Subvencije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  <cell r="GF97"/>
          <cell r="GG97"/>
          <cell r="GH97"/>
          <cell r="GI97"/>
          <cell r="GJ97"/>
          <cell r="GK97"/>
          <cell r="GL97"/>
          <cell r="GM97"/>
          <cell r="GN97"/>
          <cell r="GO97"/>
          <cell r="GP97"/>
          <cell r="GQ97"/>
          <cell r="GR97"/>
          <cell r="GS97"/>
          <cell r="GT97"/>
          <cell r="GU97"/>
          <cell r="GV97"/>
          <cell r="GW97"/>
          <cell r="GX97"/>
          <cell r="GY97"/>
          <cell r="GZ97"/>
          <cell r="HA97"/>
          <cell r="HB97"/>
          <cell r="HC97"/>
          <cell r="HD97"/>
          <cell r="HE97"/>
          <cell r="HF97"/>
          <cell r="HG97"/>
          <cell r="HH97"/>
          <cell r="HI97"/>
          <cell r="HJ97"/>
          <cell r="HK97"/>
          <cell r="HL97"/>
          <cell r="HM97"/>
          <cell r="HN97"/>
          <cell r="HO97"/>
          <cell r="HP97"/>
          <cell r="HQ97"/>
          <cell r="HR97"/>
          <cell r="HS97"/>
          <cell r="HT97"/>
          <cell r="HU97"/>
          <cell r="HV97"/>
          <cell r="HW97"/>
          <cell r="HX97"/>
          <cell r="HY97"/>
          <cell r="HZ97"/>
          <cell r="IA97"/>
          <cell r="IB97"/>
          <cell r="IC97"/>
          <cell r="ID97"/>
          <cell r="IE97"/>
          <cell r="IF97"/>
          <cell r="IG97"/>
          <cell r="IH97"/>
          <cell r="II97"/>
          <cell r="IJ97"/>
          <cell r="IK97"/>
          <cell r="IL97"/>
          <cell r="IM97"/>
          <cell r="IN97"/>
          <cell r="IO97"/>
          <cell r="IP97"/>
          <cell r="IQ97"/>
          <cell r="IR97"/>
          <cell r="IS97"/>
          <cell r="IT97"/>
          <cell r="IU97"/>
          <cell r="IV97"/>
          <cell r="IW97"/>
          <cell r="IX97"/>
          <cell r="IY97"/>
          <cell r="IZ97"/>
          <cell r="JA97"/>
          <cell r="JB97"/>
          <cell r="JC97"/>
          <cell r="JD97"/>
          <cell r="JE97"/>
          <cell r="JF97"/>
          <cell r="JG97"/>
          <cell r="JH97"/>
          <cell r="JI97"/>
          <cell r="JJ97"/>
          <cell r="JK97"/>
          <cell r="JL97"/>
          <cell r="JM97"/>
          <cell r="JN97"/>
          <cell r="JO97"/>
          <cell r="JP97"/>
          <cell r="JQ97"/>
          <cell r="JR97"/>
          <cell r="JS97"/>
          <cell r="JT97"/>
          <cell r="JU97"/>
          <cell r="JV97"/>
          <cell r="JW97"/>
          <cell r="JX97"/>
          <cell r="JY97"/>
          <cell r="JZ97"/>
          <cell r="KA97"/>
          <cell r="KB97"/>
          <cell r="KC97"/>
          <cell r="KD97"/>
          <cell r="KE97"/>
          <cell r="KF97"/>
          <cell r="KG97"/>
          <cell r="KH97"/>
          <cell r="KI97"/>
          <cell r="KJ97"/>
          <cell r="KK97"/>
          <cell r="KL97"/>
          <cell r="KM97"/>
          <cell r="KN97"/>
          <cell r="KO97"/>
          <cell r="KP97"/>
          <cell r="KQ97"/>
          <cell r="KR97"/>
          <cell r="KS97"/>
          <cell r="KT97"/>
          <cell r="KU97"/>
          <cell r="KV97"/>
          <cell r="KW97"/>
          <cell r="KX97"/>
          <cell r="KY97"/>
          <cell r="KZ97"/>
          <cell r="LA97"/>
          <cell r="LB97"/>
          <cell r="LC97"/>
          <cell r="LD97"/>
          <cell r="LE97"/>
          <cell r="LF97"/>
          <cell r="LG97"/>
          <cell r="LH97"/>
          <cell r="LI97"/>
        </row>
        <row r="98">
          <cell r="D98">
            <v>4181</v>
          </cell>
          <cell r="E98" t="str">
            <v>Subvencije za proizvodnju i pružanje usluga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/>
          <cell r="EC98"/>
          <cell r="ED98"/>
          <cell r="EE98"/>
          <cell r="EF98"/>
          <cell r="EG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  <cell r="GF98"/>
          <cell r="GG98"/>
          <cell r="GH98"/>
          <cell r="GI98"/>
          <cell r="GJ98"/>
          <cell r="GK98"/>
          <cell r="GL98"/>
          <cell r="GM98"/>
          <cell r="GN98"/>
          <cell r="GO98"/>
          <cell r="GP98"/>
          <cell r="GQ98"/>
          <cell r="GR98"/>
          <cell r="GS98"/>
          <cell r="GT98"/>
          <cell r="GU98"/>
          <cell r="GV98"/>
          <cell r="GW98"/>
          <cell r="GX98"/>
          <cell r="GY98"/>
          <cell r="GZ98"/>
          <cell r="HA98"/>
          <cell r="HB98"/>
          <cell r="HC98"/>
          <cell r="HD98"/>
          <cell r="HE98"/>
          <cell r="HF98"/>
          <cell r="HG98"/>
          <cell r="HH98"/>
          <cell r="HI98"/>
          <cell r="HJ98"/>
          <cell r="HK98"/>
          <cell r="HL98"/>
          <cell r="HM98"/>
          <cell r="HN98"/>
          <cell r="HO98"/>
          <cell r="HP98"/>
          <cell r="HQ98"/>
          <cell r="HR98"/>
          <cell r="HS98"/>
          <cell r="HT98"/>
          <cell r="HU98"/>
          <cell r="HV98"/>
          <cell r="HW98"/>
          <cell r="HX98"/>
          <cell r="HY98"/>
          <cell r="HZ98"/>
          <cell r="IA98"/>
          <cell r="IB98"/>
          <cell r="IC98"/>
          <cell r="ID98"/>
          <cell r="IE98"/>
          <cell r="IF98"/>
          <cell r="IG98"/>
          <cell r="IH98"/>
          <cell r="II98"/>
          <cell r="IJ98"/>
          <cell r="IK98"/>
          <cell r="IL98"/>
          <cell r="IM98"/>
          <cell r="IN98"/>
          <cell r="IO98"/>
          <cell r="IP98"/>
          <cell r="IQ98"/>
          <cell r="IR98"/>
          <cell r="IS98"/>
          <cell r="IT98"/>
          <cell r="IU98"/>
          <cell r="IV98"/>
          <cell r="IW98"/>
          <cell r="IX98"/>
          <cell r="IY98"/>
          <cell r="IZ98"/>
          <cell r="JA98"/>
          <cell r="JB98"/>
          <cell r="JC98"/>
          <cell r="JD98"/>
          <cell r="JE98"/>
          <cell r="JF98"/>
          <cell r="JG98"/>
          <cell r="JH98"/>
          <cell r="JI98"/>
          <cell r="JJ98"/>
          <cell r="JK98"/>
          <cell r="JL98"/>
          <cell r="JM98"/>
          <cell r="JN98"/>
          <cell r="JO98"/>
          <cell r="JP98"/>
          <cell r="JQ98"/>
          <cell r="JR98"/>
          <cell r="JS98"/>
          <cell r="JT98"/>
          <cell r="JU98"/>
          <cell r="JV98"/>
          <cell r="JW98"/>
          <cell r="JX98"/>
          <cell r="JY98"/>
          <cell r="JZ98"/>
          <cell r="KA98"/>
          <cell r="KB98"/>
          <cell r="KC98"/>
          <cell r="KD98"/>
          <cell r="KE98"/>
          <cell r="KF98"/>
          <cell r="KG98"/>
          <cell r="KH98"/>
          <cell r="KI98"/>
          <cell r="KJ98"/>
          <cell r="KK98"/>
          <cell r="KL98"/>
          <cell r="KM98"/>
          <cell r="KN98"/>
          <cell r="KO98"/>
          <cell r="KP98"/>
          <cell r="KQ98"/>
          <cell r="KR98"/>
          <cell r="KS98"/>
          <cell r="KT98"/>
          <cell r="KU98"/>
          <cell r="KV98"/>
          <cell r="KW98"/>
          <cell r="KX98"/>
          <cell r="KY98"/>
          <cell r="KZ98"/>
          <cell r="LA98"/>
          <cell r="LB98"/>
          <cell r="LC98"/>
          <cell r="LD98"/>
          <cell r="LE98"/>
          <cell r="LF98"/>
          <cell r="LG98"/>
          <cell r="LH98"/>
          <cell r="LI98"/>
        </row>
        <row r="99">
          <cell r="D99">
            <v>4182</v>
          </cell>
          <cell r="E99" t="str">
            <v>Izvozne subvencije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  <cell r="GF99"/>
          <cell r="GG99"/>
          <cell r="GH99"/>
          <cell r="GI99"/>
          <cell r="GJ99"/>
          <cell r="GK99"/>
          <cell r="GL99"/>
          <cell r="GM99"/>
          <cell r="GN99"/>
          <cell r="GO99"/>
          <cell r="GP99"/>
          <cell r="GQ99"/>
          <cell r="GR99"/>
          <cell r="GS99"/>
          <cell r="GT99"/>
          <cell r="GU99"/>
          <cell r="GV99"/>
          <cell r="GW99"/>
          <cell r="GX99"/>
          <cell r="GY99"/>
          <cell r="GZ99"/>
          <cell r="HA99"/>
          <cell r="HB99"/>
          <cell r="HC99"/>
          <cell r="HD99"/>
          <cell r="HE99"/>
          <cell r="HF99"/>
          <cell r="HG99"/>
          <cell r="HH99"/>
          <cell r="HI99"/>
          <cell r="HJ99"/>
          <cell r="HK99"/>
          <cell r="HL99"/>
          <cell r="HM99"/>
          <cell r="HN99"/>
          <cell r="HO99"/>
          <cell r="HP99"/>
          <cell r="HQ99"/>
          <cell r="HR99"/>
          <cell r="HS99"/>
          <cell r="HT99"/>
          <cell r="HU99"/>
          <cell r="HV99"/>
          <cell r="HW99"/>
          <cell r="HX99"/>
          <cell r="HY99"/>
          <cell r="HZ99"/>
          <cell r="IA99"/>
          <cell r="IB99"/>
          <cell r="IC99"/>
          <cell r="ID99"/>
          <cell r="IE99"/>
          <cell r="IF99"/>
          <cell r="IG99"/>
          <cell r="IH99"/>
          <cell r="II99"/>
          <cell r="IJ99"/>
          <cell r="IK99"/>
          <cell r="IL99"/>
          <cell r="IM99"/>
          <cell r="IN99"/>
          <cell r="IO99"/>
          <cell r="IP99"/>
          <cell r="IQ99"/>
          <cell r="IR99"/>
          <cell r="IS99"/>
          <cell r="IT99"/>
          <cell r="IU99"/>
          <cell r="IV99"/>
          <cell r="IW99"/>
          <cell r="IX99"/>
          <cell r="IY99"/>
          <cell r="IZ99"/>
          <cell r="JA99"/>
          <cell r="JB99"/>
          <cell r="JC99"/>
          <cell r="JD99"/>
          <cell r="JE99"/>
          <cell r="JF99"/>
          <cell r="JG99"/>
          <cell r="JH99"/>
          <cell r="JI99"/>
          <cell r="JJ99"/>
          <cell r="JK99"/>
          <cell r="JL99"/>
          <cell r="JM99"/>
          <cell r="JN99"/>
          <cell r="JO99"/>
          <cell r="JP99"/>
          <cell r="JQ99"/>
          <cell r="JR99"/>
          <cell r="JS99"/>
          <cell r="JT99"/>
          <cell r="JU99"/>
          <cell r="JV99"/>
          <cell r="JW99"/>
          <cell r="JX99"/>
          <cell r="JY99"/>
          <cell r="JZ99"/>
          <cell r="KA99"/>
          <cell r="KB99"/>
          <cell r="KC99"/>
          <cell r="KD99"/>
          <cell r="KE99"/>
          <cell r="KF99"/>
          <cell r="KG99"/>
          <cell r="KH99"/>
          <cell r="KI99"/>
          <cell r="KJ99"/>
          <cell r="KK99"/>
          <cell r="KL99"/>
          <cell r="KM99"/>
          <cell r="KN99"/>
          <cell r="KO99"/>
          <cell r="KP99"/>
          <cell r="KQ99"/>
          <cell r="KR99"/>
          <cell r="KS99"/>
          <cell r="KT99"/>
          <cell r="KU99"/>
          <cell r="KV99"/>
          <cell r="KW99"/>
          <cell r="KX99"/>
          <cell r="KY99"/>
          <cell r="KZ99"/>
          <cell r="LA99"/>
          <cell r="LB99"/>
          <cell r="LC99"/>
          <cell r="LD99"/>
          <cell r="LE99"/>
          <cell r="LF99"/>
          <cell r="LG99"/>
          <cell r="LH99"/>
          <cell r="LI99"/>
        </row>
        <row r="100">
          <cell r="D100">
            <v>4183</v>
          </cell>
          <cell r="E100" t="str">
            <v>Uvozne subvencije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/>
          <cell r="EB100"/>
          <cell r="EC100"/>
          <cell r="ED100"/>
          <cell r="EE100"/>
          <cell r="EF100"/>
          <cell r="EG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  <cell r="GF100"/>
          <cell r="GG100"/>
          <cell r="GH100"/>
          <cell r="GI100"/>
          <cell r="GJ100"/>
          <cell r="GK100"/>
          <cell r="GL100"/>
          <cell r="GM100"/>
          <cell r="GN100"/>
          <cell r="GO100"/>
          <cell r="GP100"/>
          <cell r="GQ100"/>
          <cell r="GR100"/>
          <cell r="GS100"/>
          <cell r="GT100"/>
          <cell r="GU100"/>
          <cell r="GV100"/>
          <cell r="GW100"/>
          <cell r="GX100"/>
          <cell r="GY100"/>
          <cell r="GZ100"/>
          <cell r="HA100"/>
          <cell r="HB100"/>
          <cell r="HC100"/>
          <cell r="HD100"/>
          <cell r="HE100"/>
          <cell r="HF100"/>
          <cell r="HG100"/>
          <cell r="HH100"/>
          <cell r="HI100"/>
          <cell r="HJ100"/>
          <cell r="HK100"/>
          <cell r="HL100"/>
          <cell r="HM100"/>
          <cell r="HN100"/>
          <cell r="HO100"/>
          <cell r="HP100"/>
          <cell r="HQ100"/>
          <cell r="HR100"/>
          <cell r="HS100"/>
          <cell r="HT100"/>
          <cell r="HU100"/>
          <cell r="HV100"/>
          <cell r="HW100"/>
          <cell r="HX100"/>
          <cell r="HY100"/>
          <cell r="HZ100"/>
          <cell r="IA100"/>
          <cell r="IB100"/>
          <cell r="IC100"/>
          <cell r="ID100"/>
          <cell r="IE100"/>
          <cell r="IF100"/>
          <cell r="IG100"/>
          <cell r="IH100"/>
          <cell r="II100"/>
          <cell r="IJ100"/>
          <cell r="IK100"/>
          <cell r="IL100"/>
          <cell r="IM100"/>
          <cell r="IN100"/>
          <cell r="IO100"/>
          <cell r="IP100"/>
          <cell r="IQ100"/>
          <cell r="IR100"/>
          <cell r="IS100"/>
          <cell r="IT100"/>
          <cell r="IU100"/>
          <cell r="IV100"/>
          <cell r="IW100"/>
          <cell r="IX100"/>
          <cell r="IY100"/>
          <cell r="IZ100"/>
          <cell r="JA100"/>
          <cell r="JB100"/>
          <cell r="JC100"/>
          <cell r="JD100"/>
          <cell r="JE100"/>
          <cell r="JF100"/>
          <cell r="JG100"/>
          <cell r="JH100"/>
          <cell r="JI100"/>
          <cell r="JJ100"/>
          <cell r="JK100"/>
          <cell r="JL100"/>
          <cell r="JM100"/>
          <cell r="JN100"/>
          <cell r="JO100"/>
          <cell r="JP100"/>
          <cell r="JQ100"/>
          <cell r="JR100"/>
          <cell r="JS100"/>
          <cell r="JT100"/>
          <cell r="JU100"/>
          <cell r="JV100"/>
          <cell r="JW100"/>
          <cell r="JX100"/>
          <cell r="JY100"/>
          <cell r="JZ100"/>
          <cell r="KA100"/>
          <cell r="KB100"/>
          <cell r="KC100"/>
          <cell r="KD100"/>
          <cell r="KE100"/>
          <cell r="KF100"/>
          <cell r="KG100"/>
          <cell r="KH100"/>
          <cell r="KI100"/>
          <cell r="KJ100"/>
          <cell r="KK100"/>
          <cell r="KL100"/>
          <cell r="KM100"/>
          <cell r="KN100"/>
          <cell r="KO100"/>
          <cell r="KP100"/>
          <cell r="KQ100"/>
          <cell r="KR100"/>
          <cell r="KS100"/>
          <cell r="KT100"/>
          <cell r="KU100"/>
          <cell r="KV100"/>
          <cell r="KW100"/>
          <cell r="KX100"/>
          <cell r="KY100"/>
          <cell r="KZ100"/>
          <cell r="LA100"/>
          <cell r="LB100"/>
          <cell r="LC100"/>
          <cell r="LD100"/>
          <cell r="LE100"/>
          <cell r="LF100"/>
          <cell r="LG100"/>
          <cell r="LH100"/>
          <cell r="LI100"/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  <cell r="GF101"/>
          <cell r="GG101"/>
          <cell r="GH101"/>
          <cell r="GI101"/>
          <cell r="GJ101"/>
          <cell r="GK101"/>
          <cell r="GL101"/>
          <cell r="GM101"/>
          <cell r="GN101"/>
          <cell r="GO101"/>
          <cell r="GP101"/>
          <cell r="GQ101"/>
          <cell r="GR101"/>
          <cell r="GS101"/>
          <cell r="GT101"/>
          <cell r="GU101"/>
          <cell r="GV101"/>
          <cell r="GW101"/>
          <cell r="GX101"/>
          <cell r="GY101"/>
          <cell r="GZ101"/>
          <cell r="HA101"/>
          <cell r="HB101"/>
          <cell r="HC101"/>
          <cell r="HD101"/>
          <cell r="HE101"/>
          <cell r="HF101"/>
          <cell r="HG101"/>
          <cell r="HH101"/>
          <cell r="HI101"/>
          <cell r="HJ101"/>
          <cell r="HK101"/>
          <cell r="HL101"/>
          <cell r="HM101"/>
          <cell r="HN101"/>
          <cell r="HO101"/>
          <cell r="HP101"/>
          <cell r="HQ101"/>
          <cell r="HR101"/>
          <cell r="HS101"/>
          <cell r="HT101"/>
          <cell r="HU101"/>
          <cell r="HV101"/>
          <cell r="HW101"/>
          <cell r="HX101"/>
          <cell r="HY101"/>
          <cell r="HZ101"/>
          <cell r="IA101"/>
          <cell r="IB101"/>
          <cell r="IC101"/>
          <cell r="ID101"/>
          <cell r="IE101"/>
          <cell r="IF101"/>
          <cell r="IG101"/>
          <cell r="IH101"/>
          <cell r="II101"/>
          <cell r="IJ101"/>
          <cell r="IK101"/>
          <cell r="IL101"/>
          <cell r="IM101"/>
          <cell r="IN101"/>
          <cell r="IO101"/>
          <cell r="IP101"/>
          <cell r="IQ101"/>
          <cell r="IR101"/>
          <cell r="IS101"/>
          <cell r="IT101"/>
          <cell r="IU101"/>
          <cell r="IV101"/>
          <cell r="IW101"/>
          <cell r="IX101"/>
          <cell r="IY101"/>
          <cell r="IZ101"/>
          <cell r="JA101"/>
          <cell r="JB101"/>
          <cell r="JC101"/>
          <cell r="JD101"/>
          <cell r="JE101"/>
          <cell r="JF101"/>
          <cell r="JG101"/>
          <cell r="JH101"/>
          <cell r="JI101"/>
          <cell r="JJ101"/>
          <cell r="JK101"/>
          <cell r="JL101"/>
          <cell r="JM101"/>
          <cell r="JN101"/>
          <cell r="JO101"/>
          <cell r="JP101"/>
          <cell r="JQ101"/>
          <cell r="JR101"/>
          <cell r="JS101"/>
          <cell r="JT101"/>
          <cell r="JU101"/>
          <cell r="JV101"/>
          <cell r="JW101"/>
          <cell r="JX101"/>
          <cell r="JY101"/>
          <cell r="JZ101"/>
          <cell r="KA101"/>
          <cell r="KB101"/>
          <cell r="KC101"/>
          <cell r="KD101"/>
          <cell r="KE101"/>
          <cell r="KF101"/>
          <cell r="KG101"/>
          <cell r="KH101"/>
          <cell r="KI101"/>
          <cell r="KJ101"/>
          <cell r="KK101"/>
          <cell r="KL101"/>
          <cell r="KM101"/>
          <cell r="KN101"/>
          <cell r="KO101"/>
          <cell r="KP101"/>
          <cell r="KQ101"/>
          <cell r="KR101"/>
          <cell r="KS101"/>
          <cell r="KT101"/>
          <cell r="KU101"/>
          <cell r="KV101"/>
          <cell r="KW101"/>
          <cell r="KX101"/>
          <cell r="KY101"/>
          <cell r="KZ101"/>
          <cell r="LA101"/>
          <cell r="LB101"/>
          <cell r="LC101"/>
          <cell r="LD101"/>
          <cell r="LE101"/>
          <cell r="LF101"/>
          <cell r="LG101"/>
          <cell r="LH101"/>
          <cell r="LI101"/>
        </row>
        <row r="102">
          <cell r="D102">
            <v>4191</v>
          </cell>
          <cell r="E102" t="str">
            <v>Izdaci po osnovu isplate ugovora o djelu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  <cell r="GF102"/>
          <cell r="GG102"/>
          <cell r="GH102"/>
          <cell r="GI102"/>
          <cell r="GJ102"/>
          <cell r="GK102"/>
          <cell r="GL102"/>
          <cell r="GM102"/>
          <cell r="GN102"/>
          <cell r="GO102"/>
          <cell r="GP102"/>
          <cell r="GQ102"/>
          <cell r="GR102"/>
          <cell r="GS102"/>
          <cell r="GT102"/>
          <cell r="GU102"/>
          <cell r="GV102"/>
          <cell r="GW102"/>
          <cell r="GX102"/>
          <cell r="GY102"/>
          <cell r="GZ102"/>
          <cell r="HA102"/>
          <cell r="HB102"/>
          <cell r="HC102"/>
          <cell r="HD102"/>
          <cell r="HE102"/>
          <cell r="HF102"/>
          <cell r="HG102"/>
          <cell r="HH102"/>
          <cell r="HI102"/>
          <cell r="HJ102"/>
          <cell r="HK102"/>
          <cell r="HL102"/>
          <cell r="HM102"/>
          <cell r="HN102"/>
          <cell r="HO102"/>
          <cell r="HP102"/>
          <cell r="HQ102"/>
          <cell r="HR102"/>
          <cell r="HS102"/>
          <cell r="HT102"/>
          <cell r="HU102"/>
          <cell r="HV102"/>
          <cell r="HW102"/>
          <cell r="HX102"/>
          <cell r="HY102"/>
          <cell r="HZ102"/>
          <cell r="IA102"/>
          <cell r="IB102"/>
          <cell r="IC102"/>
          <cell r="ID102"/>
          <cell r="IE102"/>
          <cell r="IF102"/>
          <cell r="IG102"/>
          <cell r="IH102"/>
          <cell r="II102"/>
          <cell r="IJ102"/>
          <cell r="IK102"/>
          <cell r="IL102"/>
          <cell r="IM102"/>
          <cell r="IN102"/>
          <cell r="IO102"/>
          <cell r="IP102"/>
          <cell r="IQ102"/>
          <cell r="IR102"/>
          <cell r="IS102"/>
          <cell r="IT102"/>
          <cell r="IU102"/>
          <cell r="IV102"/>
          <cell r="IW102"/>
          <cell r="IX102"/>
          <cell r="IY102"/>
          <cell r="IZ102"/>
          <cell r="JA102"/>
          <cell r="JB102"/>
          <cell r="JC102"/>
          <cell r="JD102"/>
          <cell r="JE102"/>
          <cell r="JF102"/>
          <cell r="JG102"/>
          <cell r="JH102"/>
          <cell r="JI102"/>
          <cell r="JJ102"/>
          <cell r="JK102"/>
          <cell r="JL102"/>
          <cell r="JM102"/>
          <cell r="JN102"/>
          <cell r="JO102"/>
          <cell r="JP102"/>
          <cell r="JQ102"/>
          <cell r="JR102"/>
          <cell r="JS102"/>
          <cell r="JT102"/>
          <cell r="JU102"/>
          <cell r="JV102"/>
          <cell r="JW102"/>
          <cell r="JX102"/>
          <cell r="JY102"/>
          <cell r="JZ102"/>
          <cell r="KA102"/>
          <cell r="KB102"/>
          <cell r="KC102"/>
          <cell r="KD102"/>
          <cell r="KE102"/>
          <cell r="KF102"/>
          <cell r="KG102"/>
          <cell r="KH102"/>
          <cell r="KI102"/>
          <cell r="KJ102"/>
          <cell r="KK102"/>
          <cell r="KL102"/>
          <cell r="KM102"/>
          <cell r="KN102"/>
          <cell r="KO102"/>
          <cell r="KP102"/>
          <cell r="KQ102"/>
          <cell r="KR102"/>
          <cell r="KS102"/>
          <cell r="KT102"/>
          <cell r="KU102"/>
          <cell r="KV102"/>
          <cell r="KW102"/>
          <cell r="KX102"/>
          <cell r="KY102"/>
          <cell r="KZ102"/>
          <cell r="LA102"/>
          <cell r="LB102"/>
          <cell r="LC102"/>
          <cell r="LD102"/>
          <cell r="LE102"/>
          <cell r="LF102"/>
          <cell r="LG102"/>
          <cell r="LH102"/>
          <cell r="LI102"/>
        </row>
        <row r="103">
          <cell r="D103">
            <v>4192</v>
          </cell>
          <cell r="E103" t="str">
            <v>Izdaci po osnovu troškova sudskih postupaka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  <cell r="GF103"/>
          <cell r="GG103"/>
          <cell r="GH103"/>
          <cell r="GI103"/>
          <cell r="GJ103"/>
          <cell r="GK103"/>
          <cell r="GL103"/>
          <cell r="GM103"/>
          <cell r="GN103"/>
          <cell r="GO103"/>
          <cell r="GP103"/>
          <cell r="GQ103"/>
          <cell r="GR103"/>
          <cell r="GS103"/>
          <cell r="GT103"/>
          <cell r="GU103"/>
          <cell r="GV103"/>
          <cell r="GW103"/>
          <cell r="GX103"/>
          <cell r="GY103"/>
          <cell r="GZ103"/>
          <cell r="HA103"/>
          <cell r="HB103"/>
          <cell r="HC103"/>
          <cell r="HD103"/>
          <cell r="HE103"/>
          <cell r="HF103"/>
          <cell r="HG103"/>
          <cell r="HH103"/>
          <cell r="HI103"/>
          <cell r="HJ103"/>
          <cell r="HK103"/>
          <cell r="HL103"/>
          <cell r="HM103"/>
          <cell r="HN103"/>
          <cell r="HO103"/>
          <cell r="HP103"/>
          <cell r="HQ103"/>
          <cell r="HR103"/>
          <cell r="HS103"/>
          <cell r="HT103"/>
          <cell r="HU103"/>
          <cell r="HV103"/>
          <cell r="HW103"/>
          <cell r="HX103"/>
          <cell r="HY103"/>
          <cell r="HZ103"/>
          <cell r="IA103"/>
          <cell r="IB103"/>
          <cell r="IC103"/>
          <cell r="ID103"/>
          <cell r="IE103"/>
          <cell r="IF103"/>
          <cell r="IG103"/>
          <cell r="IH103"/>
          <cell r="II103"/>
          <cell r="IJ103"/>
          <cell r="IK103"/>
          <cell r="IL103"/>
          <cell r="IM103"/>
          <cell r="IN103"/>
          <cell r="IO103"/>
          <cell r="IP103"/>
          <cell r="IQ103"/>
          <cell r="IR103"/>
          <cell r="IS103"/>
          <cell r="IT103"/>
          <cell r="IU103"/>
          <cell r="IV103"/>
          <cell r="IW103"/>
          <cell r="IX103"/>
          <cell r="IY103"/>
          <cell r="IZ103"/>
          <cell r="JA103"/>
          <cell r="JB103"/>
          <cell r="JC103"/>
          <cell r="JD103"/>
          <cell r="JE103"/>
          <cell r="JF103"/>
          <cell r="JG103"/>
          <cell r="JH103"/>
          <cell r="JI103"/>
          <cell r="JJ103"/>
          <cell r="JK103"/>
          <cell r="JL103"/>
          <cell r="JM103"/>
          <cell r="JN103"/>
          <cell r="JO103"/>
          <cell r="JP103"/>
          <cell r="JQ103"/>
          <cell r="JR103"/>
          <cell r="JS103"/>
          <cell r="JT103"/>
          <cell r="JU103"/>
          <cell r="JV103"/>
          <cell r="JW103"/>
          <cell r="JX103"/>
          <cell r="JY103"/>
          <cell r="JZ103"/>
          <cell r="KA103"/>
          <cell r="KB103"/>
          <cell r="KC103"/>
          <cell r="KD103"/>
          <cell r="KE103"/>
          <cell r="KF103"/>
          <cell r="KG103"/>
          <cell r="KH103"/>
          <cell r="KI103"/>
          <cell r="KJ103"/>
          <cell r="KK103"/>
          <cell r="KL103"/>
          <cell r="KM103"/>
          <cell r="KN103"/>
          <cell r="KO103"/>
          <cell r="KP103"/>
          <cell r="KQ103"/>
          <cell r="KR103"/>
          <cell r="KS103"/>
          <cell r="KT103"/>
          <cell r="KU103"/>
          <cell r="KV103"/>
          <cell r="KW103"/>
          <cell r="KX103"/>
          <cell r="KY103"/>
          <cell r="KZ103"/>
          <cell r="LA103"/>
          <cell r="LB103"/>
          <cell r="LC103"/>
          <cell r="LD103"/>
          <cell r="LE103"/>
          <cell r="LF103"/>
          <cell r="LG103"/>
          <cell r="LH103"/>
          <cell r="LI103"/>
        </row>
        <row r="104">
          <cell r="D104">
            <v>4193</v>
          </cell>
          <cell r="E104" t="str">
            <v>Izrada i održavanje softvera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  <cell r="GF104"/>
          <cell r="GG104"/>
          <cell r="GH104"/>
          <cell r="GI104"/>
          <cell r="GJ104"/>
          <cell r="GK104"/>
          <cell r="GL104"/>
          <cell r="GM104"/>
          <cell r="GN104"/>
          <cell r="GO104"/>
          <cell r="GP104"/>
          <cell r="GQ104"/>
          <cell r="GR104"/>
          <cell r="GS104"/>
          <cell r="GT104"/>
          <cell r="GU104"/>
          <cell r="GV104"/>
          <cell r="GW104"/>
          <cell r="GX104"/>
          <cell r="GY104"/>
          <cell r="GZ104"/>
          <cell r="HA104"/>
          <cell r="HB104"/>
          <cell r="HC104"/>
          <cell r="HD104"/>
          <cell r="HE104"/>
          <cell r="HF104"/>
          <cell r="HG104"/>
          <cell r="HH104"/>
          <cell r="HI104"/>
          <cell r="HJ104"/>
          <cell r="HK104"/>
          <cell r="HL104"/>
          <cell r="HM104"/>
          <cell r="HN104"/>
          <cell r="HO104"/>
          <cell r="HP104"/>
          <cell r="HQ104"/>
          <cell r="HR104"/>
          <cell r="HS104"/>
          <cell r="HT104"/>
          <cell r="HU104"/>
          <cell r="HV104"/>
          <cell r="HW104"/>
          <cell r="HX104"/>
          <cell r="HY104"/>
          <cell r="HZ104"/>
          <cell r="IA104"/>
          <cell r="IB104"/>
          <cell r="IC104"/>
          <cell r="ID104"/>
          <cell r="IE104"/>
          <cell r="IF104"/>
          <cell r="IG104"/>
          <cell r="IH104"/>
          <cell r="II104"/>
          <cell r="IJ104"/>
          <cell r="IK104"/>
          <cell r="IL104"/>
          <cell r="IM104"/>
          <cell r="IN104"/>
          <cell r="IO104"/>
          <cell r="IP104"/>
          <cell r="IQ104"/>
          <cell r="IR104"/>
          <cell r="IS104"/>
          <cell r="IT104"/>
          <cell r="IU104"/>
          <cell r="IV104"/>
          <cell r="IW104"/>
          <cell r="IX104"/>
          <cell r="IY104"/>
          <cell r="IZ104"/>
          <cell r="JA104"/>
          <cell r="JB104"/>
          <cell r="JC104"/>
          <cell r="JD104"/>
          <cell r="JE104"/>
          <cell r="JF104"/>
          <cell r="JG104"/>
          <cell r="JH104"/>
          <cell r="JI104"/>
          <cell r="JJ104"/>
          <cell r="JK104"/>
          <cell r="JL104"/>
          <cell r="JM104"/>
          <cell r="JN104"/>
          <cell r="JO104"/>
          <cell r="JP104"/>
          <cell r="JQ104"/>
          <cell r="JR104"/>
          <cell r="JS104"/>
          <cell r="JT104"/>
          <cell r="JU104"/>
          <cell r="JV104"/>
          <cell r="JW104"/>
          <cell r="JX104"/>
          <cell r="JY104"/>
          <cell r="JZ104"/>
          <cell r="KA104"/>
          <cell r="KB104"/>
          <cell r="KC104"/>
          <cell r="KD104"/>
          <cell r="KE104"/>
          <cell r="KF104"/>
          <cell r="KG104"/>
          <cell r="KH104"/>
          <cell r="KI104"/>
          <cell r="KJ104"/>
          <cell r="KK104"/>
          <cell r="KL104"/>
          <cell r="KM104"/>
          <cell r="KN104"/>
          <cell r="KO104"/>
          <cell r="KP104"/>
          <cell r="KQ104"/>
          <cell r="KR104"/>
          <cell r="KS104"/>
          <cell r="KT104"/>
          <cell r="KU104"/>
          <cell r="KV104"/>
          <cell r="KW104"/>
          <cell r="KX104"/>
          <cell r="KY104"/>
          <cell r="KZ104"/>
          <cell r="LA104"/>
          <cell r="LB104"/>
          <cell r="LC104"/>
          <cell r="LD104"/>
          <cell r="LE104"/>
          <cell r="LF104"/>
          <cell r="LG104"/>
          <cell r="LH104"/>
          <cell r="LI104"/>
        </row>
        <row r="105">
          <cell r="D105">
            <v>4194</v>
          </cell>
          <cell r="E105" t="str">
            <v>Osiguranje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  <cell r="GF105"/>
          <cell r="GG105"/>
          <cell r="GH105"/>
          <cell r="GI105"/>
          <cell r="GJ105"/>
          <cell r="GK105"/>
          <cell r="GL105"/>
          <cell r="GM105"/>
          <cell r="GN105"/>
          <cell r="GO105"/>
          <cell r="GP105"/>
          <cell r="GQ105"/>
          <cell r="GR105"/>
          <cell r="GS105"/>
          <cell r="GT105"/>
          <cell r="GU105"/>
          <cell r="GV105"/>
          <cell r="GW105"/>
          <cell r="GX105"/>
          <cell r="GY105"/>
          <cell r="GZ105"/>
          <cell r="HA105"/>
          <cell r="HB105"/>
          <cell r="HC105"/>
          <cell r="HD105"/>
          <cell r="HE105"/>
          <cell r="HF105"/>
          <cell r="HG105"/>
          <cell r="HH105"/>
          <cell r="HI105"/>
          <cell r="HJ105"/>
          <cell r="HK105"/>
          <cell r="HL105"/>
          <cell r="HM105"/>
          <cell r="HN105"/>
          <cell r="HO105"/>
          <cell r="HP105"/>
          <cell r="HQ105"/>
          <cell r="HR105"/>
          <cell r="HS105"/>
          <cell r="HT105"/>
          <cell r="HU105"/>
          <cell r="HV105"/>
          <cell r="HW105"/>
          <cell r="HX105"/>
          <cell r="HY105"/>
          <cell r="HZ105"/>
          <cell r="IA105"/>
          <cell r="IB105"/>
          <cell r="IC105"/>
          <cell r="ID105"/>
          <cell r="IE105"/>
          <cell r="IF105"/>
          <cell r="IG105"/>
          <cell r="IH105"/>
          <cell r="II105"/>
          <cell r="IJ105"/>
          <cell r="IK105"/>
          <cell r="IL105"/>
          <cell r="IM105"/>
          <cell r="IN105"/>
          <cell r="IO105"/>
          <cell r="IP105"/>
          <cell r="IQ105"/>
          <cell r="IR105"/>
          <cell r="IS105"/>
          <cell r="IT105"/>
          <cell r="IU105"/>
          <cell r="IV105"/>
          <cell r="IW105"/>
          <cell r="IX105"/>
          <cell r="IY105"/>
          <cell r="IZ105"/>
          <cell r="JA105"/>
          <cell r="JB105"/>
          <cell r="JC105"/>
          <cell r="JD105"/>
          <cell r="JE105"/>
          <cell r="JF105"/>
          <cell r="JG105"/>
          <cell r="JH105"/>
          <cell r="JI105"/>
          <cell r="JJ105"/>
          <cell r="JK105"/>
          <cell r="JL105"/>
          <cell r="JM105"/>
          <cell r="JN105"/>
          <cell r="JO105"/>
          <cell r="JP105"/>
          <cell r="JQ105"/>
          <cell r="JR105"/>
          <cell r="JS105"/>
          <cell r="JT105"/>
          <cell r="JU105"/>
          <cell r="JV105"/>
          <cell r="JW105"/>
          <cell r="JX105"/>
          <cell r="JY105"/>
          <cell r="JZ105"/>
          <cell r="KA105"/>
          <cell r="KB105"/>
          <cell r="KC105"/>
          <cell r="KD105"/>
          <cell r="KE105"/>
          <cell r="KF105"/>
          <cell r="KG105"/>
          <cell r="KH105"/>
          <cell r="KI105"/>
          <cell r="KJ105"/>
          <cell r="KK105"/>
          <cell r="KL105"/>
          <cell r="KM105"/>
          <cell r="KN105"/>
          <cell r="KO105"/>
          <cell r="KP105"/>
          <cell r="KQ105"/>
          <cell r="KR105"/>
          <cell r="KS105"/>
          <cell r="KT105"/>
          <cell r="KU105"/>
          <cell r="KV105"/>
          <cell r="KW105"/>
          <cell r="KX105"/>
          <cell r="KY105"/>
          <cell r="KZ105"/>
          <cell r="LA105"/>
          <cell r="LB105"/>
          <cell r="LC105"/>
          <cell r="LD105"/>
          <cell r="LE105"/>
          <cell r="LF105"/>
          <cell r="LG105"/>
          <cell r="LH105"/>
          <cell r="LI105"/>
        </row>
        <row r="106">
          <cell r="D106">
            <v>4195</v>
          </cell>
          <cell r="E106" t="str">
            <v>Kontribucije za članstvo u domaćim i međunarodnim organizacijama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  <cell r="GF106"/>
          <cell r="GG106"/>
          <cell r="GH106"/>
          <cell r="GI106"/>
          <cell r="GJ106"/>
          <cell r="GK106"/>
          <cell r="GL106"/>
          <cell r="GM106"/>
          <cell r="GN106"/>
          <cell r="GO106"/>
          <cell r="GP106"/>
          <cell r="GQ106"/>
          <cell r="GR106"/>
          <cell r="GS106"/>
          <cell r="GT106"/>
          <cell r="GU106"/>
          <cell r="GV106"/>
          <cell r="GW106"/>
          <cell r="GX106"/>
          <cell r="GY106"/>
          <cell r="GZ106"/>
          <cell r="HA106"/>
          <cell r="HB106"/>
          <cell r="HC106"/>
          <cell r="HD106"/>
          <cell r="HE106"/>
          <cell r="HF106"/>
          <cell r="HG106"/>
          <cell r="HH106"/>
          <cell r="HI106"/>
          <cell r="HJ106"/>
          <cell r="HK106"/>
          <cell r="HL106"/>
          <cell r="HM106"/>
          <cell r="HN106"/>
          <cell r="HO106"/>
          <cell r="HP106"/>
          <cell r="HQ106"/>
          <cell r="HR106"/>
          <cell r="HS106"/>
          <cell r="HT106"/>
          <cell r="HU106"/>
          <cell r="HV106"/>
          <cell r="HW106"/>
          <cell r="HX106"/>
          <cell r="HY106"/>
          <cell r="HZ106"/>
          <cell r="IA106"/>
          <cell r="IB106"/>
          <cell r="IC106"/>
          <cell r="ID106"/>
          <cell r="IE106"/>
          <cell r="IF106"/>
          <cell r="IG106"/>
          <cell r="IH106"/>
          <cell r="II106"/>
          <cell r="IJ106"/>
          <cell r="IK106"/>
          <cell r="IL106"/>
          <cell r="IM106"/>
          <cell r="IN106"/>
          <cell r="IO106"/>
          <cell r="IP106"/>
          <cell r="IQ106"/>
          <cell r="IR106"/>
          <cell r="IS106"/>
          <cell r="IT106"/>
          <cell r="IU106"/>
          <cell r="IV106"/>
          <cell r="IW106"/>
          <cell r="IX106"/>
          <cell r="IY106"/>
          <cell r="IZ106"/>
          <cell r="JA106"/>
          <cell r="JB106"/>
          <cell r="JC106"/>
          <cell r="JD106"/>
          <cell r="JE106"/>
          <cell r="JF106"/>
          <cell r="JG106"/>
          <cell r="JH106"/>
          <cell r="JI106"/>
          <cell r="JJ106"/>
          <cell r="JK106"/>
          <cell r="JL106"/>
          <cell r="JM106"/>
          <cell r="JN106"/>
          <cell r="JO106"/>
          <cell r="JP106"/>
          <cell r="JQ106"/>
          <cell r="JR106"/>
          <cell r="JS106"/>
          <cell r="JT106"/>
          <cell r="JU106"/>
          <cell r="JV106"/>
          <cell r="JW106"/>
          <cell r="JX106"/>
          <cell r="JY106"/>
          <cell r="JZ106"/>
          <cell r="KA106"/>
          <cell r="KB106"/>
          <cell r="KC106"/>
          <cell r="KD106"/>
          <cell r="KE106"/>
          <cell r="KF106"/>
          <cell r="KG106"/>
          <cell r="KH106"/>
          <cell r="KI106"/>
          <cell r="KJ106"/>
          <cell r="KK106"/>
          <cell r="KL106"/>
          <cell r="KM106"/>
          <cell r="KN106"/>
          <cell r="KO106"/>
          <cell r="KP106"/>
          <cell r="KQ106"/>
          <cell r="KR106"/>
          <cell r="KS106"/>
          <cell r="KT106"/>
          <cell r="KU106"/>
          <cell r="KV106"/>
          <cell r="KW106"/>
          <cell r="KX106"/>
          <cell r="KY106"/>
          <cell r="KZ106"/>
          <cell r="LA106"/>
          <cell r="LB106"/>
          <cell r="LC106"/>
          <cell r="LD106"/>
          <cell r="LE106"/>
          <cell r="LF106"/>
          <cell r="LG106"/>
          <cell r="LH106"/>
          <cell r="LI106"/>
        </row>
        <row r="107">
          <cell r="D107">
            <v>4196</v>
          </cell>
          <cell r="E107" t="str">
            <v>Komunalne naknade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  <cell r="FM107"/>
          <cell r="FN107"/>
          <cell r="FO107"/>
          <cell r="FP107"/>
          <cell r="FQ107"/>
          <cell r="FR107"/>
          <cell r="FS107"/>
          <cell r="FT107"/>
          <cell r="FU107"/>
          <cell r="FV107"/>
          <cell r="FW107"/>
          <cell r="FX107"/>
          <cell r="FY107"/>
          <cell r="FZ107"/>
          <cell r="GA107"/>
          <cell r="GB107"/>
          <cell r="GC107"/>
          <cell r="GD107"/>
          <cell r="GE107"/>
          <cell r="GF107"/>
          <cell r="GG107"/>
          <cell r="GH107"/>
          <cell r="GI107"/>
          <cell r="GJ107"/>
          <cell r="GK107"/>
          <cell r="GL107"/>
          <cell r="GM107"/>
          <cell r="GN107"/>
          <cell r="GO107"/>
          <cell r="GP107"/>
          <cell r="GQ107"/>
          <cell r="GR107"/>
          <cell r="GS107"/>
          <cell r="GT107"/>
          <cell r="GU107"/>
          <cell r="GV107"/>
          <cell r="GW107"/>
          <cell r="GX107"/>
          <cell r="GY107"/>
          <cell r="GZ107"/>
          <cell r="HA107"/>
          <cell r="HB107"/>
          <cell r="HC107"/>
          <cell r="HD107"/>
          <cell r="HE107"/>
          <cell r="HF107"/>
          <cell r="HG107"/>
          <cell r="HH107"/>
          <cell r="HI107"/>
          <cell r="HJ107"/>
          <cell r="HK107"/>
          <cell r="HL107"/>
          <cell r="HM107"/>
          <cell r="HN107"/>
          <cell r="HO107"/>
          <cell r="HP107"/>
          <cell r="HQ107"/>
          <cell r="HR107"/>
          <cell r="HS107"/>
          <cell r="HT107"/>
          <cell r="HU107"/>
          <cell r="HV107"/>
          <cell r="HW107"/>
          <cell r="HX107"/>
          <cell r="HY107"/>
          <cell r="HZ107"/>
          <cell r="IA107"/>
          <cell r="IB107"/>
          <cell r="IC107"/>
          <cell r="ID107"/>
          <cell r="IE107"/>
          <cell r="IF107"/>
          <cell r="IG107"/>
          <cell r="IH107"/>
          <cell r="II107"/>
          <cell r="IJ107"/>
          <cell r="IK107"/>
          <cell r="IL107"/>
          <cell r="IM107"/>
          <cell r="IN107"/>
          <cell r="IO107"/>
          <cell r="IP107"/>
          <cell r="IQ107"/>
          <cell r="IR107"/>
          <cell r="IS107"/>
          <cell r="IT107"/>
          <cell r="IU107"/>
          <cell r="IV107"/>
          <cell r="IW107"/>
          <cell r="IX107"/>
          <cell r="IY107"/>
          <cell r="IZ107"/>
          <cell r="JA107"/>
          <cell r="JB107"/>
          <cell r="JC107"/>
          <cell r="JD107"/>
          <cell r="JE107"/>
          <cell r="JF107"/>
          <cell r="JG107"/>
          <cell r="JH107"/>
          <cell r="JI107"/>
          <cell r="JJ107"/>
          <cell r="JK107"/>
          <cell r="JL107"/>
          <cell r="JM107"/>
          <cell r="JN107"/>
          <cell r="JO107"/>
          <cell r="JP107"/>
          <cell r="JQ107"/>
          <cell r="JR107"/>
          <cell r="JS107"/>
          <cell r="JT107"/>
          <cell r="JU107"/>
          <cell r="JV107"/>
          <cell r="JW107"/>
          <cell r="JX107"/>
          <cell r="JY107"/>
          <cell r="JZ107"/>
          <cell r="KA107"/>
          <cell r="KB107"/>
          <cell r="KC107"/>
          <cell r="KD107"/>
          <cell r="KE107"/>
          <cell r="KF107"/>
          <cell r="KG107"/>
          <cell r="KH107"/>
          <cell r="KI107"/>
          <cell r="KJ107"/>
          <cell r="KK107"/>
          <cell r="KL107"/>
          <cell r="KM107"/>
          <cell r="KN107"/>
          <cell r="KO107"/>
          <cell r="KP107"/>
          <cell r="KQ107"/>
          <cell r="KR107"/>
          <cell r="KS107"/>
          <cell r="KT107"/>
          <cell r="KU107"/>
          <cell r="KV107"/>
          <cell r="KW107"/>
          <cell r="KX107"/>
          <cell r="KY107"/>
          <cell r="KZ107"/>
          <cell r="LA107"/>
          <cell r="LB107"/>
          <cell r="LC107"/>
          <cell r="LD107"/>
          <cell r="LE107"/>
          <cell r="LF107"/>
          <cell r="LG107"/>
          <cell r="LH107"/>
          <cell r="LI107"/>
        </row>
        <row r="108">
          <cell r="D108">
            <v>4197</v>
          </cell>
          <cell r="E108" t="str">
            <v>Kazne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  <cell r="GF108"/>
          <cell r="GG108"/>
          <cell r="GH108"/>
          <cell r="GI108"/>
          <cell r="GJ108"/>
          <cell r="GK108"/>
          <cell r="GL108"/>
          <cell r="GM108"/>
          <cell r="GN108"/>
          <cell r="GO108"/>
          <cell r="GP108"/>
          <cell r="GQ108"/>
          <cell r="GR108"/>
          <cell r="GS108"/>
          <cell r="GT108"/>
          <cell r="GU108"/>
          <cell r="GV108"/>
          <cell r="GW108"/>
          <cell r="GX108"/>
          <cell r="GY108"/>
          <cell r="GZ108"/>
          <cell r="HA108"/>
          <cell r="HB108"/>
          <cell r="HC108"/>
          <cell r="HD108"/>
          <cell r="HE108"/>
          <cell r="HF108"/>
          <cell r="HG108"/>
          <cell r="HH108"/>
          <cell r="HI108"/>
          <cell r="HJ108"/>
          <cell r="HK108"/>
          <cell r="HL108"/>
          <cell r="HM108"/>
          <cell r="HN108"/>
          <cell r="HO108"/>
          <cell r="HP108"/>
          <cell r="HQ108"/>
          <cell r="HR108"/>
          <cell r="HS108"/>
          <cell r="HT108"/>
          <cell r="HU108"/>
          <cell r="HV108"/>
          <cell r="HW108"/>
          <cell r="HX108"/>
          <cell r="HY108"/>
          <cell r="HZ108"/>
          <cell r="IA108"/>
          <cell r="IB108"/>
          <cell r="IC108"/>
          <cell r="ID108"/>
          <cell r="IE108"/>
          <cell r="IF108"/>
          <cell r="IG108"/>
          <cell r="IH108"/>
          <cell r="II108"/>
          <cell r="IJ108"/>
          <cell r="IK108"/>
          <cell r="IL108"/>
          <cell r="IM108"/>
          <cell r="IN108"/>
          <cell r="IO108"/>
          <cell r="IP108"/>
          <cell r="IQ108"/>
          <cell r="IR108"/>
          <cell r="IS108"/>
          <cell r="IT108"/>
          <cell r="IU108"/>
          <cell r="IV108"/>
          <cell r="IW108"/>
          <cell r="IX108"/>
          <cell r="IY108"/>
          <cell r="IZ108"/>
          <cell r="JA108"/>
          <cell r="JB108"/>
          <cell r="JC108"/>
          <cell r="JD108"/>
          <cell r="JE108"/>
          <cell r="JF108"/>
          <cell r="JG108"/>
          <cell r="JH108"/>
          <cell r="JI108"/>
          <cell r="JJ108"/>
          <cell r="JK108"/>
          <cell r="JL108"/>
          <cell r="JM108"/>
          <cell r="JN108"/>
          <cell r="JO108"/>
          <cell r="JP108"/>
          <cell r="JQ108"/>
          <cell r="JR108"/>
          <cell r="JS108"/>
          <cell r="JT108"/>
          <cell r="JU108"/>
          <cell r="JV108"/>
          <cell r="JW108"/>
          <cell r="JX108"/>
          <cell r="JY108"/>
          <cell r="JZ108"/>
          <cell r="KA108"/>
          <cell r="KB108"/>
          <cell r="KC108"/>
          <cell r="KD108"/>
          <cell r="KE108"/>
          <cell r="KF108"/>
          <cell r="KG108"/>
          <cell r="KH108"/>
          <cell r="KI108"/>
          <cell r="KJ108"/>
          <cell r="KK108"/>
          <cell r="KL108"/>
          <cell r="KM108"/>
          <cell r="KN108"/>
          <cell r="KO108"/>
          <cell r="KP108"/>
          <cell r="KQ108"/>
          <cell r="KR108"/>
          <cell r="KS108"/>
          <cell r="KT108"/>
          <cell r="KU108"/>
          <cell r="KV108"/>
          <cell r="KW108"/>
          <cell r="KX108"/>
          <cell r="KY108"/>
          <cell r="KZ108"/>
          <cell r="LA108"/>
          <cell r="LB108"/>
          <cell r="LC108"/>
          <cell r="LD108"/>
          <cell r="LE108"/>
          <cell r="LF108"/>
          <cell r="LG108"/>
          <cell r="LH108"/>
          <cell r="LI108"/>
        </row>
        <row r="109">
          <cell r="D109">
            <v>4198</v>
          </cell>
          <cell r="E109" t="str">
            <v>Takse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  <cell r="GF109"/>
          <cell r="GG109"/>
          <cell r="GH109"/>
          <cell r="GI109"/>
          <cell r="GJ109"/>
          <cell r="GK109"/>
          <cell r="GL109"/>
          <cell r="GM109"/>
          <cell r="GN109"/>
          <cell r="GO109"/>
          <cell r="GP109"/>
          <cell r="GQ109"/>
          <cell r="GR109"/>
          <cell r="GS109"/>
          <cell r="GT109"/>
          <cell r="GU109"/>
          <cell r="GV109"/>
          <cell r="GW109"/>
          <cell r="GX109"/>
          <cell r="GY109"/>
          <cell r="GZ109"/>
          <cell r="HA109"/>
          <cell r="HB109"/>
          <cell r="HC109"/>
          <cell r="HD109"/>
          <cell r="HE109"/>
          <cell r="HF109"/>
          <cell r="HG109"/>
          <cell r="HH109"/>
          <cell r="HI109"/>
          <cell r="HJ109"/>
          <cell r="HK109"/>
          <cell r="HL109"/>
          <cell r="HM109"/>
          <cell r="HN109"/>
          <cell r="HO109"/>
          <cell r="HP109"/>
          <cell r="HQ109"/>
          <cell r="HR109"/>
          <cell r="HS109"/>
          <cell r="HT109"/>
          <cell r="HU109"/>
          <cell r="HV109"/>
          <cell r="HW109"/>
          <cell r="HX109"/>
          <cell r="HY109"/>
          <cell r="HZ109"/>
          <cell r="IA109"/>
          <cell r="IB109"/>
          <cell r="IC109"/>
          <cell r="ID109"/>
          <cell r="IE109"/>
          <cell r="IF109"/>
          <cell r="IG109"/>
          <cell r="IH109"/>
          <cell r="II109"/>
          <cell r="IJ109"/>
          <cell r="IK109"/>
          <cell r="IL109"/>
          <cell r="IM109"/>
          <cell r="IN109"/>
          <cell r="IO109"/>
          <cell r="IP109"/>
          <cell r="IQ109"/>
          <cell r="IR109"/>
          <cell r="IS109"/>
          <cell r="IT109"/>
          <cell r="IU109"/>
          <cell r="IV109"/>
          <cell r="IW109"/>
          <cell r="IX109"/>
          <cell r="IY109"/>
          <cell r="IZ109"/>
          <cell r="JA109"/>
          <cell r="JB109"/>
          <cell r="JC109"/>
          <cell r="JD109"/>
          <cell r="JE109"/>
          <cell r="JF109"/>
          <cell r="JG109"/>
          <cell r="JH109"/>
          <cell r="JI109"/>
          <cell r="JJ109"/>
          <cell r="JK109"/>
          <cell r="JL109"/>
          <cell r="JM109"/>
          <cell r="JN109"/>
          <cell r="JO109"/>
          <cell r="JP109"/>
          <cell r="JQ109"/>
          <cell r="JR109"/>
          <cell r="JS109"/>
          <cell r="JT109"/>
          <cell r="JU109"/>
          <cell r="JV109"/>
          <cell r="JW109"/>
          <cell r="JX109"/>
          <cell r="JY109"/>
          <cell r="JZ109"/>
          <cell r="KA109"/>
          <cell r="KB109"/>
          <cell r="KC109"/>
          <cell r="KD109"/>
          <cell r="KE109"/>
          <cell r="KF109"/>
          <cell r="KG109"/>
          <cell r="KH109"/>
          <cell r="KI109"/>
          <cell r="KJ109"/>
          <cell r="KK109"/>
          <cell r="KL109"/>
          <cell r="KM109"/>
          <cell r="KN109"/>
          <cell r="KO109"/>
          <cell r="KP109"/>
          <cell r="KQ109"/>
          <cell r="KR109"/>
          <cell r="KS109"/>
          <cell r="KT109"/>
          <cell r="KU109"/>
          <cell r="KV109"/>
          <cell r="KW109"/>
          <cell r="KX109"/>
          <cell r="KY109"/>
          <cell r="KZ109"/>
          <cell r="LA109"/>
          <cell r="LB109"/>
          <cell r="LC109"/>
          <cell r="LD109"/>
          <cell r="LE109"/>
          <cell r="LF109"/>
          <cell r="LG109"/>
          <cell r="LH109"/>
          <cell r="LI109"/>
        </row>
        <row r="110">
          <cell r="D110">
            <v>4199</v>
          </cell>
          <cell r="E110" t="str">
            <v>Ostalo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  <cell r="GF110"/>
          <cell r="GG110"/>
          <cell r="GH110"/>
          <cell r="GI110"/>
          <cell r="GJ110"/>
          <cell r="GK110"/>
          <cell r="GL110"/>
          <cell r="GM110"/>
          <cell r="GN110"/>
          <cell r="GO110"/>
          <cell r="GP110"/>
          <cell r="GQ110"/>
          <cell r="GR110"/>
          <cell r="GS110"/>
          <cell r="GT110"/>
          <cell r="GU110"/>
          <cell r="GV110"/>
          <cell r="GW110"/>
          <cell r="GX110"/>
          <cell r="GY110"/>
          <cell r="GZ110"/>
          <cell r="HA110"/>
          <cell r="HB110"/>
          <cell r="HC110"/>
          <cell r="HD110"/>
          <cell r="HE110"/>
          <cell r="HF110"/>
          <cell r="HG110"/>
          <cell r="HH110"/>
          <cell r="HI110"/>
          <cell r="HJ110"/>
          <cell r="HK110"/>
          <cell r="HL110"/>
          <cell r="HM110"/>
          <cell r="HN110"/>
          <cell r="HO110"/>
          <cell r="HP110"/>
          <cell r="HQ110"/>
          <cell r="HR110"/>
          <cell r="HS110"/>
          <cell r="HT110"/>
          <cell r="HU110"/>
          <cell r="HV110"/>
          <cell r="HW110"/>
          <cell r="HX110"/>
          <cell r="HY110"/>
          <cell r="HZ110"/>
          <cell r="IA110"/>
          <cell r="IB110"/>
          <cell r="IC110"/>
          <cell r="ID110"/>
          <cell r="IE110"/>
          <cell r="IF110"/>
          <cell r="IG110"/>
          <cell r="IH110"/>
          <cell r="II110"/>
          <cell r="IJ110"/>
          <cell r="IK110"/>
          <cell r="IL110"/>
          <cell r="IM110"/>
          <cell r="IN110"/>
          <cell r="IO110"/>
          <cell r="IP110"/>
          <cell r="IQ110"/>
          <cell r="IR110"/>
          <cell r="IS110"/>
          <cell r="IT110"/>
          <cell r="IU110"/>
          <cell r="IV110"/>
          <cell r="IW110"/>
          <cell r="IX110"/>
          <cell r="IY110"/>
          <cell r="IZ110"/>
          <cell r="JA110"/>
          <cell r="JB110"/>
          <cell r="JC110"/>
          <cell r="JD110"/>
          <cell r="JE110"/>
          <cell r="JF110"/>
          <cell r="JG110"/>
          <cell r="JH110"/>
          <cell r="JI110"/>
          <cell r="JJ110"/>
          <cell r="JK110"/>
          <cell r="JL110"/>
          <cell r="JM110"/>
          <cell r="JN110"/>
          <cell r="JO110"/>
          <cell r="JP110"/>
          <cell r="JQ110"/>
          <cell r="JR110"/>
          <cell r="JS110"/>
          <cell r="JT110"/>
          <cell r="JU110"/>
          <cell r="JV110"/>
          <cell r="JW110"/>
          <cell r="JX110"/>
          <cell r="JY110"/>
          <cell r="JZ110"/>
          <cell r="KA110"/>
          <cell r="KB110"/>
          <cell r="KC110"/>
          <cell r="KD110"/>
          <cell r="KE110"/>
          <cell r="KF110"/>
          <cell r="KG110"/>
          <cell r="KH110"/>
          <cell r="KI110"/>
          <cell r="KJ110"/>
          <cell r="KK110"/>
          <cell r="KL110"/>
          <cell r="KM110"/>
          <cell r="KN110"/>
          <cell r="KO110"/>
          <cell r="KP110"/>
          <cell r="KQ110"/>
          <cell r="KR110"/>
          <cell r="KS110"/>
          <cell r="KT110"/>
          <cell r="KU110"/>
          <cell r="KV110"/>
          <cell r="KW110"/>
          <cell r="KX110"/>
          <cell r="KY110"/>
          <cell r="KZ110"/>
          <cell r="LA110"/>
          <cell r="LB110"/>
          <cell r="LC110"/>
          <cell r="LD110"/>
          <cell r="LE110"/>
          <cell r="LF110"/>
          <cell r="LG110"/>
          <cell r="LH110"/>
          <cell r="LI110"/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/>
          <cell r="EE111"/>
          <cell r="EF111"/>
          <cell r="EG111"/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/>
          <cell r="EZ111"/>
          <cell r="FA111">
            <v>47052428.659999996</v>
          </cell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  <cell r="GF111"/>
          <cell r="GG111"/>
          <cell r="GH111"/>
          <cell r="GI111"/>
          <cell r="GJ111"/>
          <cell r="GK111"/>
          <cell r="GL111"/>
          <cell r="GM111"/>
          <cell r="GN111"/>
          <cell r="GO111"/>
          <cell r="GP111"/>
          <cell r="GQ111"/>
          <cell r="GR111"/>
          <cell r="GS111"/>
          <cell r="GT111"/>
          <cell r="GU111"/>
          <cell r="GV111"/>
          <cell r="GW111"/>
          <cell r="GX111"/>
          <cell r="GY111"/>
          <cell r="GZ111"/>
          <cell r="HA111"/>
          <cell r="HB111"/>
          <cell r="HC111"/>
          <cell r="HD111"/>
          <cell r="HE111"/>
          <cell r="HF111"/>
          <cell r="HG111"/>
          <cell r="HH111"/>
          <cell r="HI111"/>
          <cell r="HJ111"/>
          <cell r="HK111"/>
          <cell r="HL111"/>
          <cell r="HM111"/>
          <cell r="HN111"/>
          <cell r="HO111"/>
          <cell r="HP111"/>
          <cell r="HQ111"/>
          <cell r="HR111"/>
          <cell r="HS111"/>
          <cell r="HT111"/>
          <cell r="HU111"/>
          <cell r="HV111"/>
          <cell r="HW111"/>
          <cell r="HX111"/>
          <cell r="HY111"/>
          <cell r="HZ111"/>
          <cell r="IA111"/>
          <cell r="IB111"/>
          <cell r="IC111"/>
          <cell r="ID111"/>
          <cell r="IE111"/>
          <cell r="IF111"/>
          <cell r="IG111"/>
          <cell r="IH111"/>
          <cell r="II111"/>
          <cell r="IJ111"/>
          <cell r="IK111"/>
          <cell r="IL111"/>
          <cell r="IM111"/>
          <cell r="IN111"/>
          <cell r="IO111"/>
          <cell r="IP111"/>
          <cell r="IQ111"/>
          <cell r="IR111"/>
          <cell r="IS111"/>
          <cell r="IT111"/>
          <cell r="IU111"/>
          <cell r="IV111"/>
          <cell r="IW111"/>
          <cell r="IX111"/>
          <cell r="IY111"/>
          <cell r="IZ111"/>
          <cell r="JA111"/>
          <cell r="JB111"/>
          <cell r="JC111"/>
          <cell r="JD111"/>
          <cell r="JE111"/>
          <cell r="JF111"/>
          <cell r="JG111"/>
          <cell r="JH111"/>
          <cell r="JI111"/>
          <cell r="JJ111"/>
          <cell r="JK111"/>
          <cell r="JL111"/>
          <cell r="JM111"/>
          <cell r="JN111"/>
          <cell r="JO111"/>
          <cell r="JP111"/>
          <cell r="JQ111"/>
          <cell r="JR111"/>
          <cell r="JS111"/>
          <cell r="JT111"/>
          <cell r="JU111"/>
          <cell r="JV111"/>
          <cell r="JW111"/>
          <cell r="JX111"/>
          <cell r="JY111"/>
          <cell r="JZ111"/>
          <cell r="KA111"/>
          <cell r="KB111"/>
          <cell r="KC111"/>
          <cell r="KD111"/>
          <cell r="KE111"/>
          <cell r="KF111"/>
          <cell r="KG111"/>
          <cell r="KH111"/>
          <cell r="KI111"/>
          <cell r="KJ111"/>
          <cell r="KK111"/>
          <cell r="KL111"/>
          <cell r="KM111"/>
          <cell r="KN111"/>
          <cell r="KO111"/>
          <cell r="KP111"/>
          <cell r="KQ111"/>
          <cell r="KR111"/>
          <cell r="KS111"/>
          <cell r="KT111"/>
          <cell r="KU111"/>
          <cell r="KV111"/>
          <cell r="KW111"/>
          <cell r="KX111"/>
          <cell r="KY111"/>
          <cell r="KZ111"/>
          <cell r="LA111"/>
          <cell r="LB111"/>
          <cell r="LC111"/>
          <cell r="LD111"/>
          <cell r="LE111"/>
          <cell r="LF111"/>
          <cell r="LG111"/>
          <cell r="LH111"/>
          <cell r="LI111"/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  <cell r="GF112"/>
          <cell r="GG112"/>
          <cell r="GH112"/>
          <cell r="GI112"/>
          <cell r="GJ112"/>
          <cell r="GK112"/>
          <cell r="GL112"/>
          <cell r="GM112"/>
          <cell r="GN112"/>
          <cell r="GO112"/>
          <cell r="GP112"/>
          <cell r="GQ112"/>
          <cell r="GR112"/>
          <cell r="GS112"/>
          <cell r="GT112"/>
          <cell r="GU112"/>
          <cell r="GV112"/>
          <cell r="GW112"/>
          <cell r="GX112"/>
          <cell r="GY112"/>
          <cell r="GZ112"/>
          <cell r="HA112"/>
          <cell r="HB112"/>
          <cell r="HC112"/>
          <cell r="HD112"/>
          <cell r="HE112"/>
          <cell r="HF112"/>
          <cell r="HG112"/>
          <cell r="HH112"/>
          <cell r="HI112"/>
          <cell r="HJ112"/>
          <cell r="HK112"/>
          <cell r="HL112"/>
          <cell r="HM112"/>
          <cell r="HN112"/>
          <cell r="HO112"/>
          <cell r="HP112"/>
          <cell r="HQ112"/>
          <cell r="HR112"/>
          <cell r="HS112"/>
          <cell r="HT112"/>
          <cell r="HU112"/>
          <cell r="HV112"/>
          <cell r="HW112"/>
          <cell r="HX112"/>
          <cell r="HY112"/>
          <cell r="HZ112"/>
          <cell r="IA112"/>
          <cell r="IB112"/>
          <cell r="IC112"/>
          <cell r="ID112"/>
          <cell r="IE112"/>
          <cell r="IF112"/>
          <cell r="IG112"/>
          <cell r="IH112"/>
          <cell r="II112"/>
          <cell r="IJ112"/>
          <cell r="IK112"/>
          <cell r="IL112"/>
          <cell r="IM112"/>
          <cell r="IN112"/>
          <cell r="IO112"/>
          <cell r="IP112"/>
          <cell r="IQ112"/>
          <cell r="IR112"/>
          <cell r="IS112"/>
          <cell r="IT112"/>
          <cell r="IU112"/>
          <cell r="IV112"/>
          <cell r="IW112"/>
          <cell r="IX112"/>
          <cell r="IY112"/>
          <cell r="IZ112"/>
          <cell r="JA112"/>
          <cell r="JB112"/>
          <cell r="JC112"/>
          <cell r="JD112"/>
          <cell r="JE112"/>
          <cell r="JF112"/>
          <cell r="JG112"/>
          <cell r="JH112"/>
          <cell r="JI112"/>
          <cell r="JJ112"/>
          <cell r="JK112"/>
          <cell r="JL112"/>
          <cell r="JM112"/>
          <cell r="JN112"/>
          <cell r="JO112"/>
          <cell r="JP112"/>
          <cell r="JQ112"/>
          <cell r="JR112"/>
          <cell r="JS112"/>
          <cell r="JT112"/>
          <cell r="JU112"/>
          <cell r="JV112"/>
          <cell r="JW112"/>
          <cell r="JX112"/>
          <cell r="JY112"/>
          <cell r="JZ112"/>
          <cell r="KA112"/>
          <cell r="KB112"/>
          <cell r="KC112"/>
          <cell r="KD112"/>
          <cell r="KE112"/>
          <cell r="KF112"/>
          <cell r="KG112"/>
          <cell r="KH112"/>
          <cell r="KI112"/>
          <cell r="KJ112"/>
          <cell r="KK112"/>
          <cell r="KL112"/>
          <cell r="KM112"/>
          <cell r="KN112"/>
          <cell r="KO112"/>
          <cell r="KP112"/>
          <cell r="KQ112"/>
          <cell r="KR112"/>
          <cell r="KS112"/>
          <cell r="KT112"/>
          <cell r="KU112"/>
          <cell r="KV112"/>
          <cell r="KW112"/>
          <cell r="KX112"/>
          <cell r="KY112"/>
          <cell r="KZ112"/>
          <cell r="LA112"/>
          <cell r="LB112"/>
          <cell r="LC112"/>
          <cell r="LD112"/>
          <cell r="LE112"/>
          <cell r="LF112"/>
          <cell r="LG112"/>
          <cell r="LH112"/>
          <cell r="LI112"/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  <cell r="GF113"/>
          <cell r="GG113"/>
          <cell r="GH113"/>
          <cell r="GI113"/>
          <cell r="GJ113"/>
          <cell r="GK113"/>
          <cell r="GL113"/>
          <cell r="GM113"/>
          <cell r="GN113"/>
          <cell r="GO113"/>
          <cell r="GP113"/>
          <cell r="GQ113"/>
          <cell r="GR113"/>
          <cell r="GS113"/>
          <cell r="GT113"/>
          <cell r="GU113"/>
          <cell r="GV113"/>
          <cell r="GW113"/>
          <cell r="GX113"/>
          <cell r="GY113"/>
          <cell r="GZ113"/>
          <cell r="HA113"/>
          <cell r="HB113"/>
          <cell r="HC113"/>
          <cell r="HD113"/>
          <cell r="HE113"/>
          <cell r="HF113"/>
          <cell r="HG113"/>
          <cell r="HH113"/>
          <cell r="HI113"/>
          <cell r="HJ113"/>
          <cell r="HK113"/>
          <cell r="HL113"/>
          <cell r="HM113"/>
          <cell r="HN113"/>
          <cell r="HO113"/>
          <cell r="HP113"/>
          <cell r="HQ113"/>
          <cell r="HR113"/>
          <cell r="HS113"/>
          <cell r="HT113"/>
          <cell r="HU113"/>
          <cell r="HV113"/>
          <cell r="HW113"/>
          <cell r="HX113"/>
          <cell r="HY113"/>
          <cell r="HZ113"/>
          <cell r="IA113"/>
          <cell r="IB113"/>
          <cell r="IC113"/>
          <cell r="ID113"/>
          <cell r="IE113"/>
          <cell r="IF113"/>
          <cell r="IG113"/>
          <cell r="IH113"/>
          <cell r="II113"/>
          <cell r="IJ113"/>
          <cell r="IK113"/>
          <cell r="IL113"/>
          <cell r="IM113"/>
          <cell r="IN113"/>
          <cell r="IO113"/>
          <cell r="IP113"/>
          <cell r="IQ113"/>
          <cell r="IR113"/>
          <cell r="IS113"/>
          <cell r="IT113"/>
          <cell r="IU113"/>
          <cell r="IV113"/>
          <cell r="IW113"/>
          <cell r="IX113"/>
          <cell r="IY113"/>
          <cell r="IZ113"/>
          <cell r="JA113"/>
          <cell r="JB113"/>
          <cell r="JC113"/>
          <cell r="JD113"/>
          <cell r="JE113"/>
          <cell r="JF113"/>
          <cell r="JG113"/>
          <cell r="JH113"/>
          <cell r="JI113"/>
          <cell r="JJ113"/>
          <cell r="JK113"/>
          <cell r="JL113"/>
          <cell r="JM113"/>
          <cell r="JN113"/>
          <cell r="JO113"/>
          <cell r="JP113"/>
          <cell r="JQ113"/>
          <cell r="JR113"/>
          <cell r="JS113"/>
          <cell r="JT113"/>
          <cell r="JU113"/>
          <cell r="JV113"/>
          <cell r="JW113"/>
          <cell r="JX113"/>
          <cell r="JY113"/>
          <cell r="JZ113"/>
          <cell r="KA113"/>
          <cell r="KB113"/>
          <cell r="KC113"/>
          <cell r="KD113"/>
          <cell r="KE113"/>
          <cell r="KF113"/>
          <cell r="KG113"/>
          <cell r="KH113"/>
          <cell r="KI113"/>
          <cell r="KJ113"/>
          <cell r="KK113"/>
          <cell r="KL113"/>
          <cell r="KM113"/>
          <cell r="KN113"/>
          <cell r="KO113"/>
          <cell r="KP113"/>
          <cell r="KQ113"/>
          <cell r="KR113"/>
          <cell r="KS113"/>
          <cell r="KT113"/>
          <cell r="KU113"/>
          <cell r="KV113"/>
          <cell r="KW113"/>
          <cell r="KX113"/>
          <cell r="KY113"/>
          <cell r="KZ113"/>
          <cell r="LA113"/>
          <cell r="LB113"/>
          <cell r="LC113"/>
          <cell r="LD113"/>
          <cell r="LE113"/>
          <cell r="LF113"/>
          <cell r="LG113"/>
          <cell r="LH113"/>
          <cell r="LI113"/>
        </row>
        <row r="114">
          <cell r="D114">
            <v>4212</v>
          </cell>
          <cell r="E114" t="str">
            <v>Boračko invalidska zaštita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  <cell r="GF114"/>
          <cell r="GG114"/>
          <cell r="GH114"/>
          <cell r="GI114"/>
          <cell r="GJ114"/>
          <cell r="GK114"/>
          <cell r="GL114"/>
          <cell r="GM114"/>
          <cell r="GN114"/>
          <cell r="GO114"/>
          <cell r="GP114"/>
          <cell r="GQ114"/>
          <cell r="GR114"/>
          <cell r="GS114"/>
          <cell r="GT114"/>
          <cell r="GU114"/>
          <cell r="GV114"/>
          <cell r="GW114"/>
          <cell r="GX114"/>
          <cell r="GY114"/>
          <cell r="GZ114"/>
          <cell r="HA114"/>
          <cell r="HB114"/>
          <cell r="HC114"/>
          <cell r="HD114"/>
          <cell r="HE114"/>
          <cell r="HF114"/>
          <cell r="HG114"/>
          <cell r="HH114"/>
          <cell r="HI114"/>
          <cell r="HJ114"/>
          <cell r="HK114"/>
          <cell r="HL114"/>
          <cell r="HM114"/>
          <cell r="HN114"/>
          <cell r="HO114"/>
          <cell r="HP114"/>
          <cell r="HQ114"/>
          <cell r="HR114"/>
          <cell r="HS114"/>
          <cell r="HT114"/>
          <cell r="HU114"/>
          <cell r="HV114"/>
          <cell r="HW114"/>
          <cell r="HX114"/>
          <cell r="HY114"/>
          <cell r="HZ114"/>
          <cell r="IA114"/>
          <cell r="IB114"/>
          <cell r="IC114"/>
          <cell r="ID114"/>
          <cell r="IE114"/>
          <cell r="IF114"/>
          <cell r="IG114"/>
          <cell r="IH114"/>
          <cell r="II114"/>
          <cell r="IJ114"/>
          <cell r="IK114"/>
          <cell r="IL114"/>
          <cell r="IM114"/>
          <cell r="IN114"/>
          <cell r="IO114"/>
          <cell r="IP114"/>
          <cell r="IQ114"/>
          <cell r="IR114"/>
          <cell r="IS114"/>
          <cell r="IT114"/>
          <cell r="IU114"/>
          <cell r="IV114"/>
          <cell r="IW114"/>
          <cell r="IX114"/>
          <cell r="IY114"/>
          <cell r="IZ114"/>
          <cell r="JA114"/>
          <cell r="JB114"/>
          <cell r="JC114"/>
          <cell r="JD114"/>
          <cell r="JE114"/>
          <cell r="JF114"/>
          <cell r="JG114"/>
          <cell r="JH114"/>
          <cell r="JI114"/>
          <cell r="JJ114"/>
          <cell r="JK114"/>
          <cell r="JL114"/>
          <cell r="JM114"/>
          <cell r="JN114"/>
          <cell r="JO114"/>
          <cell r="JP114"/>
          <cell r="JQ114"/>
          <cell r="JR114"/>
          <cell r="JS114"/>
          <cell r="JT114"/>
          <cell r="JU114"/>
          <cell r="JV114"/>
          <cell r="JW114"/>
          <cell r="JX114"/>
          <cell r="JY114"/>
          <cell r="JZ114"/>
          <cell r="KA114"/>
          <cell r="KB114"/>
          <cell r="KC114"/>
          <cell r="KD114"/>
          <cell r="KE114"/>
          <cell r="KF114"/>
          <cell r="KG114"/>
          <cell r="KH114"/>
          <cell r="KI114"/>
          <cell r="KJ114"/>
          <cell r="KK114"/>
          <cell r="KL114"/>
          <cell r="KM114"/>
          <cell r="KN114"/>
          <cell r="KO114"/>
          <cell r="KP114"/>
          <cell r="KQ114"/>
          <cell r="KR114"/>
          <cell r="KS114"/>
          <cell r="KT114"/>
          <cell r="KU114"/>
          <cell r="KV114"/>
          <cell r="KW114"/>
          <cell r="KX114"/>
          <cell r="KY114"/>
          <cell r="KZ114"/>
          <cell r="LA114"/>
          <cell r="LB114"/>
          <cell r="LC114"/>
          <cell r="LD114"/>
          <cell r="LE114"/>
          <cell r="LF114"/>
          <cell r="LG114"/>
          <cell r="LH114"/>
          <cell r="LI114"/>
        </row>
        <row r="115">
          <cell r="D115">
            <v>4213</v>
          </cell>
          <cell r="E115" t="str">
            <v>Materijalno obezbjeđenje porodice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  <cell r="GF115"/>
          <cell r="GG115"/>
          <cell r="GH115"/>
          <cell r="GI115"/>
          <cell r="GJ115"/>
          <cell r="GK115"/>
          <cell r="GL115"/>
          <cell r="GM115"/>
          <cell r="GN115"/>
          <cell r="GO115"/>
          <cell r="GP115"/>
          <cell r="GQ115"/>
          <cell r="GR115"/>
          <cell r="GS115"/>
          <cell r="GT115"/>
          <cell r="GU115"/>
          <cell r="GV115"/>
          <cell r="GW115"/>
          <cell r="GX115"/>
          <cell r="GY115"/>
          <cell r="GZ115"/>
          <cell r="HA115"/>
          <cell r="HB115"/>
          <cell r="HC115"/>
          <cell r="HD115"/>
          <cell r="HE115"/>
          <cell r="HF115"/>
          <cell r="HG115"/>
          <cell r="HH115"/>
          <cell r="HI115"/>
          <cell r="HJ115"/>
          <cell r="HK115"/>
          <cell r="HL115"/>
          <cell r="HM115"/>
          <cell r="HN115"/>
          <cell r="HO115"/>
          <cell r="HP115"/>
          <cell r="HQ115"/>
          <cell r="HR115"/>
          <cell r="HS115"/>
          <cell r="HT115"/>
          <cell r="HU115"/>
          <cell r="HV115"/>
          <cell r="HW115"/>
          <cell r="HX115"/>
          <cell r="HY115"/>
          <cell r="HZ115"/>
          <cell r="IA115"/>
          <cell r="IB115"/>
          <cell r="IC115"/>
          <cell r="ID115"/>
          <cell r="IE115"/>
          <cell r="IF115"/>
          <cell r="IG115"/>
          <cell r="IH115"/>
          <cell r="II115"/>
          <cell r="IJ115"/>
          <cell r="IK115"/>
          <cell r="IL115"/>
          <cell r="IM115"/>
          <cell r="IN115"/>
          <cell r="IO115"/>
          <cell r="IP115"/>
          <cell r="IQ115"/>
          <cell r="IR115"/>
          <cell r="IS115"/>
          <cell r="IT115"/>
          <cell r="IU115"/>
          <cell r="IV115"/>
          <cell r="IW115"/>
          <cell r="IX115"/>
          <cell r="IY115"/>
          <cell r="IZ115"/>
          <cell r="JA115"/>
          <cell r="JB115"/>
          <cell r="JC115"/>
          <cell r="JD115"/>
          <cell r="JE115"/>
          <cell r="JF115"/>
          <cell r="JG115"/>
          <cell r="JH115"/>
          <cell r="JI115"/>
          <cell r="JJ115"/>
          <cell r="JK115"/>
          <cell r="JL115"/>
          <cell r="JM115"/>
          <cell r="JN115"/>
          <cell r="JO115"/>
          <cell r="JP115"/>
          <cell r="JQ115"/>
          <cell r="JR115"/>
          <cell r="JS115"/>
          <cell r="JT115"/>
          <cell r="JU115"/>
          <cell r="JV115"/>
          <cell r="JW115"/>
          <cell r="JX115"/>
          <cell r="JY115"/>
          <cell r="JZ115"/>
          <cell r="KA115"/>
          <cell r="KB115"/>
          <cell r="KC115"/>
          <cell r="KD115"/>
          <cell r="KE115"/>
          <cell r="KF115"/>
          <cell r="KG115"/>
          <cell r="KH115"/>
          <cell r="KI115"/>
          <cell r="KJ115"/>
          <cell r="KK115"/>
          <cell r="KL115"/>
          <cell r="KM115"/>
          <cell r="KN115"/>
          <cell r="KO115"/>
          <cell r="KP115"/>
          <cell r="KQ115"/>
          <cell r="KR115"/>
          <cell r="KS115"/>
          <cell r="KT115"/>
          <cell r="KU115"/>
          <cell r="KV115"/>
          <cell r="KW115"/>
          <cell r="KX115"/>
          <cell r="KY115"/>
          <cell r="KZ115"/>
          <cell r="LA115"/>
          <cell r="LB115"/>
          <cell r="LC115"/>
          <cell r="LD115"/>
          <cell r="LE115"/>
          <cell r="LF115"/>
          <cell r="LG115"/>
          <cell r="LH115"/>
          <cell r="LI115"/>
        </row>
        <row r="116">
          <cell r="D116">
            <v>4214</v>
          </cell>
          <cell r="E116" t="str">
            <v>Porodiljska odsustva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  <cell r="GF116"/>
          <cell r="GG116"/>
          <cell r="GH116"/>
          <cell r="GI116"/>
          <cell r="GJ116"/>
          <cell r="GK116"/>
          <cell r="GL116"/>
          <cell r="GM116"/>
          <cell r="GN116"/>
          <cell r="GO116"/>
          <cell r="GP116"/>
          <cell r="GQ116"/>
          <cell r="GR116"/>
          <cell r="GS116"/>
          <cell r="GT116"/>
          <cell r="GU116"/>
          <cell r="GV116"/>
          <cell r="GW116"/>
          <cell r="GX116"/>
          <cell r="GY116"/>
          <cell r="GZ116"/>
          <cell r="HA116"/>
          <cell r="HB116"/>
          <cell r="HC116"/>
          <cell r="HD116"/>
          <cell r="HE116"/>
          <cell r="HF116"/>
          <cell r="HG116"/>
          <cell r="HH116"/>
          <cell r="HI116"/>
          <cell r="HJ116"/>
          <cell r="HK116"/>
          <cell r="HL116"/>
          <cell r="HM116"/>
          <cell r="HN116"/>
          <cell r="HO116"/>
          <cell r="HP116"/>
          <cell r="HQ116"/>
          <cell r="HR116"/>
          <cell r="HS116"/>
          <cell r="HT116"/>
          <cell r="HU116"/>
          <cell r="HV116"/>
          <cell r="HW116"/>
          <cell r="HX116"/>
          <cell r="HY116"/>
          <cell r="HZ116"/>
          <cell r="IA116"/>
          <cell r="IB116"/>
          <cell r="IC116"/>
          <cell r="ID116"/>
          <cell r="IE116"/>
          <cell r="IF116"/>
          <cell r="IG116"/>
          <cell r="IH116"/>
          <cell r="II116"/>
          <cell r="IJ116"/>
          <cell r="IK116"/>
          <cell r="IL116"/>
          <cell r="IM116"/>
          <cell r="IN116"/>
          <cell r="IO116"/>
          <cell r="IP116"/>
          <cell r="IQ116"/>
          <cell r="IR116"/>
          <cell r="IS116"/>
          <cell r="IT116"/>
          <cell r="IU116"/>
          <cell r="IV116"/>
          <cell r="IW116"/>
          <cell r="IX116"/>
          <cell r="IY116"/>
          <cell r="IZ116"/>
          <cell r="JA116"/>
          <cell r="JB116"/>
          <cell r="JC116"/>
          <cell r="JD116"/>
          <cell r="JE116"/>
          <cell r="JF116"/>
          <cell r="JG116"/>
          <cell r="JH116"/>
          <cell r="JI116"/>
          <cell r="JJ116"/>
          <cell r="JK116"/>
          <cell r="JL116"/>
          <cell r="JM116"/>
          <cell r="JN116"/>
          <cell r="JO116"/>
          <cell r="JP116"/>
          <cell r="JQ116"/>
          <cell r="JR116"/>
          <cell r="JS116"/>
          <cell r="JT116"/>
          <cell r="JU116"/>
          <cell r="JV116"/>
          <cell r="JW116"/>
          <cell r="JX116"/>
          <cell r="JY116"/>
          <cell r="JZ116"/>
          <cell r="KA116"/>
          <cell r="KB116"/>
          <cell r="KC116"/>
          <cell r="KD116"/>
          <cell r="KE116"/>
          <cell r="KF116"/>
          <cell r="KG116"/>
          <cell r="KH116"/>
          <cell r="KI116"/>
          <cell r="KJ116"/>
          <cell r="KK116"/>
          <cell r="KL116"/>
          <cell r="KM116"/>
          <cell r="KN116"/>
          <cell r="KO116"/>
          <cell r="KP116"/>
          <cell r="KQ116"/>
          <cell r="KR116"/>
          <cell r="KS116"/>
          <cell r="KT116"/>
          <cell r="KU116"/>
          <cell r="KV116"/>
          <cell r="KW116"/>
          <cell r="KX116"/>
          <cell r="KY116"/>
          <cell r="KZ116"/>
          <cell r="LA116"/>
          <cell r="LB116"/>
          <cell r="LC116"/>
          <cell r="LD116"/>
          <cell r="LE116"/>
          <cell r="LF116"/>
          <cell r="LG116"/>
          <cell r="LH116"/>
          <cell r="LI116"/>
        </row>
        <row r="117">
          <cell r="D117">
            <v>4215</v>
          </cell>
          <cell r="E117" t="str">
            <v>Tuđa njega i pomoć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  <cell r="GF117"/>
          <cell r="GG117"/>
          <cell r="GH117"/>
          <cell r="GI117"/>
          <cell r="GJ117"/>
          <cell r="GK117"/>
          <cell r="GL117"/>
          <cell r="GM117"/>
          <cell r="GN117"/>
          <cell r="GO117"/>
          <cell r="GP117"/>
          <cell r="GQ117"/>
          <cell r="GR117"/>
          <cell r="GS117"/>
          <cell r="GT117"/>
          <cell r="GU117"/>
          <cell r="GV117"/>
          <cell r="GW117"/>
          <cell r="GX117"/>
          <cell r="GY117"/>
          <cell r="GZ117"/>
          <cell r="HA117"/>
          <cell r="HB117"/>
          <cell r="HC117"/>
          <cell r="HD117"/>
          <cell r="HE117"/>
          <cell r="HF117"/>
          <cell r="HG117"/>
          <cell r="HH117"/>
          <cell r="HI117"/>
          <cell r="HJ117"/>
          <cell r="HK117"/>
          <cell r="HL117"/>
          <cell r="HM117"/>
          <cell r="HN117"/>
          <cell r="HO117"/>
          <cell r="HP117"/>
          <cell r="HQ117"/>
          <cell r="HR117"/>
          <cell r="HS117"/>
          <cell r="HT117"/>
          <cell r="HU117"/>
          <cell r="HV117"/>
          <cell r="HW117"/>
          <cell r="HX117"/>
          <cell r="HY117"/>
          <cell r="HZ117"/>
          <cell r="IA117"/>
          <cell r="IB117"/>
          <cell r="IC117"/>
          <cell r="ID117"/>
          <cell r="IE117"/>
          <cell r="IF117"/>
          <cell r="IG117"/>
          <cell r="IH117"/>
          <cell r="II117"/>
          <cell r="IJ117"/>
          <cell r="IK117"/>
          <cell r="IL117"/>
          <cell r="IM117"/>
          <cell r="IN117"/>
          <cell r="IO117"/>
          <cell r="IP117"/>
          <cell r="IQ117"/>
          <cell r="IR117"/>
          <cell r="IS117"/>
          <cell r="IT117"/>
          <cell r="IU117"/>
          <cell r="IV117"/>
          <cell r="IW117"/>
          <cell r="IX117"/>
          <cell r="IY117"/>
          <cell r="IZ117"/>
          <cell r="JA117"/>
          <cell r="JB117"/>
          <cell r="JC117"/>
          <cell r="JD117"/>
          <cell r="JE117"/>
          <cell r="JF117"/>
          <cell r="JG117"/>
          <cell r="JH117"/>
          <cell r="JI117"/>
          <cell r="JJ117"/>
          <cell r="JK117"/>
          <cell r="JL117"/>
          <cell r="JM117"/>
          <cell r="JN117"/>
          <cell r="JO117"/>
          <cell r="JP117"/>
          <cell r="JQ117"/>
          <cell r="JR117"/>
          <cell r="JS117"/>
          <cell r="JT117"/>
          <cell r="JU117"/>
          <cell r="JV117"/>
          <cell r="JW117"/>
          <cell r="JX117"/>
          <cell r="JY117"/>
          <cell r="JZ117"/>
          <cell r="KA117"/>
          <cell r="KB117"/>
          <cell r="KC117"/>
          <cell r="KD117"/>
          <cell r="KE117"/>
          <cell r="KF117"/>
          <cell r="KG117"/>
          <cell r="KH117"/>
          <cell r="KI117"/>
          <cell r="KJ117"/>
          <cell r="KK117"/>
          <cell r="KL117"/>
          <cell r="KM117"/>
          <cell r="KN117"/>
          <cell r="KO117"/>
          <cell r="KP117"/>
          <cell r="KQ117"/>
          <cell r="KR117"/>
          <cell r="KS117"/>
          <cell r="KT117"/>
          <cell r="KU117"/>
          <cell r="KV117"/>
          <cell r="KW117"/>
          <cell r="KX117"/>
          <cell r="KY117"/>
          <cell r="KZ117"/>
          <cell r="LA117"/>
          <cell r="LB117"/>
          <cell r="LC117"/>
          <cell r="LD117"/>
          <cell r="LE117"/>
          <cell r="LF117"/>
          <cell r="LG117"/>
          <cell r="LH117"/>
          <cell r="LI117"/>
        </row>
        <row r="118">
          <cell r="D118">
            <v>4216</v>
          </cell>
          <cell r="E118" t="str">
            <v>Ishrana djece u predškolskim ustanovama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  <cell r="GF118"/>
          <cell r="GG118"/>
          <cell r="GH118"/>
          <cell r="GI118"/>
          <cell r="GJ118"/>
          <cell r="GK118"/>
          <cell r="GL118"/>
          <cell r="GM118"/>
          <cell r="GN118"/>
          <cell r="GO118"/>
          <cell r="GP118"/>
          <cell r="GQ118"/>
          <cell r="GR118"/>
          <cell r="GS118"/>
          <cell r="GT118"/>
          <cell r="GU118"/>
          <cell r="GV118"/>
          <cell r="GW118"/>
          <cell r="GX118"/>
          <cell r="GY118"/>
          <cell r="GZ118"/>
          <cell r="HA118"/>
          <cell r="HB118"/>
          <cell r="HC118"/>
          <cell r="HD118"/>
          <cell r="HE118"/>
          <cell r="HF118"/>
          <cell r="HG118"/>
          <cell r="HH118"/>
          <cell r="HI118"/>
          <cell r="HJ118"/>
          <cell r="HK118"/>
          <cell r="HL118"/>
          <cell r="HM118"/>
          <cell r="HN118"/>
          <cell r="HO118"/>
          <cell r="HP118"/>
          <cell r="HQ118"/>
          <cell r="HR118"/>
          <cell r="HS118"/>
          <cell r="HT118"/>
          <cell r="HU118"/>
          <cell r="HV118"/>
          <cell r="HW118"/>
          <cell r="HX118"/>
          <cell r="HY118"/>
          <cell r="HZ118"/>
          <cell r="IA118"/>
          <cell r="IB118"/>
          <cell r="IC118"/>
          <cell r="ID118"/>
          <cell r="IE118"/>
          <cell r="IF118"/>
          <cell r="IG118"/>
          <cell r="IH118"/>
          <cell r="II118"/>
          <cell r="IJ118"/>
          <cell r="IK118"/>
          <cell r="IL118"/>
          <cell r="IM118"/>
          <cell r="IN118"/>
          <cell r="IO118"/>
          <cell r="IP118"/>
          <cell r="IQ118"/>
          <cell r="IR118"/>
          <cell r="IS118"/>
          <cell r="IT118"/>
          <cell r="IU118"/>
          <cell r="IV118"/>
          <cell r="IW118"/>
          <cell r="IX118"/>
          <cell r="IY118"/>
          <cell r="IZ118"/>
          <cell r="JA118"/>
          <cell r="JB118"/>
          <cell r="JC118"/>
          <cell r="JD118"/>
          <cell r="JE118"/>
          <cell r="JF118"/>
          <cell r="JG118"/>
          <cell r="JH118"/>
          <cell r="JI118"/>
          <cell r="JJ118"/>
          <cell r="JK118"/>
          <cell r="JL118"/>
          <cell r="JM118"/>
          <cell r="JN118"/>
          <cell r="JO118"/>
          <cell r="JP118"/>
          <cell r="JQ118"/>
          <cell r="JR118"/>
          <cell r="JS118"/>
          <cell r="JT118"/>
          <cell r="JU118"/>
          <cell r="JV118"/>
          <cell r="JW118"/>
          <cell r="JX118"/>
          <cell r="JY118"/>
          <cell r="JZ118"/>
          <cell r="KA118"/>
          <cell r="KB118"/>
          <cell r="KC118"/>
          <cell r="KD118"/>
          <cell r="KE118"/>
          <cell r="KF118"/>
          <cell r="KG118"/>
          <cell r="KH118"/>
          <cell r="KI118"/>
          <cell r="KJ118"/>
          <cell r="KK118"/>
          <cell r="KL118"/>
          <cell r="KM118"/>
          <cell r="KN118"/>
          <cell r="KO118"/>
          <cell r="KP118"/>
          <cell r="KQ118"/>
          <cell r="KR118"/>
          <cell r="KS118"/>
          <cell r="KT118"/>
          <cell r="KU118"/>
          <cell r="KV118"/>
          <cell r="KW118"/>
          <cell r="KX118"/>
          <cell r="KY118"/>
          <cell r="KZ118"/>
          <cell r="LA118"/>
          <cell r="LB118"/>
          <cell r="LC118"/>
          <cell r="LD118"/>
          <cell r="LE118"/>
          <cell r="LF118"/>
          <cell r="LG118"/>
          <cell r="LH118"/>
          <cell r="LI118"/>
        </row>
        <row r="119">
          <cell r="D119">
            <v>4217</v>
          </cell>
          <cell r="E119" t="str">
            <v>Izdržavanje štićenika u domovima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  <cell r="GF119"/>
          <cell r="GG119"/>
          <cell r="GH119"/>
          <cell r="GI119"/>
          <cell r="GJ119"/>
          <cell r="GK119"/>
          <cell r="GL119"/>
          <cell r="GM119"/>
          <cell r="GN119"/>
          <cell r="GO119"/>
          <cell r="GP119"/>
          <cell r="GQ119"/>
          <cell r="GR119"/>
          <cell r="GS119"/>
          <cell r="GT119"/>
          <cell r="GU119"/>
          <cell r="GV119"/>
          <cell r="GW119"/>
          <cell r="GX119"/>
          <cell r="GY119"/>
          <cell r="GZ119"/>
          <cell r="HA119"/>
          <cell r="HB119"/>
          <cell r="HC119"/>
          <cell r="HD119"/>
          <cell r="HE119"/>
          <cell r="HF119"/>
          <cell r="HG119"/>
          <cell r="HH119"/>
          <cell r="HI119"/>
          <cell r="HJ119"/>
          <cell r="HK119"/>
          <cell r="HL119"/>
          <cell r="HM119"/>
          <cell r="HN119"/>
          <cell r="HO119"/>
          <cell r="HP119"/>
          <cell r="HQ119"/>
          <cell r="HR119"/>
          <cell r="HS119"/>
          <cell r="HT119"/>
          <cell r="HU119"/>
          <cell r="HV119"/>
          <cell r="HW119"/>
          <cell r="HX119"/>
          <cell r="HY119"/>
          <cell r="HZ119"/>
          <cell r="IA119"/>
          <cell r="IB119"/>
          <cell r="IC119"/>
          <cell r="ID119"/>
          <cell r="IE119"/>
          <cell r="IF119"/>
          <cell r="IG119"/>
          <cell r="IH119"/>
          <cell r="II119"/>
          <cell r="IJ119"/>
          <cell r="IK119"/>
          <cell r="IL119"/>
          <cell r="IM119"/>
          <cell r="IN119"/>
          <cell r="IO119"/>
          <cell r="IP119"/>
          <cell r="IQ119"/>
          <cell r="IR119"/>
          <cell r="IS119"/>
          <cell r="IT119"/>
          <cell r="IU119"/>
          <cell r="IV119"/>
          <cell r="IW119"/>
          <cell r="IX119"/>
          <cell r="IY119"/>
          <cell r="IZ119"/>
          <cell r="JA119"/>
          <cell r="JB119"/>
          <cell r="JC119"/>
          <cell r="JD119"/>
          <cell r="JE119"/>
          <cell r="JF119"/>
          <cell r="JG119"/>
          <cell r="JH119"/>
          <cell r="JI119"/>
          <cell r="JJ119"/>
          <cell r="JK119"/>
          <cell r="JL119"/>
          <cell r="JM119"/>
          <cell r="JN119"/>
          <cell r="JO119"/>
          <cell r="JP119"/>
          <cell r="JQ119"/>
          <cell r="JR119"/>
          <cell r="JS119"/>
          <cell r="JT119"/>
          <cell r="JU119"/>
          <cell r="JV119"/>
          <cell r="JW119"/>
          <cell r="JX119"/>
          <cell r="JY119"/>
          <cell r="JZ119"/>
          <cell r="KA119"/>
          <cell r="KB119"/>
          <cell r="KC119"/>
          <cell r="KD119"/>
          <cell r="KE119"/>
          <cell r="KF119"/>
          <cell r="KG119"/>
          <cell r="KH119"/>
          <cell r="KI119"/>
          <cell r="KJ119"/>
          <cell r="KK119"/>
          <cell r="KL119"/>
          <cell r="KM119"/>
          <cell r="KN119"/>
          <cell r="KO119"/>
          <cell r="KP119"/>
          <cell r="KQ119"/>
          <cell r="KR119"/>
          <cell r="KS119"/>
          <cell r="KT119"/>
          <cell r="KU119"/>
          <cell r="KV119"/>
          <cell r="KW119"/>
          <cell r="KX119"/>
          <cell r="KY119"/>
          <cell r="KZ119"/>
          <cell r="LA119"/>
          <cell r="LB119"/>
          <cell r="LC119"/>
          <cell r="LD119"/>
          <cell r="LE119"/>
          <cell r="LF119"/>
          <cell r="LG119"/>
          <cell r="LH119"/>
          <cell r="LI119"/>
        </row>
        <row r="120">
          <cell r="D120">
            <v>4218</v>
          </cell>
          <cell r="E120" t="str">
            <v>Ost pr iz ob soczaš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/>
          <cell r="EC120"/>
          <cell r="ED120"/>
          <cell r="EE120"/>
          <cell r="EF120"/>
          <cell r="EG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  <cell r="GF120"/>
          <cell r="GG120"/>
          <cell r="GH120"/>
          <cell r="GI120"/>
          <cell r="GJ120"/>
          <cell r="GK120"/>
          <cell r="GL120"/>
          <cell r="GM120"/>
          <cell r="GN120"/>
          <cell r="GO120"/>
          <cell r="GP120"/>
          <cell r="GQ120"/>
          <cell r="GR120"/>
          <cell r="GS120"/>
          <cell r="GT120"/>
          <cell r="GU120"/>
          <cell r="GV120"/>
          <cell r="GW120"/>
          <cell r="GX120"/>
          <cell r="GY120"/>
          <cell r="GZ120"/>
          <cell r="HA120"/>
          <cell r="HB120"/>
          <cell r="HC120"/>
          <cell r="HD120"/>
          <cell r="HE120"/>
          <cell r="HF120"/>
          <cell r="HG120"/>
          <cell r="HH120"/>
          <cell r="HI120"/>
          <cell r="HJ120"/>
          <cell r="HK120"/>
          <cell r="HL120"/>
          <cell r="HM120"/>
          <cell r="HN120"/>
          <cell r="HO120"/>
          <cell r="HP120"/>
          <cell r="HQ120"/>
          <cell r="HR120"/>
          <cell r="HS120"/>
          <cell r="HT120"/>
          <cell r="HU120"/>
          <cell r="HV120"/>
          <cell r="HW120"/>
          <cell r="HX120"/>
          <cell r="HY120"/>
          <cell r="HZ120"/>
          <cell r="IA120"/>
          <cell r="IB120"/>
          <cell r="IC120"/>
          <cell r="ID120"/>
          <cell r="IE120"/>
          <cell r="IF120"/>
          <cell r="IG120"/>
          <cell r="IH120"/>
          <cell r="II120"/>
          <cell r="IJ120"/>
          <cell r="IK120"/>
          <cell r="IL120"/>
          <cell r="IM120"/>
          <cell r="IN120"/>
          <cell r="IO120"/>
          <cell r="IP120"/>
          <cell r="IQ120"/>
          <cell r="IR120"/>
          <cell r="IS120"/>
          <cell r="IT120"/>
          <cell r="IU120"/>
          <cell r="IV120"/>
          <cell r="IW120"/>
          <cell r="IX120"/>
          <cell r="IY120"/>
          <cell r="IZ120"/>
          <cell r="JA120"/>
          <cell r="JB120"/>
          <cell r="JC120"/>
          <cell r="JD120"/>
          <cell r="JE120"/>
          <cell r="JF120"/>
          <cell r="JG120"/>
          <cell r="JH120"/>
          <cell r="JI120"/>
          <cell r="JJ120"/>
          <cell r="JK120"/>
          <cell r="JL120"/>
          <cell r="JM120"/>
          <cell r="JN120"/>
          <cell r="JO120"/>
          <cell r="JP120"/>
          <cell r="JQ120"/>
          <cell r="JR120"/>
          <cell r="JS120"/>
          <cell r="JT120"/>
          <cell r="JU120"/>
          <cell r="JV120"/>
          <cell r="JW120"/>
          <cell r="JX120"/>
          <cell r="JY120"/>
          <cell r="JZ120"/>
          <cell r="KA120"/>
          <cell r="KB120"/>
          <cell r="KC120"/>
          <cell r="KD120"/>
          <cell r="KE120"/>
          <cell r="KF120"/>
          <cell r="KG120"/>
          <cell r="KH120"/>
          <cell r="KI120"/>
          <cell r="KJ120"/>
          <cell r="KK120"/>
          <cell r="KL120"/>
          <cell r="KM120"/>
          <cell r="KN120"/>
          <cell r="KO120"/>
          <cell r="KP120"/>
          <cell r="KQ120"/>
          <cell r="KR120"/>
          <cell r="KS120"/>
          <cell r="KT120"/>
          <cell r="KU120"/>
          <cell r="KV120"/>
          <cell r="KW120"/>
          <cell r="KX120"/>
          <cell r="KY120"/>
          <cell r="KZ120"/>
          <cell r="LA120"/>
          <cell r="LB120"/>
          <cell r="LC120"/>
          <cell r="LD120"/>
          <cell r="LE120"/>
          <cell r="LF120"/>
          <cell r="LG120"/>
          <cell r="LH120"/>
          <cell r="LI120"/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  <cell r="GF121"/>
          <cell r="GG121"/>
          <cell r="GH121"/>
          <cell r="GI121"/>
          <cell r="GJ121"/>
          <cell r="GK121"/>
          <cell r="GL121"/>
          <cell r="GM121"/>
          <cell r="GN121"/>
          <cell r="GO121"/>
          <cell r="GP121"/>
          <cell r="GQ121"/>
          <cell r="GR121"/>
          <cell r="GS121"/>
          <cell r="GT121"/>
          <cell r="GU121"/>
          <cell r="GV121"/>
          <cell r="GW121"/>
          <cell r="GX121"/>
          <cell r="GY121"/>
          <cell r="GZ121"/>
          <cell r="HA121"/>
          <cell r="HB121"/>
          <cell r="HC121"/>
          <cell r="HD121"/>
          <cell r="HE121"/>
          <cell r="HF121"/>
          <cell r="HG121"/>
          <cell r="HH121"/>
          <cell r="HI121"/>
          <cell r="HJ121"/>
          <cell r="HK121"/>
          <cell r="HL121"/>
          <cell r="HM121"/>
          <cell r="HN121"/>
          <cell r="HO121"/>
          <cell r="HP121"/>
          <cell r="HQ121"/>
          <cell r="HR121"/>
          <cell r="HS121"/>
          <cell r="HT121"/>
          <cell r="HU121"/>
          <cell r="HV121"/>
          <cell r="HW121"/>
          <cell r="HX121"/>
          <cell r="HY121"/>
          <cell r="HZ121"/>
          <cell r="IA121"/>
          <cell r="IB121"/>
          <cell r="IC121"/>
          <cell r="ID121"/>
          <cell r="IE121"/>
          <cell r="IF121"/>
          <cell r="IG121"/>
          <cell r="IH121"/>
          <cell r="II121"/>
          <cell r="IJ121"/>
          <cell r="IK121"/>
          <cell r="IL121"/>
          <cell r="IM121"/>
          <cell r="IN121"/>
          <cell r="IO121"/>
          <cell r="IP121"/>
          <cell r="IQ121"/>
          <cell r="IR121"/>
          <cell r="IS121"/>
          <cell r="IT121"/>
          <cell r="IU121"/>
          <cell r="IV121"/>
          <cell r="IW121"/>
          <cell r="IX121"/>
          <cell r="IY121"/>
          <cell r="IZ121"/>
          <cell r="JA121"/>
          <cell r="JB121"/>
          <cell r="JC121"/>
          <cell r="JD121"/>
          <cell r="JE121"/>
          <cell r="JF121"/>
          <cell r="JG121"/>
          <cell r="JH121"/>
          <cell r="JI121"/>
          <cell r="JJ121"/>
          <cell r="JK121"/>
          <cell r="JL121"/>
          <cell r="JM121"/>
          <cell r="JN121"/>
          <cell r="JO121"/>
          <cell r="JP121"/>
          <cell r="JQ121"/>
          <cell r="JR121"/>
          <cell r="JS121"/>
          <cell r="JT121"/>
          <cell r="JU121"/>
          <cell r="JV121"/>
          <cell r="JW121"/>
          <cell r="JX121"/>
          <cell r="JY121"/>
          <cell r="JZ121"/>
          <cell r="KA121"/>
          <cell r="KB121"/>
          <cell r="KC121"/>
          <cell r="KD121"/>
          <cell r="KE121"/>
          <cell r="KF121"/>
          <cell r="KG121"/>
          <cell r="KH121"/>
          <cell r="KI121"/>
          <cell r="KJ121"/>
          <cell r="KK121"/>
          <cell r="KL121"/>
          <cell r="KM121"/>
          <cell r="KN121"/>
          <cell r="KO121"/>
          <cell r="KP121"/>
          <cell r="KQ121"/>
          <cell r="KR121"/>
          <cell r="KS121"/>
          <cell r="KT121"/>
          <cell r="KU121"/>
          <cell r="KV121"/>
          <cell r="KW121"/>
          <cell r="KX121"/>
          <cell r="KY121"/>
          <cell r="KZ121"/>
          <cell r="LA121"/>
          <cell r="LB121"/>
          <cell r="LC121"/>
          <cell r="LD121"/>
          <cell r="LE121"/>
          <cell r="LF121"/>
          <cell r="LG121"/>
          <cell r="LH121"/>
          <cell r="LI121"/>
        </row>
        <row r="122">
          <cell r="D122">
            <v>4221</v>
          </cell>
          <cell r="E122" t="str">
            <v>Garantovane zarade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  <cell r="GF122"/>
          <cell r="GG122"/>
          <cell r="GH122"/>
          <cell r="GI122"/>
          <cell r="GJ122"/>
          <cell r="GK122"/>
          <cell r="GL122"/>
          <cell r="GM122"/>
          <cell r="GN122"/>
          <cell r="GO122"/>
          <cell r="GP122"/>
          <cell r="GQ122"/>
          <cell r="GR122"/>
          <cell r="GS122"/>
          <cell r="GT122"/>
          <cell r="GU122"/>
          <cell r="GV122"/>
          <cell r="GW122"/>
          <cell r="GX122"/>
          <cell r="GY122"/>
          <cell r="GZ122"/>
          <cell r="HA122"/>
          <cell r="HB122"/>
          <cell r="HC122"/>
          <cell r="HD122"/>
          <cell r="HE122"/>
          <cell r="HF122"/>
          <cell r="HG122"/>
          <cell r="HH122"/>
          <cell r="HI122"/>
          <cell r="HJ122"/>
          <cell r="HK122"/>
          <cell r="HL122"/>
          <cell r="HM122"/>
          <cell r="HN122"/>
          <cell r="HO122"/>
          <cell r="HP122"/>
          <cell r="HQ122"/>
          <cell r="HR122"/>
          <cell r="HS122"/>
          <cell r="HT122"/>
          <cell r="HU122"/>
          <cell r="HV122"/>
          <cell r="HW122"/>
          <cell r="HX122"/>
          <cell r="HY122"/>
          <cell r="HZ122"/>
          <cell r="IA122"/>
          <cell r="IB122"/>
          <cell r="IC122"/>
          <cell r="ID122"/>
          <cell r="IE122"/>
          <cell r="IF122"/>
          <cell r="IG122"/>
          <cell r="IH122"/>
          <cell r="II122"/>
          <cell r="IJ122"/>
          <cell r="IK122"/>
          <cell r="IL122"/>
          <cell r="IM122"/>
          <cell r="IN122"/>
          <cell r="IO122"/>
          <cell r="IP122"/>
          <cell r="IQ122"/>
          <cell r="IR122"/>
          <cell r="IS122"/>
          <cell r="IT122"/>
          <cell r="IU122"/>
          <cell r="IV122"/>
          <cell r="IW122"/>
          <cell r="IX122"/>
          <cell r="IY122"/>
          <cell r="IZ122"/>
          <cell r="JA122"/>
          <cell r="JB122"/>
          <cell r="JC122"/>
          <cell r="JD122"/>
          <cell r="JE122"/>
          <cell r="JF122"/>
          <cell r="JG122"/>
          <cell r="JH122"/>
          <cell r="JI122"/>
          <cell r="JJ122"/>
          <cell r="JK122"/>
          <cell r="JL122"/>
          <cell r="JM122"/>
          <cell r="JN122"/>
          <cell r="JO122"/>
          <cell r="JP122"/>
          <cell r="JQ122"/>
          <cell r="JR122"/>
          <cell r="JS122"/>
          <cell r="JT122"/>
          <cell r="JU122"/>
          <cell r="JV122"/>
          <cell r="JW122"/>
          <cell r="JX122"/>
          <cell r="JY122"/>
          <cell r="JZ122"/>
          <cell r="KA122"/>
          <cell r="KB122"/>
          <cell r="KC122"/>
          <cell r="KD122"/>
          <cell r="KE122"/>
          <cell r="KF122"/>
          <cell r="KG122"/>
          <cell r="KH122"/>
          <cell r="KI122"/>
          <cell r="KJ122"/>
          <cell r="KK122"/>
          <cell r="KL122"/>
          <cell r="KM122"/>
          <cell r="KN122"/>
          <cell r="KO122"/>
          <cell r="KP122"/>
          <cell r="KQ122"/>
          <cell r="KR122"/>
          <cell r="KS122"/>
          <cell r="KT122"/>
          <cell r="KU122"/>
          <cell r="KV122"/>
          <cell r="KW122"/>
          <cell r="KX122"/>
          <cell r="KY122"/>
          <cell r="KZ122"/>
          <cell r="LA122"/>
          <cell r="LB122"/>
          <cell r="LC122"/>
          <cell r="LD122"/>
          <cell r="LE122"/>
          <cell r="LF122"/>
          <cell r="LG122"/>
          <cell r="LH122"/>
          <cell r="LI122"/>
        </row>
        <row r="123">
          <cell r="D123">
            <v>4222</v>
          </cell>
          <cell r="E123" t="str">
            <v>Otpremnine za tehnološke viškove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  <cell r="FM123"/>
          <cell r="FN123"/>
          <cell r="FO123"/>
          <cell r="FP123"/>
          <cell r="FQ123"/>
          <cell r="FR123"/>
          <cell r="FS123"/>
          <cell r="FT123"/>
          <cell r="FU123"/>
          <cell r="FV123"/>
          <cell r="FW123"/>
          <cell r="FX123"/>
          <cell r="FY123"/>
          <cell r="FZ123"/>
          <cell r="GA123"/>
          <cell r="GB123"/>
          <cell r="GC123"/>
          <cell r="GD123"/>
          <cell r="GE123"/>
          <cell r="GF123"/>
          <cell r="GG123"/>
          <cell r="GH123"/>
          <cell r="GI123"/>
          <cell r="GJ123"/>
          <cell r="GK123"/>
          <cell r="GL123"/>
          <cell r="GM123"/>
          <cell r="GN123"/>
          <cell r="GO123"/>
          <cell r="GP123"/>
          <cell r="GQ123"/>
          <cell r="GR123"/>
          <cell r="GS123"/>
          <cell r="GT123"/>
          <cell r="GU123"/>
          <cell r="GV123"/>
          <cell r="GW123"/>
          <cell r="GX123"/>
          <cell r="GY123"/>
          <cell r="GZ123"/>
          <cell r="HA123"/>
          <cell r="HB123"/>
          <cell r="HC123"/>
          <cell r="HD123"/>
          <cell r="HE123"/>
          <cell r="HF123"/>
          <cell r="HG123"/>
          <cell r="HH123"/>
          <cell r="HI123"/>
          <cell r="HJ123"/>
          <cell r="HK123"/>
          <cell r="HL123"/>
          <cell r="HM123"/>
          <cell r="HN123"/>
          <cell r="HO123"/>
          <cell r="HP123"/>
          <cell r="HQ123"/>
          <cell r="HR123"/>
          <cell r="HS123"/>
          <cell r="HT123"/>
          <cell r="HU123"/>
          <cell r="HV123"/>
          <cell r="HW123"/>
          <cell r="HX123"/>
          <cell r="HY123"/>
          <cell r="HZ123"/>
          <cell r="IA123"/>
          <cell r="IB123"/>
          <cell r="IC123"/>
          <cell r="ID123"/>
          <cell r="IE123"/>
          <cell r="IF123"/>
          <cell r="IG123"/>
          <cell r="IH123"/>
          <cell r="II123"/>
          <cell r="IJ123"/>
          <cell r="IK123"/>
          <cell r="IL123"/>
          <cell r="IM123"/>
          <cell r="IN123"/>
          <cell r="IO123"/>
          <cell r="IP123"/>
          <cell r="IQ123"/>
          <cell r="IR123"/>
          <cell r="IS123"/>
          <cell r="IT123"/>
          <cell r="IU123"/>
          <cell r="IV123"/>
          <cell r="IW123"/>
          <cell r="IX123"/>
          <cell r="IY123"/>
          <cell r="IZ123"/>
          <cell r="JA123"/>
          <cell r="JB123"/>
          <cell r="JC123"/>
          <cell r="JD123"/>
          <cell r="JE123"/>
          <cell r="JF123"/>
          <cell r="JG123"/>
          <cell r="JH123"/>
          <cell r="JI123"/>
          <cell r="JJ123"/>
          <cell r="JK123"/>
          <cell r="JL123"/>
          <cell r="JM123"/>
          <cell r="JN123"/>
          <cell r="JO123"/>
          <cell r="JP123"/>
          <cell r="JQ123"/>
          <cell r="JR123"/>
          <cell r="JS123"/>
          <cell r="JT123"/>
          <cell r="JU123"/>
          <cell r="JV123"/>
          <cell r="JW123"/>
          <cell r="JX123"/>
          <cell r="JY123"/>
          <cell r="JZ123"/>
          <cell r="KA123"/>
          <cell r="KB123"/>
          <cell r="KC123"/>
          <cell r="KD123"/>
          <cell r="KE123"/>
          <cell r="KF123"/>
          <cell r="KG123"/>
          <cell r="KH123"/>
          <cell r="KI123"/>
          <cell r="KJ123"/>
          <cell r="KK123"/>
          <cell r="KL123"/>
          <cell r="KM123"/>
          <cell r="KN123"/>
          <cell r="KO123"/>
          <cell r="KP123"/>
          <cell r="KQ123"/>
          <cell r="KR123"/>
          <cell r="KS123"/>
          <cell r="KT123"/>
          <cell r="KU123"/>
          <cell r="KV123"/>
          <cell r="KW123"/>
          <cell r="KX123"/>
          <cell r="KY123"/>
          <cell r="KZ123"/>
          <cell r="LA123"/>
          <cell r="LB123"/>
          <cell r="LC123"/>
          <cell r="LD123"/>
          <cell r="LE123"/>
          <cell r="LF123"/>
          <cell r="LG123"/>
          <cell r="LH123"/>
          <cell r="LI123"/>
        </row>
        <row r="124">
          <cell r="D124">
            <v>4223</v>
          </cell>
          <cell r="E124" t="str">
            <v>Dokup staža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  <cell r="GF124"/>
          <cell r="GG124"/>
          <cell r="GH124"/>
          <cell r="GI124"/>
          <cell r="GJ124"/>
          <cell r="GK124"/>
          <cell r="GL124"/>
          <cell r="GM124"/>
          <cell r="GN124"/>
          <cell r="GO124"/>
          <cell r="GP124"/>
          <cell r="GQ124"/>
          <cell r="GR124"/>
          <cell r="GS124"/>
          <cell r="GT124"/>
          <cell r="GU124"/>
          <cell r="GV124"/>
          <cell r="GW124"/>
          <cell r="GX124"/>
          <cell r="GY124"/>
          <cell r="GZ124"/>
          <cell r="HA124"/>
          <cell r="HB124"/>
          <cell r="HC124"/>
          <cell r="HD124"/>
          <cell r="HE124"/>
          <cell r="HF124"/>
          <cell r="HG124"/>
          <cell r="HH124"/>
          <cell r="HI124"/>
          <cell r="HJ124"/>
          <cell r="HK124"/>
          <cell r="HL124"/>
          <cell r="HM124"/>
          <cell r="HN124"/>
          <cell r="HO124"/>
          <cell r="HP124"/>
          <cell r="HQ124"/>
          <cell r="HR124"/>
          <cell r="HS124"/>
          <cell r="HT124"/>
          <cell r="HU124"/>
          <cell r="HV124"/>
          <cell r="HW124"/>
          <cell r="HX124"/>
          <cell r="HY124"/>
          <cell r="HZ124"/>
          <cell r="IA124"/>
          <cell r="IB124"/>
          <cell r="IC124"/>
          <cell r="ID124"/>
          <cell r="IE124"/>
          <cell r="IF124"/>
          <cell r="IG124"/>
          <cell r="IH124"/>
          <cell r="II124"/>
          <cell r="IJ124"/>
          <cell r="IK124"/>
          <cell r="IL124"/>
          <cell r="IM124"/>
          <cell r="IN124"/>
          <cell r="IO124"/>
          <cell r="IP124"/>
          <cell r="IQ124"/>
          <cell r="IR124"/>
          <cell r="IS124"/>
          <cell r="IT124"/>
          <cell r="IU124"/>
          <cell r="IV124"/>
          <cell r="IW124"/>
          <cell r="IX124"/>
          <cell r="IY124"/>
          <cell r="IZ124"/>
          <cell r="JA124"/>
          <cell r="JB124"/>
          <cell r="JC124"/>
          <cell r="JD124"/>
          <cell r="JE124"/>
          <cell r="JF124"/>
          <cell r="JG124"/>
          <cell r="JH124"/>
          <cell r="JI124"/>
          <cell r="JJ124"/>
          <cell r="JK124"/>
          <cell r="JL124"/>
          <cell r="JM124"/>
          <cell r="JN124"/>
          <cell r="JO124"/>
          <cell r="JP124"/>
          <cell r="JQ124"/>
          <cell r="JR124"/>
          <cell r="JS124"/>
          <cell r="JT124"/>
          <cell r="JU124"/>
          <cell r="JV124"/>
          <cell r="JW124"/>
          <cell r="JX124"/>
          <cell r="JY124"/>
          <cell r="JZ124"/>
          <cell r="KA124"/>
          <cell r="KB124"/>
          <cell r="KC124"/>
          <cell r="KD124"/>
          <cell r="KE124"/>
          <cell r="KF124"/>
          <cell r="KG124"/>
          <cell r="KH124"/>
          <cell r="KI124"/>
          <cell r="KJ124"/>
          <cell r="KK124"/>
          <cell r="KL124"/>
          <cell r="KM124"/>
          <cell r="KN124"/>
          <cell r="KO124"/>
          <cell r="KP124"/>
          <cell r="KQ124"/>
          <cell r="KR124"/>
          <cell r="KS124"/>
          <cell r="KT124"/>
          <cell r="KU124"/>
          <cell r="KV124"/>
          <cell r="KW124"/>
          <cell r="KX124"/>
          <cell r="KY124"/>
          <cell r="KZ124"/>
          <cell r="LA124"/>
          <cell r="LB124"/>
          <cell r="LC124"/>
          <cell r="LD124"/>
          <cell r="LE124"/>
          <cell r="LF124"/>
          <cell r="LG124"/>
          <cell r="LH124"/>
          <cell r="LI124"/>
        </row>
        <row r="125">
          <cell r="D125">
            <v>4224</v>
          </cell>
          <cell r="E125" t="str">
            <v>Naknade nezaposlenim licima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  <cell r="GF125"/>
          <cell r="GG125"/>
          <cell r="GH125"/>
          <cell r="GI125"/>
          <cell r="GJ125"/>
          <cell r="GK125"/>
          <cell r="GL125"/>
          <cell r="GM125"/>
          <cell r="GN125"/>
          <cell r="GO125"/>
          <cell r="GP125"/>
          <cell r="GQ125"/>
          <cell r="GR125"/>
          <cell r="GS125"/>
          <cell r="GT125"/>
          <cell r="GU125"/>
          <cell r="GV125"/>
          <cell r="GW125"/>
          <cell r="GX125"/>
          <cell r="GY125"/>
          <cell r="GZ125"/>
          <cell r="HA125"/>
          <cell r="HB125"/>
          <cell r="HC125"/>
          <cell r="HD125"/>
          <cell r="HE125"/>
          <cell r="HF125"/>
          <cell r="HG125"/>
          <cell r="HH125"/>
          <cell r="HI125"/>
          <cell r="HJ125"/>
          <cell r="HK125"/>
          <cell r="HL125"/>
          <cell r="HM125"/>
          <cell r="HN125"/>
          <cell r="HO125"/>
          <cell r="HP125"/>
          <cell r="HQ125"/>
          <cell r="HR125"/>
          <cell r="HS125"/>
          <cell r="HT125"/>
          <cell r="HU125"/>
          <cell r="HV125"/>
          <cell r="HW125"/>
          <cell r="HX125"/>
          <cell r="HY125"/>
          <cell r="HZ125"/>
          <cell r="IA125"/>
          <cell r="IB125"/>
          <cell r="IC125"/>
          <cell r="ID125"/>
          <cell r="IE125"/>
          <cell r="IF125"/>
          <cell r="IG125"/>
          <cell r="IH125"/>
          <cell r="II125"/>
          <cell r="IJ125"/>
          <cell r="IK125"/>
          <cell r="IL125"/>
          <cell r="IM125"/>
          <cell r="IN125"/>
          <cell r="IO125"/>
          <cell r="IP125"/>
          <cell r="IQ125"/>
          <cell r="IR125"/>
          <cell r="IS125"/>
          <cell r="IT125"/>
          <cell r="IU125"/>
          <cell r="IV125"/>
          <cell r="IW125"/>
          <cell r="IX125"/>
          <cell r="IY125"/>
          <cell r="IZ125"/>
          <cell r="JA125"/>
          <cell r="JB125"/>
          <cell r="JC125"/>
          <cell r="JD125"/>
          <cell r="JE125"/>
          <cell r="JF125"/>
          <cell r="JG125"/>
          <cell r="JH125"/>
          <cell r="JI125"/>
          <cell r="JJ125"/>
          <cell r="JK125"/>
          <cell r="JL125"/>
          <cell r="JM125"/>
          <cell r="JN125"/>
          <cell r="JO125"/>
          <cell r="JP125"/>
          <cell r="JQ125"/>
          <cell r="JR125"/>
          <cell r="JS125"/>
          <cell r="JT125"/>
          <cell r="JU125"/>
          <cell r="JV125"/>
          <cell r="JW125"/>
          <cell r="JX125"/>
          <cell r="JY125"/>
          <cell r="JZ125"/>
          <cell r="KA125"/>
          <cell r="KB125"/>
          <cell r="KC125"/>
          <cell r="KD125"/>
          <cell r="KE125"/>
          <cell r="KF125"/>
          <cell r="KG125"/>
          <cell r="KH125"/>
          <cell r="KI125"/>
          <cell r="KJ125"/>
          <cell r="KK125"/>
          <cell r="KL125"/>
          <cell r="KM125"/>
          <cell r="KN125"/>
          <cell r="KO125"/>
          <cell r="KP125"/>
          <cell r="KQ125"/>
          <cell r="KR125"/>
          <cell r="KS125"/>
          <cell r="KT125"/>
          <cell r="KU125"/>
          <cell r="KV125"/>
          <cell r="KW125"/>
          <cell r="KX125"/>
          <cell r="KY125"/>
          <cell r="KZ125"/>
          <cell r="LA125"/>
          <cell r="LB125"/>
          <cell r="LC125"/>
          <cell r="LD125"/>
          <cell r="LE125"/>
          <cell r="LF125"/>
          <cell r="LG125"/>
          <cell r="LH125"/>
          <cell r="LI125"/>
        </row>
        <row r="126">
          <cell r="D126">
            <v>4225</v>
          </cell>
          <cell r="E126" t="str">
            <v>Ostalo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/>
          <cell r="EB126"/>
          <cell r="EC126"/>
          <cell r="ED126"/>
          <cell r="EE126"/>
          <cell r="EF126"/>
          <cell r="EG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  <cell r="GF126"/>
          <cell r="GG126"/>
          <cell r="GH126"/>
          <cell r="GI126"/>
          <cell r="GJ126"/>
          <cell r="GK126"/>
          <cell r="GL126"/>
          <cell r="GM126"/>
          <cell r="GN126"/>
          <cell r="GO126"/>
          <cell r="GP126"/>
          <cell r="GQ126"/>
          <cell r="GR126"/>
          <cell r="GS126"/>
          <cell r="GT126"/>
          <cell r="GU126"/>
          <cell r="GV126"/>
          <cell r="GW126"/>
          <cell r="GX126"/>
          <cell r="GY126"/>
          <cell r="GZ126"/>
          <cell r="HA126"/>
          <cell r="HB126"/>
          <cell r="HC126"/>
          <cell r="HD126"/>
          <cell r="HE126"/>
          <cell r="HF126"/>
          <cell r="HG126"/>
          <cell r="HH126"/>
          <cell r="HI126"/>
          <cell r="HJ126"/>
          <cell r="HK126"/>
          <cell r="HL126"/>
          <cell r="HM126"/>
          <cell r="HN126"/>
          <cell r="HO126"/>
          <cell r="HP126"/>
          <cell r="HQ126"/>
          <cell r="HR126"/>
          <cell r="HS126"/>
          <cell r="HT126"/>
          <cell r="HU126"/>
          <cell r="HV126"/>
          <cell r="HW126"/>
          <cell r="HX126"/>
          <cell r="HY126"/>
          <cell r="HZ126"/>
          <cell r="IA126"/>
          <cell r="IB126"/>
          <cell r="IC126"/>
          <cell r="ID126"/>
          <cell r="IE126"/>
          <cell r="IF126"/>
          <cell r="IG126"/>
          <cell r="IH126"/>
          <cell r="II126"/>
          <cell r="IJ126"/>
          <cell r="IK126"/>
          <cell r="IL126"/>
          <cell r="IM126"/>
          <cell r="IN126"/>
          <cell r="IO126"/>
          <cell r="IP126"/>
          <cell r="IQ126"/>
          <cell r="IR126"/>
          <cell r="IS126"/>
          <cell r="IT126"/>
          <cell r="IU126"/>
          <cell r="IV126"/>
          <cell r="IW126"/>
          <cell r="IX126"/>
          <cell r="IY126"/>
          <cell r="IZ126"/>
          <cell r="JA126"/>
          <cell r="JB126"/>
          <cell r="JC126"/>
          <cell r="JD126"/>
          <cell r="JE126"/>
          <cell r="JF126"/>
          <cell r="JG126"/>
          <cell r="JH126"/>
          <cell r="JI126"/>
          <cell r="JJ126"/>
          <cell r="JK126"/>
          <cell r="JL126"/>
          <cell r="JM126"/>
          <cell r="JN126"/>
          <cell r="JO126"/>
          <cell r="JP126"/>
          <cell r="JQ126"/>
          <cell r="JR126"/>
          <cell r="JS126"/>
          <cell r="JT126"/>
          <cell r="JU126"/>
          <cell r="JV126"/>
          <cell r="JW126"/>
          <cell r="JX126"/>
          <cell r="JY126"/>
          <cell r="JZ126"/>
          <cell r="KA126"/>
          <cell r="KB126"/>
          <cell r="KC126"/>
          <cell r="KD126"/>
          <cell r="KE126"/>
          <cell r="KF126"/>
          <cell r="KG126"/>
          <cell r="KH126"/>
          <cell r="KI126"/>
          <cell r="KJ126"/>
          <cell r="KK126"/>
          <cell r="KL126"/>
          <cell r="KM126"/>
          <cell r="KN126"/>
          <cell r="KO126"/>
          <cell r="KP126"/>
          <cell r="KQ126"/>
          <cell r="KR126"/>
          <cell r="KS126"/>
          <cell r="KT126"/>
          <cell r="KU126"/>
          <cell r="KV126"/>
          <cell r="KW126"/>
          <cell r="KX126"/>
          <cell r="KY126"/>
          <cell r="KZ126"/>
          <cell r="LA126"/>
          <cell r="LB126"/>
          <cell r="LC126"/>
          <cell r="LD126"/>
          <cell r="LE126"/>
          <cell r="LF126"/>
          <cell r="LG126"/>
          <cell r="LH126"/>
          <cell r="LI126"/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  <cell r="GF127"/>
          <cell r="GG127"/>
          <cell r="GH127"/>
          <cell r="GI127"/>
          <cell r="GJ127"/>
          <cell r="GK127"/>
          <cell r="GL127"/>
          <cell r="GM127"/>
          <cell r="GN127"/>
          <cell r="GO127"/>
          <cell r="GP127"/>
          <cell r="GQ127"/>
          <cell r="GR127"/>
          <cell r="GS127"/>
          <cell r="GT127"/>
          <cell r="GU127"/>
          <cell r="GV127"/>
          <cell r="GW127"/>
          <cell r="GX127"/>
          <cell r="GY127"/>
          <cell r="GZ127"/>
          <cell r="HA127"/>
          <cell r="HB127"/>
          <cell r="HC127"/>
          <cell r="HD127"/>
          <cell r="HE127"/>
          <cell r="HF127"/>
          <cell r="HG127"/>
          <cell r="HH127"/>
          <cell r="HI127"/>
          <cell r="HJ127"/>
          <cell r="HK127"/>
          <cell r="HL127"/>
          <cell r="HM127"/>
          <cell r="HN127"/>
          <cell r="HO127"/>
          <cell r="HP127"/>
          <cell r="HQ127"/>
          <cell r="HR127"/>
          <cell r="HS127"/>
          <cell r="HT127"/>
          <cell r="HU127"/>
          <cell r="HV127"/>
          <cell r="HW127"/>
          <cell r="HX127"/>
          <cell r="HY127"/>
          <cell r="HZ127"/>
          <cell r="IA127"/>
          <cell r="IB127"/>
          <cell r="IC127"/>
          <cell r="ID127"/>
          <cell r="IE127"/>
          <cell r="IF127"/>
          <cell r="IG127"/>
          <cell r="IH127"/>
          <cell r="II127"/>
          <cell r="IJ127"/>
          <cell r="IK127"/>
          <cell r="IL127"/>
          <cell r="IM127"/>
          <cell r="IN127"/>
          <cell r="IO127"/>
          <cell r="IP127"/>
          <cell r="IQ127"/>
          <cell r="IR127"/>
          <cell r="IS127"/>
          <cell r="IT127"/>
          <cell r="IU127"/>
          <cell r="IV127"/>
          <cell r="IW127"/>
          <cell r="IX127"/>
          <cell r="IY127"/>
          <cell r="IZ127"/>
          <cell r="JA127"/>
          <cell r="JB127"/>
          <cell r="JC127"/>
          <cell r="JD127"/>
          <cell r="JE127"/>
          <cell r="JF127"/>
          <cell r="JG127"/>
          <cell r="JH127"/>
          <cell r="JI127"/>
          <cell r="JJ127"/>
          <cell r="JK127"/>
          <cell r="JL127"/>
          <cell r="JM127"/>
          <cell r="JN127"/>
          <cell r="JO127"/>
          <cell r="JP127"/>
          <cell r="JQ127"/>
          <cell r="JR127"/>
          <cell r="JS127"/>
          <cell r="JT127"/>
          <cell r="JU127"/>
          <cell r="JV127"/>
          <cell r="JW127"/>
          <cell r="JX127"/>
          <cell r="JY127"/>
          <cell r="JZ127"/>
          <cell r="KA127"/>
          <cell r="KB127"/>
          <cell r="KC127"/>
          <cell r="KD127"/>
          <cell r="KE127"/>
          <cell r="KF127"/>
          <cell r="KG127"/>
          <cell r="KH127"/>
          <cell r="KI127"/>
          <cell r="KJ127"/>
          <cell r="KK127"/>
          <cell r="KL127"/>
          <cell r="KM127"/>
          <cell r="KN127"/>
          <cell r="KO127"/>
          <cell r="KP127"/>
          <cell r="KQ127"/>
          <cell r="KR127"/>
          <cell r="KS127"/>
          <cell r="KT127"/>
          <cell r="KU127"/>
          <cell r="KV127"/>
          <cell r="KW127"/>
          <cell r="KX127"/>
          <cell r="KY127"/>
          <cell r="KZ127"/>
          <cell r="LA127"/>
          <cell r="LB127"/>
          <cell r="LC127"/>
          <cell r="LD127"/>
          <cell r="LE127"/>
          <cell r="LF127"/>
          <cell r="LG127"/>
          <cell r="LH127"/>
          <cell r="LI127"/>
        </row>
        <row r="128">
          <cell r="D128">
            <v>4231</v>
          </cell>
          <cell r="E128" t="str">
            <v>Starosna penzija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  <cell r="GF128"/>
          <cell r="GG128"/>
          <cell r="GH128"/>
          <cell r="GI128"/>
          <cell r="GJ128"/>
          <cell r="GK128"/>
          <cell r="GL128"/>
          <cell r="GM128"/>
          <cell r="GN128"/>
          <cell r="GO128"/>
          <cell r="GP128"/>
          <cell r="GQ128"/>
          <cell r="GR128"/>
          <cell r="GS128"/>
          <cell r="GT128"/>
          <cell r="GU128"/>
          <cell r="GV128"/>
          <cell r="GW128"/>
          <cell r="GX128"/>
          <cell r="GY128"/>
          <cell r="GZ128"/>
          <cell r="HA128"/>
          <cell r="HB128"/>
          <cell r="HC128"/>
          <cell r="HD128"/>
          <cell r="HE128"/>
          <cell r="HF128"/>
          <cell r="HG128"/>
          <cell r="HH128"/>
          <cell r="HI128"/>
          <cell r="HJ128"/>
          <cell r="HK128"/>
          <cell r="HL128"/>
          <cell r="HM128"/>
          <cell r="HN128"/>
          <cell r="HO128"/>
          <cell r="HP128"/>
          <cell r="HQ128"/>
          <cell r="HR128"/>
          <cell r="HS128"/>
          <cell r="HT128"/>
          <cell r="HU128"/>
          <cell r="HV128"/>
          <cell r="HW128"/>
          <cell r="HX128"/>
          <cell r="HY128"/>
          <cell r="HZ128"/>
          <cell r="IA128"/>
          <cell r="IB128"/>
          <cell r="IC128"/>
          <cell r="ID128"/>
          <cell r="IE128"/>
          <cell r="IF128"/>
          <cell r="IG128"/>
          <cell r="IH128"/>
          <cell r="II128"/>
          <cell r="IJ128"/>
          <cell r="IK128"/>
          <cell r="IL128"/>
          <cell r="IM128"/>
          <cell r="IN128"/>
          <cell r="IO128"/>
          <cell r="IP128"/>
          <cell r="IQ128"/>
          <cell r="IR128"/>
          <cell r="IS128"/>
          <cell r="IT128"/>
          <cell r="IU128"/>
          <cell r="IV128"/>
          <cell r="IW128"/>
          <cell r="IX128"/>
          <cell r="IY128"/>
          <cell r="IZ128"/>
          <cell r="JA128"/>
          <cell r="JB128"/>
          <cell r="JC128"/>
          <cell r="JD128"/>
          <cell r="JE128"/>
          <cell r="JF128"/>
          <cell r="JG128"/>
          <cell r="JH128"/>
          <cell r="JI128"/>
          <cell r="JJ128"/>
          <cell r="JK128"/>
          <cell r="JL128"/>
          <cell r="JM128"/>
          <cell r="JN128"/>
          <cell r="JO128"/>
          <cell r="JP128"/>
          <cell r="JQ128"/>
          <cell r="JR128"/>
          <cell r="JS128"/>
          <cell r="JT128"/>
          <cell r="JU128"/>
          <cell r="JV128"/>
          <cell r="JW128"/>
          <cell r="JX128"/>
          <cell r="JY128"/>
          <cell r="JZ128"/>
          <cell r="KA128"/>
          <cell r="KB128"/>
          <cell r="KC128"/>
          <cell r="KD128"/>
          <cell r="KE128"/>
          <cell r="KF128"/>
          <cell r="KG128"/>
          <cell r="KH128"/>
          <cell r="KI128"/>
          <cell r="KJ128"/>
          <cell r="KK128"/>
          <cell r="KL128"/>
          <cell r="KM128"/>
          <cell r="KN128"/>
          <cell r="KO128"/>
          <cell r="KP128"/>
          <cell r="KQ128"/>
          <cell r="KR128"/>
          <cell r="KS128"/>
          <cell r="KT128"/>
          <cell r="KU128"/>
          <cell r="KV128"/>
          <cell r="KW128"/>
          <cell r="KX128"/>
          <cell r="KY128"/>
          <cell r="KZ128"/>
          <cell r="LA128"/>
          <cell r="LB128"/>
          <cell r="LC128"/>
          <cell r="LD128"/>
          <cell r="LE128"/>
          <cell r="LF128"/>
          <cell r="LG128"/>
          <cell r="LH128"/>
          <cell r="LI128"/>
        </row>
        <row r="129">
          <cell r="D129">
            <v>4232</v>
          </cell>
          <cell r="E129" t="str">
            <v>Invalidska penzija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  <cell r="GF129"/>
          <cell r="GG129"/>
          <cell r="GH129"/>
          <cell r="GI129"/>
          <cell r="GJ129"/>
          <cell r="GK129"/>
          <cell r="GL129"/>
          <cell r="GM129"/>
          <cell r="GN129"/>
          <cell r="GO129"/>
          <cell r="GP129"/>
          <cell r="GQ129"/>
          <cell r="GR129"/>
          <cell r="GS129"/>
          <cell r="GT129"/>
          <cell r="GU129"/>
          <cell r="GV129"/>
          <cell r="GW129"/>
          <cell r="GX129"/>
          <cell r="GY129"/>
          <cell r="GZ129"/>
          <cell r="HA129"/>
          <cell r="HB129"/>
          <cell r="HC129"/>
          <cell r="HD129"/>
          <cell r="HE129"/>
          <cell r="HF129"/>
          <cell r="HG129"/>
          <cell r="HH129"/>
          <cell r="HI129"/>
          <cell r="HJ129"/>
          <cell r="HK129"/>
          <cell r="HL129"/>
          <cell r="HM129"/>
          <cell r="HN129"/>
          <cell r="HO129"/>
          <cell r="HP129"/>
          <cell r="HQ129"/>
          <cell r="HR129"/>
          <cell r="HS129"/>
          <cell r="HT129"/>
          <cell r="HU129"/>
          <cell r="HV129"/>
          <cell r="HW129"/>
          <cell r="HX129"/>
          <cell r="HY129"/>
          <cell r="HZ129"/>
          <cell r="IA129"/>
          <cell r="IB129"/>
          <cell r="IC129"/>
          <cell r="ID129"/>
          <cell r="IE129"/>
          <cell r="IF129"/>
          <cell r="IG129"/>
          <cell r="IH129"/>
          <cell r="II129"/>
          <cell r="IJ129"/>
          <cell r="IK129"/>
          <cell r="IL129"/>
          <cell r="IM129"/>
          <cell r="IN129"/>
          <cell r="IO129"/>
          <cell r="IP129"/>
          <cell r="IQ129"/>
          <cell r="IR129"/>
          <cell r="IS129"/>
          <cell r="IT129"/>
          <cell r="IU129"/>
          <cell r="IV129"/>
          <cell r="IW129"/>
          <cell r="IX129"/>
          <cell r="IY129"/>
          <cell r="IZ129"/>
          <cell r="JA129"/>
          <cell r="JB129"/>
          <cell r="JC129"/>
          <cell r="JD129"/>
          <cell r="JE129"/>
          <cell r="JF129"/>
          <cell r="JG129"/>
          <cell r="JH129"/>
          <cell r="JI129"/>
          <cell r="JJ129"/>
          <cell r="JK129"/>
          <cell r="JL129"/>
          <cell r="JM129"/>
          <cell r="JN129"/>
          <cell r="JO129"/>
          <cell r="JP129"/>
          <cell r="JQ129"/>
          <cell r="JR129"/>
          <cell r="JS129"/>
          <cell r="JT129"/>
          <cell r="JU129"/>
          <cell r="JV129"/>
          <cell r="JW129"/>
          <cell r="JX129"/>
          <cell r="JY129"/>
          <cell r="JZ129"/>
          <cell r="KA129"/>
          <cell r="KB129"/>
          <cell r="KC129"/>
          <cell r="KD129"/>
          <cell r="KE129"/>
          <cell r="KF129"/>
          <cell r="KG129"/>
          <cell r="KH129"/>
          <cell r="KI129"/>
          <cell r="KJ129"/>
          <cell r="KK129"/>
          <cell r="KL129"/>
          <cell r="KM129"/>
          <cell r="KN129"/>
          <cell r="KO129"/>
          <cell r="KP129"/>
          <cell r="KQ129"/>
          <cell r="KR129"/>
          <cell r="KS129"/>
          <cell r="KT129"/>
          <cell r="KU129"/>
          <cell r="KV129"/>
          <cell r="KW129"/>
          <cell r="KX129"/>
          <cell r="KY129"/>
          <cell r="KZ129"/>
          <cell r="LA129"/>
          <cell r="LB129"/>
          <cell r="LC129"/>
          <cell r="LD129"/>
          <cell r="LE129"/>
          <cell r="LF129"/>
          <cell r="LG129"/>
          <cell r="LH129"/>
          <cell r="LI129"/>
        </row>
        <row r="130">
          <cell r="D130">
            <v>4233</v>
          </cell>
          <cell r="E130" t="str">
            <v>Porodična penzija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  <cell r="GF130"/>
          <cell r="GG130"/>
          <cell r="GH130"/>
          <cell r="GI130"/>
          <cell r="GJ130"/>
          <cell r="GK130"/>
          <cell r="GL130"/>
          <cell r="GM130"/>
          <cell r="GN130"/>
          <cell r="GO130"/>
          <cell r="GP130"/>
          <cell r="GQ130"/>
          <cell r="GR130"/>
          <cell r="GS130"/>
          <cell r="GT130"/>
          <cell r="GU130"/>
          <cell r="GV130"/>
          <cell r="GW130"/>
          <cell r="GX130"/>
          <cell r="GY130"/>
          <cell r="GZ130"/>
          <cell r="HA130"/>
          <cell r="HB130"/>
          <cell r="HC130"/>
          <cell r="HD130"/>
          <cell r="HE130"/>
          <cell r="HF130"/>
          <cell r="HG130"/>
          <cell r="HH130"/>
          <cell r="HI130"/>
          <cell r="HJ130"/>
          <cell r="HK130"/>
          <cell r="HL130"/>
          <cell r="HM130"/>
          <cell r="HN130"/>
          <cell r="HO130"/>
          <cell r="HP130"/>
          <cell r="HQ130"/>
          <cell r="HR130"/>
          <cell r="HS130"/>
          <cell r="HT130"/>
          <cell r="HU130"/>
          <cell r="HV130"/>
          <cell r="HW130"/>
          <cell r="HX130"/>
          <cell r="HY130"/>
          <cell r="HZ130"/>
          <cell r="IA130"/>
          <cell r="IB130"/>
          <cell r="IC130"/>
          <cell r="ID130"/>
          <cell r="IE130"/>
          <cell r="IF130"/>
          <cell r="IG130"/>
          <cell r="IH130"/>
          <cell r="II130"/>
          <cell r="IJ130"/>
          <cell r="IK130"/>
          <cell r="IL130"/>
          <cell r="IM130"/>
          <cell r="IN130"/>
          <cell r="IO130"/>
          <cell r="IP130"/>
          <cell r="IQ130"/>
          <cell r="IR130"/>
          <cell r="IS130"/>
          <cell r="IT130"/>
          <cell r="IU130"/>
          <cell r="IV130"/>
          <cell r="IW130"/>
          <cell r="IX130"/>
          <cell r="IY130"/>
          <cell r="IZ130"/>
          <cell r="JA130"/>
          <cell r="JB130"/>
          <cell r="JC130"/>
          <cell r="JD130"/>
          <cell r="JE130"/>
          <cell r="JF130"/>
          <cell r="JG130"/>
          <cell r="JH130"/>
          <cell r="JI130"/>
          <cell r="JJ130"/>
          <cell r="JK130"/>
          <cell r="JL130"/>
          <cell r="JM130"/>
          <cell r="JN130"/>
          <cell r="JO130"/>
          <cell r="JP130"/>
          <cell r="JQ130"/>
          <cell r="JR130"/>
          <cell r="JS130"/>
          <cell r="JT130"/>
          <cell r="JU130"/>
          <cell r="JV130"/>
          <cell r="JW130"/>
          <cell r="JX130"/>
          <cell r="JY130"/>
          <cell r="JZ130"/>
          <cell r="KA130"/>
          <cell r="KB130"/>
          <cell r="KC130"/>
          <cell r="KD130"/>
          <cell r="KE130"/>
          <cell r="KF130"/>
          <cell r="KG130"/>
          <cell r="KH130"/>
          <cell r="KI130"/>
          <cell r="KJ130"/>
          <cell r="KK130"/>
          <cell r="KL130"/>
          <cell r="KM130"/>
          <cell r="KN130"/>
          <cell r="KO130"/>
          <cell r="KP130"/>
          <cell r="KQ130"/>
          <cell r="KR130"/>
          <cell r="KS130"/>
          <cell r="KT130"/>
          <cell r="KU130"/>
          <cell r="KV130"/>
          <cell r="KW130"/>
          <cell r="KX130"/>
          <cell r="KY130"/>
          <cell r="KZ130"/>
          <cell r="LA130"/>
          <cell r="LB130"/>
          <cell r="LC130"/>
          <cell r="LD130"/>
          <cell r="LE130"/>
          <cell r="LF130"/>
          <cell r="LG130"/>
          <cell r="LH130"/>
          <cell r="LI130"/>
        </row>
        <row r="131">
          <cell r="D131">
            <v>4234</v>
          </cell>
          <cell r="E131" t="str">
            <v>Naknade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/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  <cell r="GF131"/>
          <cell r="GG131"/>
          <cell r="GH131"/>
          <cell r="GI131"/>
          <cell r="GJ131"/>
          <cell r="GK131"/>
          <cell r="GL131"/>
          <cell r="GM131"/>
          <cell r="GN131"/>
          <cell r="GO131"/>
          <cell r="GP131"/>
          <cell r="GQ131"/>
          <cell r="GR131"/>
          <cell r="GS131"/>
          <cell r="GT131"/>
          <cell r="GU131"/>
          <cell r="GV131"/>
          <cell r="GW131"/>
          <cell r="GX131"/>
          <cell r="GY131"/>
          <cell r="GZ131"/>
          <cell r="HA131"/>
          <cell r="HB131"/>
          <cell r="HC131"/>
          <cell r="HD131"/>
          <cell r="HE131"/>
          <cell r="HF131"/>
          <cell r="HG131"/>
          <cell r="HH131"/>
          <cell r="HI131"/>
          <cell r="HJ131"/>
          <cell r="HK131"/>
          <cell r="HL131"/>
          <cell r="HM131"/>
          <cell r="HN131"/>
          <cell r="HO131"/>
          <cell r="HP131"/>
          <cell r="HQ131"/>
          <cell r="HR131"/>
          <cell r="HS131"/>
          <cell r="HT131"/>
          <cell r="HU131"/>
          <cell r="HV131"/>
          <cell r="HW131"/>
          <cell r="HX131"/>
          <cell r="HY131"/>
          <cell r="HZ131"/>
          <cell r="IA131"/>
          <cell r="IB131"/>
          <cell r="IC131"/>
          <cell r="ID131"/>
          <cell r="IE131"/>
          <cell r="IF131"/>
          <cell r="IG131"/>
          <cell r="IH131"/>
          <cell r="II131"/>
          <cell r="IJ131"/>
          <cell r="IK131"/>
          <cell r="IL131"/>
          <cell r="IM131"/>
          <cell r="IN131"/>
          <cell r="IO131"/>
          <cell r="IP131"/>
          <cell r="IQ131"/>
          <cell r="IR131"/>
          <cell r="IS131"/>
          <cell r="IT131"/>
          <cell r="IU131"/>
          <cell r="IV131"/>
          <cell r="IW131"/>
          <cell r="IX131"/>
          <cell r="IY131"/>
          <cell r="IZ131"/>
          <cell r="JA131"/>
          <cell r="JB131"/>
          <cell r="JC131"/>
          <cell r="JD131"/>
          <cell r="JE131"/>
          <cell r="JF131"/>
          <cell r="JG131"/>
          <cell r="JH131"/>
          <cell r="JI131"/>
          <cell r="JJ131"/>
          <cell r="JK131"/>
          <cell r="JL131"/>
          <cell r="JM131"/>
          <cell r="JN131"/>
          <cell r="JO131"/>
          <cell r="JP131"/>
          <cell r="JQ131"/>
          <cell r="JR131"/>
          <cell r="JS131"/>
          <cell r="JT131"/>
          <cell r="JU131"/>
          <cell r="JV131"/>
          <cell r="JW131"/>
          <cell r="JX131"/>
          <cell r="JY131"/>
          <cell r="JZ131"/>
          <cell r="KA131"/>
          <cell r="KB131"/>
          <cell r="KC131"/>
          <cell r="KD131"/>
          <cell r="KE131"/>
          <cell r="KF131"/>
          <cell r="KG131"/>
          <cell r="KH131"/>
          <cell r="KI131"/>
          <cell r="KJ131"/>
          <cell r="KK131"/>
          <cell r="KL131"/>
          <cell r="KM131"/>
          <cell r="KN131"/>
          <cell r="KO131"/>
          <cell r="KP131"/>
          <cell r="KQ131"/>
          <cell r="KR131"/>
          <cell r="KS131"/>
          <cell r="KT131"/>
          <cell r="KU131"/>
          <cell r="KV131"/>
          <cell r="KW131"/>
          <cell r="KX131"/>
          <cell r="KY131"/>
          <cell r="KZ131"/>
          <cell r="LA131"/>
          <cell r="LB131"/>
          <cell r="LC131"/>
          <cell r="LD131"/>
          <cell r="LE131"/>
          <cell r="LF131"/>
          <cell r="LG131"/>
          <cell r="LH131"/>
          <cell r="LI131"/>
        </row>
        <row r="132">
          <cell r="D132">
            <v>4235</v>
          </cell>
          <cell r="E132" t="str">
            <v>Dodaci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  <cell r="GF132"/>
          <cell r="GG132"/>
          <cell r="GH132"/>
          <cell r="GI132"/>
          <cell r="GJ132"/>
          <cell r="GK132"/>
          <cell r="GL132"/>
          <cell r="GM132"/>
          <cell r="GN132"/>
          <cell r="GO132"/>
          <cell r="GP132"/>
          <cell r="GQ132"/>
          <cell r="GR132"/>
          <cell r="GS132"/>
          <cell r="GT132"/>
          <cell r="GU132"/>
          <cell r="GV132"/>
          <cell r="GW132"/>
          <cell r="GX132"/>
          <cell r="GY132"/>
          <cell r="GZ132"/>
          <cell r="HA132"/>
          <cell r="HB132"/>
          <cell r="HC132"/>
          <cell r="HD132"/>
          <cell r="HE132"/>
          <cell r="HF132"/>
          <cell r="HG132"/>
          <cell r="HH132"/>
          <cell r="HI132"/>
          <cell r="HJ132"/>
          <cell r="HK132"/>
          <cell r="HL132"/>
          <cell r="HM132"/>
          <cell r="HN132"/>
          <cell r="HO132"/>
          <cell r="HP132"/>
          <cell r="HQ132"/>
          <cell r="HR132"/>
          <cell r="HS132"/>
          <cell r="HT132"/>
          <cell r="HU132"/>
          <cell r="HV132"/>
          <cell r="HW132"/>
          <cell r="HX132"/>
          <cell r="HY132"/>
          <cell r="HZ132"/>
          <cell r="IA132"/>
          <cell r="IB132"/>
          <cell r="IC132"/>
          <cell r="ID132"/>
          <cell r="IE132"/>
          <cell r="IF132"/>
          <cell r="IG132"/>
          <cell r="IH132"/>
          <cell r="II132"/>
          <cell r="IJ132"/>
          <cell r="IK132"/>
          <cell r="IL132"/>
          <cell r="IM132"/>
          <cell r="IN132"/>
          <cell r="IO132"/>
          <cell r="IP132"/>
          <cell r="IQ132"/>
          <cell r="IR132"/>
          <cell r="IS132"/>
          <cell r="IT132"/>
          <cell r="IU132"/>
          <cell r="IV132"/>
          <cell r="IW132"/>
          <cell r="IX132"/>
          <cell r="IY132"/>
          <cell r="IZ132"/>
          <cell r="JA132"/>
          <cell r="JB132"/>
          <cell r="JC132"/>
          <cell r="JD132"/>
          <cell r="JE132"/>
          <cell r="JF132"/>
          <cell r="JG132"/>
          <cell r="JH132"/>
          <cell r="JI132"/>
          <cell r="JJ132"/>
          <cell r="JK132"/>
          <cell r="JL132"/>
          <cell r="JM132"/>
          <cell r="JN132"/>
          <cell r="JO132"/>
          <cell r="JP132"/>
          <cell r="JQ132"/>
          <cell r="JR132"/>
          <cell r="JS132"/>
          <cell r="JT132"/>
          <cell r="JU132"/>
          <cell r="JV132"/>
          <cell r="JW132"/>
          <cell r="JX132"/>
          <cell r="JY132"/>
          <cell r="JZ132"/>
          <cell r="KA132"/>
          <cell r="KB132"/>
          <cell r="KC132"/>
          <cell r="KD132"/>
          <cell r="KE132"/>
          <cell r="KF132"/>
          <cell r="KG132"/>
          <cell r="KH132"/>
          <cell r="KI132"/>
          <cell r="KJ132"/>
          <cell r="KK132"/>
          <cell r="KL132"/>
          <cell r="KM132"/>
          <cell r="KN132"/>
          <cell r="KO132"/>
          <cell r="KP132"/>
          <cell r="KQ132"/>
          <cell r="KR132"/>
          <cell r="KS132"/>
          <cell r="KT132"/>
          <cell r="KU132"/>
          <cell r="KV132"/>
          <cell r="KW132"/>
          <cell r="KX132"/>
          <cell r="KY132"/>
          <cell r="KZ132"/>
          <cell r="LA132"/>
          <cell r="LB132"/>
          <cell r="LC132"/>
          <cell r="LD132"/>
          <cell r="LE132"/>
          <cell r="LF132"/>
          <cell r="LG132"/>
          <cell r="LH132"/>
          <cell r="LI132"/>
        </row>
        <row r="133">
          <cell r="D133">
            <v>4236</v>
          </cell>
          <cell r="E133" t="str">
            <v>Ostala prava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  <cell r="GF133"/>
          <cell r="GG133"/>
          <cell r="GH133"/>
          <cell r="GI133"/>
          <cell r="GJ133"/>
          <cell r="GK133"/>
          <cell r="GL133"/>
          <cell r="GM133"/>
          <cell r="GN133"/>
          <cell r="GO133"/>
          <cell r="GP133"/>
          <cell r="GQ133"/>
          <cell r="GR133"/>
          <cell r="GS133"/>
          <cell r="GT133"/>
          <cell r="GU133"/>
          <cell r="GV133"/>
          <cell r="GW133"/>
          <cell r="GX133"/>
          <cell r="GY133"/>
          <cell r="GZ133"/>
          <cell r="HA133"/>
          <cell r="HB133"/>
          <cell r="HC133"/>
          <cell r="HD133"/>
          <cell r="HE133"/>
          <cell r="HF133"/>
          <cell r="HG133"/>
          <cell r="HH133"/>
          <cell r="HI133"/>
          <cell r="HJ133"/>
          <cell r="HK133"/>
          <cell r="HL133"/>
          <cell r="HM133"/>
          <cell r="HN133"/>
          <cell r="HO133"/>
          <cell r="HP133"/>
          <cell r="HQ133"/>
          <cell r="HR133"/>
          <cell r="HS133"/>
          <cell r="HT133"/>
          <cell r="HU133"/>
          <cell r="HV133"/>
          <cell r="HW133"/>
          <cell r="HX133"/>
          <cell r="HY133"/>
          <cell r="HZ133"/>
          <cell r="IA133"/>
          <cell r="IB133"/>
          <cell r="IC133"/>
          <cell r="ID133"/>
          <cell r="IE133"/>
          <cell r="IF133"/>
          <cell r="IG133"/>
          <cell r="IH133"/>
          <cell r="II133"/>
          <cell r="IJ133"/>
          <cell r="IK133"/>
          <cell r="IL133"/>
          <cell r="IM133"/>
          <cell r="IN133"/>
          <cell r="IO133"/>
          <cell r="IP133"/>
          <cell r="IQ133"/>
          <cell r="IR133"/>
          <cell r="IS133"/>
          <cell r="IT133"/>
          <cell r="IU133"/>
          <cell r="IV133"/>
          <cell r="IW133"/>
          <cell r="IX133"/>
          <cell r="IY133"/>
          <cell r="IZ133"/>
          <cell r="JA133"/>
          <cell r="JB133"/>
          <cell r="JC133"/>
          <cell r="JD133"/>
          <cell r="JE133"/>
          <cell r="JF133"/>
          <cell r="JG133"/>
          <cell r="JH133"/>
          <cell r="JI133"/>
          <cell r="JJ133"/>
          <cell r="JK133"/>
          <cell r="JL133"/>
          <cell r="JM133"/>
          <cell r="JN133"/>
          <cell r="JO133"/>
          <cell r="JP133"/>
          <cell r="JQ133"/>
          <cell r="JR133"/>
          <cell r="JS133"/>
          <cell r="JT133"/>
          <cell r="JU133"/>
          <cell r="JV133"/>
          <cell r="JW133"/>
          <cell r="JX133"/>
          <cell r="JY133"/>
          <cell r="JZ133"/>
          <cell r="KA133"/>
          <cell r="KB133"/>
          <cell r="KC133"/>
          <cell r="KD133"/>
          <cell r="KE133"/>
          <cell r="KF133"/>
          <cell r="KG133"/>
          <cell r="KH133"/>
          <cell r="KI133"/>
          <cell r="KJ133"/>
          <cell r="KK133"/>
          <cell r="KL133"/>
          <cell r="KM133"/>
          <cell r="KN133"/>
          <cell r="KO133"/>
          <cell r="KP133"/>
          <cell r="KQ133"/>
          <cell r="KR133"/>
          <cell r="KS133"/>
          <cell r="KT133"/>
          <cell r="KU133"/>
          <cell r="KV133"/>
          <cell r="KW133"/>
          <cell r="KX133"/>
          <cell r="KY133"/>
          <cell r="KZ133"/>
          <cell r="LA133"/>
          <cell r="LB133"/>
          <cell r="LC133"/>
          <cell r="LD133"/>
          <cell r="LE133"/>
          <cell r="LF133"/>
          <cell r="LG133"/>
          <cell r="LH133"/>
          <cell r="LI133"/>
        </row>
        <row r="134">
          <cell r="D134">
            <v>4237</v>
          </cell>
          <cell r="E134" t="str">
            <v>Doprinos za zdravstvenu zaštitu penzionera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/>
          <cell r="EB134"/>
          <cell r="EC134"/>
          <cell r="ED134"/>
          <cell r="EE134"/>
          <cell r="EF134"/>
          <cell r="EG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  <cell r="GF134"/>
          <cell r="GG134"/>
          <cell r="GH134"/>
          <cell r="GI134"/>
          <cell r="GJ134"/>
          <cell r="GK134"/>
          <cell r="GL134"/>
          <cell r="GM134"/>
          <cell r="GN134"/>
          <cell r="GO134"/>
          <cell r="GP134"/>
          <cell r="GQ134"/>
          <cell r="GR134"/>
          <cell r="GS134"/>
          <cell r="GT134"/>
          <cell r="GU134"/>
          <cell r="GV134"/>
          <cell r="GW134"/>
          <cell r="GX134"/>
          <cell r="GY134"/>
          <cell r="GZ134"/>
          <cell r="HA134"/>
          <cell r="HB134"/>
          <cell r="HC134"/>
          <cell r="HD134"/>
          <cell r="HE134"/>
          <cell r="HF134"/>
          <cell r="HG134"/>
          <cell r="HH134"/>
          <cell r="HI134"/>
          <cell r="HJ134"/>
          <cell r="HK134"/>
          <cell r="HL134"/>
          <cell r="HM134"/>
          <cell r="HN134"/>
          <cell r="HO134"/>
          <cell r="HP134"/>
          <cell r="HQ134"/>
          <cell r="HR134"/>
          <cell r="HS134"/>
          <cell r="HT134"/>
          <cell r="HU134"/>
          <cell r="HV134"/>
          <cell r="HW134"/>
          <cell r="HX134"/>
          <cell r="HY134"/>
          <cell r="HZ134"/>
          <cell r="IA134"/>
          <cell r="IB134"/>
          <cell r="IC134"/>
          <cell r="ID134"/>
          <cell r="IE134"/>
          <cell r="IF134"/>
          <cell r="IG134"/>
          <cell r="IH134"/>
          <cell r="II134"/>
          <cell r="IJ134"/>
          <cell r="IK134"/>
          <cell r="IL134"/>
          <cell r="IM134"/>
          <cell r="IN134"/>
          <cell r="IO134"/>
          <cell r="IP134"/>
          <cell r="IQ134"/>
          <cell r="IR134"/>
          <cell r="IS134"/>
          <cell r="IT134"/>
          <cell r="IU134"/>
          <cell r="IV134"/>
          <cell r="IW134"/>
          <cell r="IX134"/>
          <cell r="IY134"/>
          <cell r="IZ134"/>
          <cell r="JA134"/>
          <cell r="JB134"/>
          <cell r="JC134"/>
          <cell r="JD134"/>
          <cell r="JE134"/>
          <cell r="JF134"/>
          <cell r="JG134"/>
          <cell r="JH134"/>
          <cell r="JI134"/>
          <cell r="JJ134"/>
          <cell r="JK134"/>
          <cell r="JL134"/>
          <cell r="JM134"/>
          <cell r="JN134"/>
          <cell r="JO134"/>
          <cell r="JP134"/>
          <cell r="JQ134"/>
          <cell r="JR134"/>
          <cell r="JS134"/>
          <cell r="JT134"/>
          <cell r="JU134"/>
          <cell r="JV134"/>
          <cell r="JW134"/>
          <cell r="JX134"/>
          <cell r="JY134"/>
          <cell r="JZ134"/>
          <cell r="KA134"/>
          <cell r="KB134"/>
          <cell r="KC134"/>
          <cell r="KD134"/>
          <cell r="KE134"/>
          <cell r="KF134"/>
          <cell r="KG134"/>
          <cell r="KH134"/>
          <cell r="KI134"/>
          <cell r="KJ134"/>
          <cell r="KK134"/>
          <cell r="KL134"/>
          <cell r="KM134"/>
          <cell r="KN134"/>
          <cell r="KO134"/>
          <cell r="KP134"/>
          <cell r="KQ134"/>
          <cell r="KR134"/>
          <cell r="KS134"/>
          <cell r="KT134"/>
          <cell r="KU134"/>
          <cell r="KV134"/>
          <cell r="KW134"/>
          <cell r="KX134"/>
          <cell r="KY134"/>
          <cell r="KZ134"/>
          <cell r="LA134"/>
          <cell r="LB134"/>
          <cell r="LC134"/>
          <cell r="LD134"/>
          <cell r="LE134"/>
          <cell r="LF134"/>
          <cell r="LG134"/>
          <cell r="LH134"/>
          <cell r="LI134"/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  <cell r="GF135"/>
          <cell r="GG135"/>
          <cell r="GH135"/>
          <cell r="GI135"/>
          <cell r="GJ135"/>
          <cell r="GK135"/>
          <cell r="GL135"/>
          <cell r="GM135"/>
          <cell r="GN135"/>
          <cell r="GO135"/>
          <cell r="GP135"/>
          <cell r="GQ135"/>
          <cell r="GR135"/>
          <cell r="GS135"/>
          <cell r="GT135"/>
          <cell r="GU135"/>
          <cell r="GV135"/>
          <cell r="GW135"/>
          <cell r="GX135"/>
          <cell r="GY135"/>
          <cell r="GZ135"/>
          <cell r="HA135"/>
          <cell r="HB135"/>
          <cell r="HC135"/>
          <cell r="HD135"/>
          <cell r="HE135"/>
          <cell r="HF135"/>
          <cell r="HG135"/>
          <cell r="HH135"/>
          <cell r="HI135"/>
          <cell r="HJ135"/>
          <cell r="HK135"/>
          <cell r="HL135"/>
          <cell r="HM135"/>
          <cell r="HN135"/>
          <cell r="HO135"/>
          <cell r="HP135"/>
          <cell r="HQ135"/>
          <cell r="HR135"/>
          <cell r="HS135"/>
          <cell r="HT135"/>
          <cell r="HU135"/>
          <cell r="HV135"/>
          <cell r="HW135"/>
          <cell r="HX135"/>
          <cell r="HY135"/>
          <cell r="HZ135"/>
          <cell r="IA135"/>
          <cell r="IB135"/>
          <cell r="IC135"/>
          <cell r="ID135"/>
          <cell r="IE135"/>
          <cell r="IF135"/>
          <cell r="IG135"/>
          <cell r="IH135"/>
          <cell r="II135"/>
          <cell r="IJ135"/>
          <cell r="IK135"/>
          <cell r="IL135"/>
          <cell r="IM135"/>
          <cell r="IN135"/>
          <cell r="IO135"/>
          <cell r="IP135"/>
          <cell r="IQ135"/>
          <cell r="IR135"/>
          <cell r="IS135"/>
          <cell r="IT135"/>
          <cell r="IU135"/>
          <cell r="IV135"/>
          <cell r="IW135"/>
          <cell r="IX135"/>
          <cell r="IY135"/>
          <cell r="IZ135"/>
          <cell r="JA135"/>
          <cell r="JB135"/>
          <cell r="JC135"/>
          <cell r="JD135"/>
          <cell r="JE135"/>
          <cell r="JF135"/>
          <cell r="JG135"/>
          <cell r="JH135"/>
          <cell r="JI135"/>
          <cell r="JJ135"/>
          <cell r="JK135"/>
          <cell r="JL135"/>
          <cell r="JM135"/>
          <cell r="JN135"/>
          <cell r="JO135"/>
          <cell r="JP135"/>
          <cell r="JQ135"/>
          <cell r="JR135"/>
          <cell r="JS135"/>
          <cell r="JT135"/>
          <cell r="JU135"/>
          <cell r="JV135"/>
          <cell r="JW135"/>
          <cell r="JX135"/>
          <cell r="JY135"/>
          <cell r="JZ135"/>
          <cell r="KA135"/>
          <cell r="KB135"/>
          <cell r="KC135"/>
          <cell r="KD135"/>
          <cell r="KE135"/>
          <cell r="KF135"/>
          <cell r="KG135"/>
          <cell r="KH135"/>
          <cell r="KI135"/>
          <cell r="KJ135"/>
          <cell r="KK135"/>
          <cell r="KL135"/>
          <cell r="KM135"/>
          <cell r="KN135"/>
          <cell r="KO135"/>
          <cell r="KP135"/>
          <cell r="KQ135"/>
          <cell r="KR135"/>
          <cell r="KS135"/>
          <cell r="KT135"/>
          <cell r="KU135"/>
          <cell r="KV135"/>
          <cell r="KW135"/>
          <cell r="KX135"/>
          <cell r="KY135"/>
          <cell r="KZ135"/>
          <cell r="LA135"/>
          <cell r="LB135"/>
          <cell r="LC135"/>
          <cell r="LD135"/>
          <cell r="LE135"/>
          <cell r="LF135"/>
          <cell r="LG135"/>
          <cell r="LH135"/>
          <cell r="LI135"/>
        </row>
        <row r="136">
          <cell r="D136">
            <v>4241</v>
          </cell>
          <cell r="E136" t="str">
            <v>Liječenje van Crne Gore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/>
          <cell r="EC136"/>
          <cell r="ED136"/>
          <cell r="EE136"/>
          <cell r="EF136"/>
          <cell r="EG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  <cell r="GF136"/>
          <cell r="GG136"/>
          <cell r="GH136"/>
          <cell r="GI136"/>
          <cell r="GJ136"/>
          <cell r="GK136"/>
          <cell r="GL136"/>
          <cell r="GM136"/>
          <cell r="GN136"/>
          <cell r="GO136"/>
          <cell r="GP136"/>
          <cell r="GQ136"/>
          <cell r="GR136"/>
          <cell r="GS136"/>
          <cell r="GT136"/>
          <cell r="GU136"/>
          <cell r="GV136"/>
          <cell r="GW136"/>
          <cell r="GX136"/>
          <cell r="GY136"/>
          <cell r="GZ136"/>
          <cell r="HA136"/>
          <cell r="HB136"/>
          <cell r="HC136"/>
          <cell r="HD136"/>
          <cell r="HE136"/>
          <cell r="HF136"/>
          <cell r="HG136"/>
          <cell r="HH136"/>
          <cell r="HI136"/>
          <cell r="HJ136"/>
          <cell r="HK136"/>
          <cell r="HL136"/>
          <cell r="HM136"/>
          <cell r="HN136"/>
          <cell r="HO136"/>
          <cell r="HP136"/>
          <cell r="HQ136"/>
          <cell r="HR136"/>
          <cell r="HS136"/>
          <cell r="HT136"/>
          <cell r="HU136"/>
          <cell r="HV136"/>
          <cell r="HW136"/>
          <cell r="HX136"/>
          <cell r="HY136"/>
          <cell r="HZ136"/>
          <cell r="IA136"/>
          <cell r="IB136"/>
          <cell r="IC136"/>
          <cell r="ID136"/>
          <cell r="IE136"/>
          <cell r="IF136"/>
          <cell r="IG136"/>
          <cell r="IH136"/>
          <cell r="II136"/>
          <cell r="IJ136"/>
          <cell r="IK136"/>
          <cell r="IL136"/>
          <cell r="IM136"/>
          <cell r="IN136"/>
          <cell r="IO136"/>
          <cell r="IP136"/>
          <cell r="IQ136"/>
          <cell r="IR136"/>
          <cell r="IS136"/>
          <cell r="IT136"/>
          <cell r="IU136"/>
          <cell r="IV136"/>
          <cell r="IW136"/>
          <cell r="IX136"/>
          <cell r="IY136"/>
          <cell r="IZ136"/>
          <cell r="JA136"/>
          <cell r="JB136"/>
          <cell r="JC136"/>
          <cell r="JD136"/>
          <cell r="JE136"/>
          <cell r="JF136"/>
          <cell r="JG136"/>
          <cell r="JH136"/>
          <cell r="JI136"/>
          <cell r="JJ136"/>
          <cell r="JK136"/>
          <cell r="JL136"/>
          <cell r="JM136"/>
          <cell r="JN136"/>
          <cell r="JO136"/>
          <cell r="JP136"/>
          <cell r="JQ136"/>
          <cell r="JR136"/>
          <cell r="JS136"/>
          <cell r="JT136"/>
          <cell r="JU136"/>
          <cell r="JV136"/>
          <cell r="JW136"/>
          <cell r="JX136"/>
          <cell r="JY136"/>
          <cell r="JZ136"/>
          <cell r="KA136"/>
          <cell r="KB136"/>
          <cell r="KC136"/>
          <cell r="KD136"/>
          <cell r="KE136"/>
          <cell r="KF136"/>
          <cell r="KG136"/>
          <cell r="KH136"/>
          <cell r="KI136"/>
          <cell r="KJ136"/>
          <cell r="KK136"/>
          <cell r="KL136"/>
          <cell r="KM136"/>
          <cell r="KN136"/>
          <cell r="KO136"/>
          <cell r="KP136"/>
          <cell r="KQ136"/>
          <cell r="KR136"/>
          <cell r="KS136"/>
          <cell r="KT136"/>
          <cell r="KU136"/>
          <cell r="KV136"/>
          <cell r="KW136"/>
          <cell r="KX136"/>
          <cell r="KY136"/>
          <cell r="KZ136"/>
          <cell r="LA136"/>
          <cell r="LB136"/>
          <cell r="LC136"/>
          <cell r="LD136"/>
          <cell r="LE136"/>
          <cell r="LF136"/>
          <cell r="LG136"/>
          <cell r="LH136"/>
          <cell r="LI136"/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  <cell r="GF137"/>
          <cell r="GG137"/>
          <cell r="GH137"/>
          <cell r="GI137"/>
          <cell r="GJ137"/>
          <cell r="GK137"/>
          <cell r="GL137"/>
          <cell r="GM137"/>
          <cell r="GN137"/>
          <cell r="GO137"/>
          <cell r="GP137"/>
          <cell r="GQ137"/>
          <cell r="GR137"/>
          <cell r="GS137"/>
          <cell r="GT137"/>
          <cell r="GU137"/>
          <cell r="GV137"/>
          <cell r="GW137"/>
          <cell r="GX137"/>
          <cell r="GY137"/>
          <cell r="GZ137"/>
          <cell r="HA137"/>
          <cell r="HB137"/>
          <cell r="HC137"/>
          <cell r="HD137"/>
          <cell r="HE137"/>
          <cell r="HF137"/>
          <cell r="HG137"/>
          <cell r="HH137"/>
          <cell r="HI137"/>
          <cell r="HJ137"/>
          <cell r="HK137"/>
          <cell r="HL137"/>
          <cell r="HM137"/>
          <cell r="HN137"/>
          <cell r="HO137"/>
          <cell r="HP137"/>
          <cell r="HQ137"/>
          <cell r="HR137"/>
          <cell r="HS137"/>
          <cell r="HT137"/>
          <cell r="HU137"/>
          <cell r="HV137"/>
          <cell r="HW137"/>
          <cell r="HX137"/>
          <cell r="HY137"/>
          <cell r="HZ137"/>
          <cell r="IA137"/>
          <cell r="IB137"/>
          <cell r="IC137"/>
          <cell r="ID137"/>
          <cell r="IE137"/>
          <cell r="IF137"/>
          <cell r="IG137"/>
          <cell r="IH137"/>
          <cell r="II137"/>
          <cell r="IJ137"/>
          <cell r="IK137"/>
          <cell r="IL137"/>
          <cell r="IM137"/>
          <cell r="IN137"/>
          <cell r="IO137"/>
          <cell r="IP137"/>
          <cell r="IQ137"/>
          <cell r="IR137"/>
          <cell r="IS137"/>
          <cell r="IT137"/>
          <cell r="IU137"/>
          <cell r="IV137"/>
          <cell r="IW137"/>
          <cell r="IX137"/>
          <cell r="IY137"/>
          <cell r="IZ137"/>
          <cell r="JA137"/>
          <cell r="JB137"/>
          <cell r="JC137"/>
          <cell r="JD137"/>
          <cell r="JE137"/>
          <cell r="JF137"/>
          <cell r="JG137"/>
          <cell r="JH137"/>
          <cell r="JI137"/>
          <cell r="JJ137"/>
          <cell r="JK137"/>
          <cell r="JL137"/>
          <cell r="JM137"/>
          <cell r="JN137"/>
          <cell r="JO137"/>
          <cell r="JP137"/>
          <cell r="JQ137"/>
          <cell r="JR137"/>
          <cell r="JS137"/>
          <cell r="JT137"/>
          <cell r="JU137"/>
          <cell r="JV137"/>
          <cell r="JW137"/>
          <cell r="JX137"/>
          <cell r="JY137"/>
          <cell r="JZ137"/>
          <cell r="KA137"/>
          <cell r="KB137"/>
          <cell r="KC137"/>
          <cell r="KD137"/>
          <cell r="KE137"/>
          <cell r="KF137"/>
          <cell r="KG137"/>
          <cell r="KH137"/>
          <cell r="KI137"/>
          <cell r="KJ137"/>
          <cell r="KK137"/>
          <cell r="KL137"/>
          <cell r="KM137"/>
          <cell r="KN137"/>
          <cell r="KO137"/>
          <cell r="KP137"/>
          <cell r="KQ137"/>
          <cell r="KR137"/>
          <cell r="KS137"/>
          <cell r="KT137"/>
          <cell r="KU137"/>
          <cell r="KV137"/>
          <cell r="KW137"/>
          <cell r="KX137"/>
          <cell r="KY137"/>
          <cell r="KZ137"/>
          <cell r="LA137"/>
          <cell r="LB137"/>
          <cell r="LC137"/>
          <cell r="LD137"/>
          <cell r="LE137"/>
          <cell r="LF137"/>
          <cell r="LG137"/>
          <cell r="LH137"/>
          <cell r="LI137"/>
        </row>
        <row r="138">
          <cell r="D138">
            <v>4251</v>
          </cell>
          <cell r="E138" t="str">
            <v>Ortopedske sprave i pomagala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  <cell r="GF138"/>
          <cell r="GG138"/>
          <cell r="GH138"/>
          <cell r="GI138"/>
          <cell r="GJ138"/>
          <cell r="GK138"/>
          <cell r="GL138"/>
          <cell r="GM138"/>
          <cell r="GN138"/>
          <cell r="GO138"/>
          <cell r="GP138"/>
          <cell r="GQ138"/>
          <cell r="GR138"/>
          <cell r="GS138"/>
          <cell r="GT138"/>
          <cell r="GU138"/>
          <cell r="GV138"/>
          <cell r="GW138"/>
          <cell r="GX138"/>
          <cell r="GY138"/>
          <cell r="GZ138"/>
          <cell r="HA138"/>
          <cell r="HB138"/>
          <cell r="HC138"/>
          <cell r="HD138"/>
          <cell r="HE138"/>
          <cell r="HF138"/>
          <cell r="HG138"/>
          <cell r="HH138"/>
          <cell r="HI138"/>
          <cell r="HJ138"/>
          <cell r="HK138"/>
          <cell r="HL138"/>
          <cell r="HM138"/>
          <cell r="HN138"/>
          <cell r="HO138"/>
          <cell r="HP138"/>
          <cell r="HQ138"/>
          <cell r="HR138"/>
          <cell r="HS138"/>
          <cell r="HT138"/>
          <cell r="HU138"/>
          <cell r="HV138"/>
          <cell r="HW138"/>
          <cell r="HX138"/>
          <cell r="HY138"/>
          <cell r="HZ138"/>
          <cell r="IA138"/>
          <cell r="IB138"/>
          <cell r="IC138"/>
          <cell r="ID138"/>
          <cell r="IE138"/>
          <cell r="IF138"/>
          <cell r="IG138"/>
          <cell r="IH138"/>
          <cell r="II138"/>
          <cell r="IJ138"/>
          <cell r="IK138"/>
          <cell r="IL138"/>
          <cell r="IM138"/>
          <cell r="IN138"/>
          <cell r="IO138"/>
          <cell r="IP138"/>
          <cell r="IQ138"/>
          <cell r="IR138"/>
          <cell r="IS138"/>
          <cell r="IT138"/>
          <cell r="IU138"/>
          <cell r="IV138"/>
          <cell r="IW138"/>
          <cell r="IX138"/>
          <cell r="IY138"/>
          <cell r="IZ138"/>
          <cell r="JA138"/>
          <cell r="JB138"/>
          <cell r="JC138"/>
          <cell r="JD138"/>
          <cell r="JE138"/>
          <cell r="JF138"/>
          <cell r="JG138"/>
          <cell r="JH138"/>
          <cell r="JI138"/>
          <cell r="JJ138"/>
          <cell r="JK138"/>
          <cell r="JL138"/>
          <cell r="JM138"/>
          <cell r="JN138"/>
          <cell r="JO138"/>
          <cell r="JP138"/>
          <cell r="JQ138"/>
          <cell r="JR138"/>
          <cell r="JS138"/>
          <cell r="JT138"/>
          <cell r="JU138"/>
          <cell r="JV138"/>
          <cell r="JW138"/>
          <cell r="JX138"/>
          <cell r="JY138"/>
          <cell r="JZ138"/>
          <cell r="KA138"/>
          <cell r="KB138"/>
          <cell r="KC138"/>
          <cell r="KD138"/>
          <cell r="KE138"/>
          <cell r="KF138"/>
          <cell r="KG138"/>
          <cell r="KH138"/>
          <cell r="KI138"/>
          <cell r="KJ138"/>
          <cell r="KK138"/>
          <cell r="KL138"/>
          <cell r="KM138"/>
          <cell r="KN138"/>
          <cell r="KO138"/>
          <cell r="KP138"/>
          <cell r="KQ138"/>
          <cell r="KR138"/>
          <cell r="KS138"/>
          <cell r="KT138"/>
          <cell r="KU138"/>
          <cell r="KV138"/>
          <cell r="KW138"/>
          <cell r="KX138"/>
          <cell r="KY138"/>
          <cell r="KZ138"/>
          <cell r="LA138"/>
          <cell r="LB138"/>
          <cell r="LC138"/>
          <cell r="LD138"/>
          <cell r="LE138"/>
          <cell r="LF138"/>
          <cell r="LG138"/>
          <cell r="LH138"/>
          <cell r="LI138"/>
        </row>
        <row r="139">
          <cell r="D139">
            <v>4252</v>
          </cell>
          <cell r="E139" t="str">
            <v>Naknade za bolovanje preko 60 dana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  <cell r="GF139"/>
          <cell r="GG139"/>
          <cell r="GH139"/>
          <cell r="GI139"/>
          <cell r="GJ139"/>
          <cell r="GK139"/>
          <cell r="GL139"/>
          <cell r="GM139"/>
          <cell r="GN139"/>
          <cell r="GO139"/>
          <cell r="GP139"/>
          <cell r="GQ139"/>
          <cell r="GR139"/>
          <cell r="GS139"/>
          <cell r="GT139"/>
          <cell r="GU139"/>
          <cell r="GV139"/>
          <cell r="GW139"/>
          <cell r="GX139"/>
          <cell r="GY139"/>
          <cell r="GZ139"/>
          <cell r="HA139"/>
          <cell r="HB139"/>
          <cell r="HC139"/>
          <cell r="HD139"/>
          <cell r="HE139"/>
          <cell r="HF139"/>
          <cell r="HG139"/>
          <cell r="HH139"/>
          <cell r="HI139"/>
          <cell r="HJ139"/>
          <cell r="HK139"/>
          <cell r="HL139"/>
          <cell r="HM139"/>
          <cell r="HN139"/>
          <cell r="HO139"/>
          <cell r="HP139"/>
          <cell r="HQ139"/>
          <cell r="HR139"/>
          <cell r="HS139"/>
          <cell r="HT139"/>
          <cell r="HU139"/>
          <cell r="HV139"/>
          <cell r="HW139"/>
          <cell r="HX139"/>
          <cell r="HY139"/>
          <cell r="HZ139"/>
          <cell r="IA139"/>
          <cell r="IB139"/>
          <cell r="IC139"/>
          <cell r="ID139"/>
          <cell r="IE139"/>
          <cell r="IF139"/>
          <cell r="IG139"/>
          <cell r="IH139"/>
          <cell r="II139"/>
          <cell r="IJ139"/>
          <cell r="IK139"/>
          <cell r="IL139"/>
          <cell r="IM139"/>
          <cell r="IN139"/>
          <cell r="IO139"/>
          <cell r="IP139"/>
          <cell r="IQ139"/>
          <cell r="IR139"/>
          <cell r="IS139"/>
          <cell r="IT139"/>
          <cell r="IU139"/>
          <cell r="IV139"/>
          <cell r="IW139"/>
          <cell r="IX139"/>
          <cell r="IY139"/>
          <cell r="IZ139"/>
          <cell r="JA139"/>
          <cell r="JB139"/>
          <cell r="JC139"/>
          <cell r="JD139"/>
          <cell r="JE139"/>
          <cell r="JF139"/>
          <cell r="JG139"/>
          <cell r="JH139"/>
          <cell r="JI139"/>
          <cell r="JJ139"/>
          <cell r="JK139"/>
          <cell r="JL139"/>
          <cell r="JM139"/>
          <cell r="JN139"/>
          <cell r="JO139"/>
          <cell r="JP139"/>
          <cell r="JQ139"/>
          <cell r="JR139"/>
          <cell r="JS139"/>
          <cell r="JT139"/>
          <cell r="JU139"/>
          <cell r="JV139"/>
          <cell r="JW139"/>
          <cell r="JX139"/>
          <cell r="JY139"/>
          <cell r="JZ139"/>
          <cell r="KA139"/>
          <cell r="KB139"/>
          <cell r="KC139"/>
          <cell r="KD139"/>
          <cell r="KE139"/>
          <cell r="KF139"/>
          <cell r="KG139"/>
          <cell r="KH139"/>
          <cell r="KI139"/>
          <cell r="KJ139"/>
          <cell r="KK139"/>
          <cell r="KL139"/>
          <cell r="KM139"/>
          <cell r="KN139"/>
          <cell r="KO139"/>
          <cell r="KP139"/>
          <cell r="KQ139"/>
          <cell r="KR139"/>
          <cell r="KS139"/>
          <cell r="KT139"/>
          <cell r="KU139"/>
          <cell r="KV139"/>
          <cell r="KW139"/>
          <cell r="KX139"/>
          <cell r="KY139"/>
          <cell r="KZ139"/>
          <cell r="LA139"/>
          <cell r="LB139"/>
          <cell r="LC139"/>
          <cell r="LD139"/>
          <cell r="LE139"/>
          <cell r="LF139"/>
          <cell r="LG139"/>
          <cell r="LH139"/>
          <cell r="LI139"/>
        </row>
        <row r="140">
          <cell r="D140">
            <v>4253</v>
          </cell>
          <cell r="E140" t="str">
            <v>Naknade za putne troškove osiguranika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/>
          <cell r="EC140"/>
          <cell r="ED140"/>
          <cell r="EE140"/>
          <cell r="EF140"/>
          <cell r="EG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  <cell r="GF140"/>
          <cell r="GG140"/>
          <cell r="GH140"/>
          <cell r="GI140"/>
          <cell r="GJ140"/>
          <cell r="GK140"/>
          <cell r="GL140"/>
          <cell r="GM140"/>
          <cell r="GN140"/>
          <cell r="GO140"/>
          <cell r="GP140"/>
          <cell r="GQ140"/>
          <cell r="GR140"/>
          <cell r="GS140"/>
          <cell r="GT140"/>
          <cell r="GU140"/>
          <cell r="GV140"/>
          <cell r="GW140"/>
          <cell r="GX140"/>
          <cell r="GY140"/>
          <cell r="GZ140"/>
          <cell r="HA140"/>
          <cell r="HB140"/>
          <cell r="HC140"/>
          <cell r="HD140"/>
          <cell r="HE140"/>
          <cell r="HF140"/>
          <cell r="HG140"/>
          <cell r="HH140"/>
          <cell r="HI140"/>
          <cell r="HJ140"/>
          <cell r="HK140"/>
          <cell r="HL140"/>
          <cell r="HM140"/>
          <cell r="HN140"/>
          <cell r="HO140"/>
          <cell r="HP140"/>
          <cell r="HQ140"/>
          <cell r="HR140"/>
          <cell r="HS140"/>
          <cell r="HT140"/>
          <cell r="HU140"/>
          <cell r="HV140"/>
          <cell r="HW140"/>
          <cell r="HX140"/>
          <cell r="HY140"/>
          <cell r="HZ140"/>
          <cell r="IA140"/>
          <cell r="IB140"/>
          <cell r="IC140"/>
          <cell r="ID140"/>
          <cell r="IE140"/>
          <cell r="IF140"/>
          <cell r="IG140"/>
          <cell r="IH140"/>
          <cell r="II140"/>
          <cell r="IJ140"/>
          <cell r="IK140"/>
          <cell r="IL140"/>
          <cell r="IM140"/>
          <cell r="IN140"/>
          <cell r="IO140"/>
          <cell r="IP140"/>
          <cell r="IQ140"/>
          <cell r="IR140"/>
          <cell r="IS140"/>
          <cell r="IT140"/>
          <cell r="IU140"/>
          <cell r="IV140"/>
          <cell r="IW140"/>
          <cell r="IX140"/>
          <cell r="IY140"/>
          <cell r="IZ140"/>
          <cell r="JA140"/>
          <cell r="JB140"/>
          <cell r="JC140"/>
          <cell r="JD140"/>
          <cell r="JE140"/>
          <cell r="JF140"/>
          <cell r="JG140"/>
          <cell r="JH140"/>
          <cell r="JI140"/>
          <cell r="JJ140"/>
          <cell r="JK140"/>
          <cell r="JL140"/>
          <cell r="JM140"/>
          <cell r="JN140"/>
          <cell r="JO140"/>
          <cell r="JP140"/>
          <cell r="JQ140"/>
          <cell r="JR140"/>
          <cell r="JS140"/>
          <cell r="JT140"/>
          <cell r="JU140"/>
          <cell r="JV140"/>
          <cell r="JW140"/>
          <cell r="JX140"/>
          <cell r="JY140"/>
          <cell r="JZ140"/>
          <cell r="KA140"/>
          <cell r="KB140"/>
          <cell r="KC140"/>
          <cell r="KD140"/>
          <cell r="KE140"/>
          <cell r="KF140"/>
          <cell r="KG140"/>
          <cell r="KH140"/>
          <cell r="KI140"/>
          <cell r="KJ140"/>
          <cell r="KK140"/>
          <cell r="KL140"/>
          <cell r="KM140"/>
          <cell r="KN140"/>
          <cell r="KO140"/>
          <cell r="KP140"/>
          <cell r="KQ140"/>
          <cell r="KR140"/>
          <cell r="KS140"/>
          <cell r="KT140"/>
          <cell r="KU140"/>
          <cell r="KV140"/>
          <cell r="KW140"/>
          <cell r="KX140"/>
          <cell r="KY140"/>
          <cell r="KZ140"/>
          <cell r="LA140"/>
          <cell r="LB140"/>
          <cell r="LC140"/>
          <cell r="LD140"/>
          <cell r="LE140"/>
          <cell r="LF140"/>
          <cell r="LG140"/>
          <cell r="LH140"/>
          <cell r="LI140"/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/>
          <cell r="FS141"/>
          <cell r="FT141"/>
          <cell r="FU141"/>
          <cell r="FV141"/>
          <cell r="FW141"/>
          <cell r="FX141"/>
          <cell r="FY141"/>
          <cell r="FZ141"/>
          <cell r="GA141"/>
          <cell r="GB141"/>
          <cell r="GC141"/>
          <cell r="GD141"/>
          <cell r="GE141"/>
          <cell r="GF141"/>
          <cell r="GG141"/>
          <cell r="GH141"/>
          <cell r="GI141"/>
          <cell r="GJ141"/>
          <cell r="GK141"/>
          <cell r="GL141"/>
          <cell r="GM141"/>
          <cell r="GN141"/>
          <cell r="GO141"/>
          <cell r="GP141"/>
          <cell r="GQ141"/>
          <cell r="GR141"/>
          <cell r="GS141"/>
          <cell r="GT141"/>
          <cell r="GU141"/>
          <cell r="GV141"/>
          <cell r="GW141"/>
          <cell r="GX141"/>
          <cell r="GY141"/>
          <cell r="GZ141"/>
          <cell r="HA141"/>
          <cell r="HB141"/>
          <cell r="HC141"/>
          <cell r="HD141"/>
          <cell r="HE141"/>
          <cell r="HF141"/>
          <cell r="HG141"/>
          <cell r="HH141"/>
          <cell r="HI141"/>
          <cell r="HJ141"/>
          <cell r="HK141"/>
          <cell r="HL141"/>
          <cell r="HM141"/>
          <cell r="HN141"/>
          <cell r="HO141"/>
          <cell r="HP141"/>
          <cell r="HQ141"/>
          <cell r="HR141"/>
          <cell r="HS141"/>
          <cell r="HT141"/>
          <cell r="HU141"/>
          <cell r="HV141"/>
          <cell r="HW141"/>
          <cell r="HX141"/>
          <cell r="HY141"/>
          <cell r="HZ141"/>
          <cell r="IA141"/>
          <cell r="IB141"/>
          <cell r="IC141"/>
          <cell r="ID141"/>
          <cell r="IE141"/>
          <cell r="IF141"/>
          <cell r="IG141"/>
          <cell r="IH141"/>
          <cell r="II141"/>
          <cell r="IJ141"/>
          <cell r="IK141"/>
          <cell r="IL141"/>
          <cell r="IM141"/>
          <cell r="IN141"/>
          <cell r="IO141"/>
          <cell r="IP141"/>
          <cell r="IQ141"/>
          <cell r="IR141"/>
          <cell r="IS141"/>
          <cell r="IT141"/>
          <cell r="IU141"/>
          <cell r="IV141"/>
          <cell r="IW141"/>
          <cell r="IX141"/>
          <cell r="IY141"/>
          <cell r="IZ141"/>
          <cell r="JA141"/>
          <cell r="JB141"/>
          <cell r="JC141"/>
          <cell r="JD141"/>
          <cell r="JE141"/>
          <cell r="JF141"/>
          <cell r="JG141"/>
          <cell r="JH141"/>
          <cell r="JI141"/>
          <cell r="JJ141"/>
          <cell r="JK141"/>
          <cell r="JL141"/>
          <cell r="JM141"/>
          <cell r="JN141"/>
          <cell r="JO141"/>
          <cell r="JP141"/>
          <cell r="JQ141"/>
          <cell r="JR141"/>
          <cell r="JS141"/>
          <cell r="JT141"/>
          <cell r="JU141"/>
          <cell r="JV141"/>
          <cell r="JW141"/>
          <cell r="JX141"/>
          <cell r="JY141"/>
          <cell r="JZ141"/>
          <cell r="KA141"/>
          <cell r="KB141"/>
          <cell r="KC141"/>
          <cell r="KD141"/>
          <cell r="KE141"/>
          <cell r="KF141"/>
          <cell r="KG141"/>
          <cell r="KH141"/>
          <cell r="KI141"/>
          <cell r="KJ141"/>
          <cell r="KK141"/>
          <cell r="KL141"/>
          <cell r="KM141"/>
          <cell r="KN141"/>
          <cell r="KO141"/>
          <cell r="KP141"/>
          <cell r="KQ141"/>
          <cell r="KR141"/>
          <cell r="KS141"/>
          <cell r="KT141"/>
          <cell r="KU141"/>
          <cell r="KV141"/>
          <cell r="KW141"/>
          <cell r="KX141"/>
          <cell r="KY141"/>
          <cell r="KZ141"/>
          <cell r="LA141"/>
          <cell r="LB141"/>
          <cell r="LC141"/>
          <cell r="LD141"/>
          <cell r="LE141"/>
          <cell r="LF141"/>
          <cell r="LG141"/>
          <cell r="LH141"/>
          <cell r="LI141"/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/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/>
          <cell r="EQ142">
            <v>13129810.890000001</v>
          </cell>
          <cell r="ER142">
            <v>11137560.17</v>
          </cell>
          <cell r="ES142"/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/>
          <cell r="FG142">
            <v>16553117.15</v>
          </cell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  <cell r="GF142"/>
          <cell r="GG142"/>
          <cell r="GH142"/>
          <cell r="GI142"/>
          <cell r="GJ142"/>
          <cell r="GK142"/>
          <cell r="GL142"/>
          <cell r="GM142"/>
          <cell r="GN142"/>
          <cell r="GO142"/>
          <cell r="GP142"/>
          <cell r="GQ142"/>
          <cell r="GR142"/>
          <cell r="GS142"/>
          <cell r="GT142"/>
          <cell r="GU142"/>
          <cell r="GV142"/>
          <cell r="GW142"/>
          <cell r="GX142"/>
          <cell r="GY142"/>
          <cell r="GZ142"/>
          <cell r="HA142"/>
          <cell r="HB142"/>
          <cell r="HC142"/>
          <cell r="HD142"/>
          <cell r="HE142"/>
          <cell r="HF142"/>
          <cell r="HG142"/>
          <cell r="HH142"/>
          <cell r="HI142"/>
          <cell r="HJ142"/>
          <cell r="HK142"/>
          <cell r="HL142"/>
          <cell r="HM142"/>
          <cell r="HN142"/>
          <cell r="HO142"/>
          <cell r="HP142"/>
          <cell r="HQ142"/>
          <cell r="HR142"/>
          <cell r="HS142"/>
          <cell r="HT142"/>
          <cell r="HU142"/>
          <cell r="HV142"/>
          <cell r="HW142"/>
          <cell r="HX142"/>
          <cell r="HY142"/>
          <cell r="HZ142"/>
          <cell r="IA142"/>
          <cell r="IB142"/>
          <cell r="IC142"/>
          <cell r="ID142"/>
          <cell r="IE142"/>
          <cell r="IF142"/>
          <cell r="IG142"/>
          <cell r="IH142"/>
          <cell r="II142"/>
          <cell r="IJ142"/>
          <cell r="IK142"/>
          <cell r="IL142"/>
          <cell r="IM142"/>
          <cell r="IN142"/>
          <cell r="IO142"/>
          <cell r="IP142"/>
          <cell r="IQ142"/>
          <cell r="IR142"/>
          <cell r="IS142"/>
          <cell r="IT142"/>
          <cell r="IU142"/>
          <cell r="IV142"/>
          <cell r="IW142"/>
          <cell r="IX142"/>
          <cell r="IY142"/>
          <cell r="IZ142"/>
          <cell r="JA142"/>
          <cell r="JB142"/>
          <cell r="JC142"/>
          <cell r="JD142"/>
          <cell r="JE142"/>
          <cell r="JF142"/>
          <cell r="JG142"/>
          <cell r="JH142"/>
          <cell r="JI142"/>
          <cell r="JJ142"/>
          <cell r="JK142"/>
          <cell r="JL142"/>
          <cell r="JM142"/>
          <cell r="JN142"/>
          <cell r="JO142"/>
          <cell r="JP142"/>
          <cell r="JQ142"/>
          <cell r="JR142"/>
          <cell r="JS142"/>
          <cell r="JT142"/>
          <cell r="JU142"/>
          <cell r="JV142"/>
          <cell r="JW142"/>
          <cell r="JX142"/>
          <cell r="JY142"/>
          <cell r="JZ142"/>
          <cell r="KA142"/>
          <cell r="KB142"/>
          <cell r="KC142"/>
          <cell r="KD142"/>
          <cell r="KE142"/>
          <cell r="KF142"/>
          <cell r="KG142"/>
          <cell r="KH142"/>
          <cell r="KI142"/>
          <cell r="KJ142"/>
          <cell r="KK142"/>
          <cell r="KL142"/>
          <cell r="KM142"/>
          <cell r="KN142"/>
          <cell r="KO142"/>
          <cell r="KP142"/>
          <cell r="KQ142"/>
          <cell r="KR142"/>
          <cell r="KS142"/>
          <cell r="KT142"/>
          <cell r="KU142"/>
          <cell r="KV142"/>
          <cell r="KW142"/>
          <cell r="KX142"/>
          <cell r="KY142"/>
          <cell r="KZ142"/>
          <cell r="LA142"/>
          <cell r="LB142"/>
          <cell r="LC142"/>
          <cell r="LD142"/>
          <cell r="LE142"/>
          <cell r="LF142"/>
          <cell r="LG142"/>
          <cell r="LH142"/>
          <cell r="LI142"/>
        </row>
        <row r="143">
          <cell r="D143">
            <v>4311</v>
          </cell>
          <cell r="E143" t="str">
            <v xml:space="preserve">Transferi za zdravstvenu zaštitu 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  <cell r="GF143"/>
          <cell r="GG143"/>
          <cell r="GH143"/>
          <cell r="GI143"/>
          <cell r="GJ143"/>
          <cell r="GK143"/>
          <cell r="GL143"/>
          <cell r="GM143"/>
          <cell r="GN143"/>
          <cell r="GO143"/>
          <cell r="GP143"/>
          <cell r="GQ143"/>
          <cell r="GR143"/>
          <cell r="GS143"/>
          <cell r="GT143"/>
          <cell r="GU143"/>
          <cell r="GV143"/>
          <cell r="GW143"/>
          <cell r="GX143"/>
          <cell r="GY143"/>
          <cell r="GZ143"/>
          <cell r="HA143"/>
          <cell r="HB143"/>
          <cell r="HC143"/>
          <cell r="HD143"/>
          <cell r="HE143"/>
          <cell r="HF143"/>
          <cell r="HG143"/>
          <cell r="HH143"/>
          <cell r="HI143"/>
          <cell r="HJ143"/>
          <cell r="HK143"/>
          <cell r="HL143"/>
          <cell r="HM143"/>
          <cell r="HN143"/>
          <cell r="HO143"/>
          <cell r="HP143"/>
          <cell r="HQ143"/>
          <cell r="HR143"/>
          <cell r="HS143"/>
          <cell r="HT143"/>
          <cell r="HU143"/>
          <cell r="HV143"/>
          <cell r="HW143"/>
          <cell r="HX143"/>
          <cell r="HY143"/>
          <cell r="HZ143"/>
          <cell r="IA143"/>
          <cell r="IB143"/>
          <cell r="IC143"/>
          <cell r="ID143"/>
          <cell r="IE143"/>
          <cell r="IF143"/>
          <cell r="IG143"/>
          <cell r="IH143"/>
          <cell r="II143"/>
          <cell r="IJ143"/>
          <cell r="IK143"/>
          <cell r="IL143"/>
          <cell r="IM143"/>
          <cell r="IN143"/>
          <cell r="IO143"/>
          <cell r="IP143"/>
          <cell r="IQ143"/>
          <cell r="IR143"/>
          <cell r="IS143"/>
          <cell r="IT143"/>
          <cell r="IU143"/>
          <cell r="IV143"/>
          <cell r="IW143"/>
          <cell r="IX143"/>
          <cell r="IY143"/>
          <cell r="IZ143"/>
          <cell r="JA143"/>
          <cell r="JB143"/>
          <cell r="JC143"/>
          <cell r="JD143"/>
          <cell r="JE143"/>
          <cell r="JF143"/>
          <cell r="JG143"/>
          <cell r="JH143"/>
          <cell r="JI143"/>
          <cell r="JJ143"/>
          <cell r="JK143"/>
          <cell r="JL143"/>
          <cell r="JM143"/>
          <cell r="JN143"/>
          <cell r="JO143"/>
          <cell r="JP143"/>
          <cell r="JQ143"/>
          <cell r="JR143"/>
          <cell r="JS143"/>
          <cell r="JT143"/>
          <cell r="JU143"/>
          <cell r="JV143"/>
          <cell r="JW143"/>
          <cell r="JX143"/>
          <cell r="JY143"/>
          <cell r="JZ143"/>
          <cell r="KA143"/>
          <cell r="KB143"/>
          <cell r="KC143"/>
          <cell r="KD143"/>
          <cell r="KE143"/>
          <cell r="KF143"/>
          <cell r="KG143"/>
          <cell r="KH143"/>
          <cell r="KI143"/>
          <cell r="KJ143"/>
          <cell r="KK143"/>
          <cell r="KL143"/>
          <cell r="KM143"/>
          <cell r="KN143"/>
          <cell r="KO143"/>
          <cell r="KP143"/>
          <cell r="KQ143"/>
          <cell r="KR143"/>
          <cell r="KS143"/>
          <cell r="KT143"/>
          <cell r="KU143"/>
          <cell r="KV143"/>
          <cell r="KW143"/>
          <cell r="KX143"/>
          <cell r="KY143"/>
          <cell r="KZ143"/>
          <cell r="LA143"/>
          <cell r="LB143"/>
          <cell r="LC143"/>
          <cell r="LD143"/>
          <cell r="LE143"/>
          <cell r="LF143"/>
          <cell r="LG143"/>
          <cell r="LH143"/>
          <cell r="LI143"/>
        </row>
        <row r="144">
          <cell r="D144">
            <v>4312</v>
          </cell>
          <cell r="E144" t="str">
            <v>Transferi obrazovanju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  <cell r="GF144"/>
          <cell r="GG144"/>
          <cell r="GH144"/>
          <cell r="GI144"/>
          <cell r="GJ144"/>
          <cell r="GK144"/>
          <cell r="GL144"/>
          <cell r="GM144"/>
          <cell r="GN144"/>
          <cell r="GO144"/>
          <cell r="GP144"/>
          <cell r="GQ144"/>
          <cell r="GR144"/>
          <cell r="GS144"/>
          <cell r="GT144"/>
          <cell r="GU144"/>
          <cell r="GV144"/>
          <cell r="GW144"/>
          <cell r="GX144"/>
          <cell r="GY144"/>
          <cell r="GZ144"/>
          <cell r="HA144"/>
          <cell r="HB144"/>
          <cell r="HC144"/>
          <cell r="HD144"/>
          <cell r="HE144"/>
          <cell r="HF144"/>
          <cell r="HG144"/>
          <cell r="HH144"/>
          <cell r="HI144"/>
          <cell r="HJ144"/>
          <cell r="HK144"/>
          <cell r="HL144"/>
          <cell r="HM144"/>
          <cell r="HN144"/>
          <cell r="HO144"/>
          <cell r="HP144"/>
          <cell r="HQ144"/>
          <cell r="HR144"/>
          <cell r="HS144"/>
          <cell r="HT144"/>
          <cell r="HU144"/>
          <cell r="HV144"/>
          <cell r="HW144"/>
          <cell r="HX144"/>
          <cell r="HY144"/>
          <cell r="HZ144"/>
          <cell r="IA144"/>
          <cell r="IB144"/>
          <cell r="IC144"/>
          <cell r="ID144"/>
          <cell r="IE144"/>
          <cell r="IF144"/>
          <cell r="IG144"/>
          <cell r="IH144"/>
          <cell r="II144"/>
          <cell r="IJ144"/>
          <cell r="IK144"/>
          <cell r="IL144"/>
          <cell r="IM144"/>
          <cell r="IN144"/>
          <cell r="IO144"/>
          <cell r="IP144"/>
          <cell r="IQ144"/>
          <cell r="IR144"/>
          <cell r="IS144"/>
          <cell r="IT144"/>
          <cell r="IU144"/>
          <cell r="IV144"/>
          <cell r="IW144"/>
          <cell r="IX144"/>
          <cell r="IY144"/>
          <cell r="IZ144"/>
          <cell r="JA144"/>
          <cell r="JB144"/>
          <cell r="JC144"/>
          <cell r="JD144"/>
          <cell r="JE144"/>
          <cell r="JF144"/>
          <cell r="JG144"/>
          <cell r="JH144"/>
          <cell r="JI144"/>
          <cell r="JJ144"/>
          <cell r="JK144"/>
          <cell r="JL144"/>
          <cell r="JM144"/>
          <cell r="JN144"/>
          <cell r="JO144"/>
          <cell r="JP144"/>
          <cell r="JQ144"/>
          <cell r="JR144"/>
          <cell r="JS144"/>
          <cell r="JT144"/>
          <cell r="JU144"/>
          <cell r="JV144"/>
          <cell r="JW144"/>
          <cell r="JX144"/>
          <cell r="JY144"/>
          <cell r="JZ144"/>
          <cell r="KA144"/>
          <cell r="KB144"/>
          <cell r="KC144"/>
          <cell r="KD144"/>
          <cell r="KE144"/>
          <cell r="KF144"/>
          <cell r="KG144"/>
          <cell r="KH144"/>
          <cell r="KI144"/>
          <cell r="KJ144"/>
          <cell r="KK144"/>
          <cell r="KL144"/>
          <cell r="KM144"/>
          <cell r="KN144"/>
          <cell r="KO144"/>
          <cell r="KP144"/>
          <cell r="KQ144"/>
          <cell r="KR144"/>
          <cell r="KS144"/>
          <cell r="KT144"/>
          <cell r="KU144"/>
          <cell r="KV144"/>
          <cell r="KW144"/>
          <cell r="KX144"/>
          <cell r="KY144"/>
          <cell r="KZ144"/>
          <cell r="LA144"/>
          <cell r="LB144"/>
          <cell r="LC144"/>
          <cell r="LD144"/>
          <cell r="LE144"/>
          <cell r="LF144"/>
          <cell r="LG144"/>
          <cell r="LH144"/>
          <cell r="LI144"/>
        </row>
        <row r="145">
          <cell r="D145">
            <v>4313</v>
          </cell>
          <cell r="E145" t="str">
            <v>Transferi institucijama kulture i sporta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Y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U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Q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M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I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E145"/>
          <cell r="LF145"/>
          <cell r="LG145"/>
          <cell r="LH145"/>
          <cell r="LI145"/>
        </row>
        <row r="146">
          <cell r="D146">
            <v>4314</v>
          </cell>
          <cell r="E146" t="str">
            <v>Transferi nevladinim organizacijama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  <cell r="GF146"/>
          <cell r="GG146"/>
          <cell r="GH146"/>
          <cell r="GI146"/>
          <cell r="GJ146"/>
          <cell r="GK146"/>
          <cell r="GL146"/>
          <cell r="GM146"/>
          <cell r="GN146"/>
          <cell r="GO146"/>
          <cell r="GP146"/>
          <cell r="GQ146"/>
          <cell r="GR146"/>
          <cell r="GS146"/>
          <cell r="GT146"/>
          <cell r="GU146"/>
          <cell r="GV146"/>
          <cell r="GW146"/>
          <cell r="GX146"/>
          <cell r="GY146"/>
          <cell r="GZ146"/>
          <cell r="HA146"/>
          <cell r="HB146"/>
          <cell r="HC146"/>
          <cell r="HD146"/>
          <cell r="HE146"/>
          <cell r="HF146"/>
          <cell r="HG146"/>
          <cell r="HH146"/>
          <cell r="HI146"/>
          <cell r="HJ146"/>
          <cell r="HK146"/>
          <cell r="HL146"/>
          <cell r="HM146"/>
          <cell r="HN146"/>
          <cell r="HO146"/>
          <cell r="HP146"/>
          <cell r="HQ146"/>
          <cell r="HR146"/>
          <cell r="HS146"/>
          <cell r="HT146"/>
          <cell r="HU146"/>
          <cell r="HV146"/>
          <cell r="HW146"/>
          <cell r="HX146"/>
          <cell r="HY146"/>
          <cell r="HZ146"/>
          <cell r="IA146"/>
          <cell r="IB146"/>
          <cell r="IC146"/>
          <cell r="ID146"/>
          <cell r="IE146"/>
          <cell r="IF146"/>
          <cell r="IG146"/>
          <cell r="IH146"/>
          <cell r="II146"/>
          <cell r="IJ146"/>
          <cell r="IK146"/>
          <cell r="IL146"/>
          <cell r="IM146"/>
          <cell r="IN146"/>
          <cell r="IO146"/>
          <cell r="IP146"/>
          <cell r="IQ146"/>
          <cell r="IR146"/>
          <cell r="IS146"/>
          <cell r="IT146"/>
          <cell r="IU146"/>
          <cell r="IV146"/>
          <cell r="IW146"/>
          <cell r="IX146"/>
          <cell r="IY146"/>
          <cell r="IZ146"/>
          <cell r="JA146"/>
          <cell r="JB146"/>
          <cell r="JC146"/>
          <cell r="JD146"/>
          <cell r="JE146"/>
          <cell r="JF146"/>
          <cell r="JG146"/>
          <cell r="JH146"/>
          <cell r="JI146"/>
          <cell r="JJ146"/>
          <cell r="JK146"/>
          <cell r="JL146"/>
          <cell r="JM146"/>
          <cell r="JN146"/>
          <cell r="JO146"/>
          <cell r="JP146"/>
          <cell r="JQ146"/>
          <cell r="JR146"/>
          <cell r="JS146"/>
          <cell r="JT146"/>
          <cell r="JU146"/>
          <cell r="JV146"/>
          <cell r="JW146"/>
          <cell r="JX146"/>
          <cell r="JY146"/>
          <cell r="JZ146"/>
          <cell r="KA146"/>
          <cell r="KB146"/>
          <cell r="KC146"/>
          <cell r="KD146"/>
          <cell r="KE146"/>
          <cell r="KF146"/>
          <cell r="KG146"/>
          <cell r="KH146"/>
          <cell r="KI146"/>
          <cell r="KJ146"/>
          <cell r="KK146"/>
          <cell r="KL146"/>
          <cell r="KM146"/>
          <cell r="KN146"/>
          <cell r="KO146"/>
          <cell r="KP146"/>
          <cell r="KQ146"/>
          <cell r="KR146"/>
          <cell r="KS146"/>
          <cell r="KT146"/>
          <cell r="KU146"/>
          <cell r="KV146"/>
          <cell r="KW146"/>
          <cell r="KX146"/>
          <cell r="KY146"/>
          <cell r="KZ146"/>
          <cell r="LA146"/>
          <cell r="LB146"/>
          <cell r="LC146"/>
          <cell r="LD146"/>
          <cell r="LE146"/>
          <cell r="LF146"/>
          <cell r="LG146"/>
          <cell r="LH146"/>
          <cell r="LI146"/>
        </row>
        <row r="147">
          <cell r="D147">
            <v>4315</v>
          </cell>
          <cell r="E147" t="str">
            <v>Transferi političkim partijama, strankama i udruženjima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  <cell r="GF147"/>
          <cell r="GG147"/>
          <cell r="GH147"/>
          <cell r="GI147"/>
          <cell r="GJ147"/>
          <cell r="GK147"/>
          <cell r="GL147"/>
          <cell r="GM147"/>
          <cell r="GN147"/>
          <cell r="GO147"/>
          <cell r="GP147"/>
          <cell r="GQ147"/>
          <cell r="GR147"/>
          <cell r="GS147"/>
          <cell r="GT147"/>
          <cell r="GU147"/>
          <cell r="GV147"/>
          <cell r="GW147"/>
          <cell r="GX147"/>
          <cell r="GY147"/>
          <cell r="GZ147"/>
          <cell r="HA147"/>
          <cell r="HB147"/>
          <cell r="HC147"/>
          <cell r="HD147"/>
          <cell r="HE147"/>
          <cell r="HF147"/>
          <cell r="HG147"/>
          <cell r="HH147"/>
          <cell r="HI147"/>
          <cell r="HJ147"/>
          <cell r="HK147"/>
          <cell r="HL147"/>
          <cell r="HM147"/>
          <cell r="HN147"/>
          <cell r="HO147"/>
          <cell r="HP147"/>
          <cell r="HQ147"/>
          <cell r="HR147"/>
          <cell r="HS147"/>
          <cell r="HT147"/>
          <cell r="HU147"/>
          <cell r="HV147"/>
          <cell r="HW147"/>
          <cell r="HX147"/>
          <cell r="HY147"/>
          <cell r="HZ147"/>
          <cell r="IA147"/>
          <cell r="IB147"/>
          <cell r="IC147"/>
          <cell r="ID147"/>
          <cell r="IE147"/>
          <cell r="IF147"/>
          <cell r="IG147"/>
          <cell r="IH147"/>
          <cell r="II147"/>
          <cell r="IJ147"/>
          <cell r="IK147"/>
          <cell r="IL147"/>
          <cell r="IM147"/>
          <cell r="IN147"/>
          <cell r="IO147"/>
          <cell r="IP147"/>
          <cell r="IQ147"/>
          <cell r="IR147"/>
          <cell r="IS147"/>
          <cell r="IT147"/>
          <cell r="IU147"/>
          <cell r="IV147"/>
          <cell r="IW147"/>
          <cell r="IX147"/>
          <cell r="IY147"/>
          <cell r="IZ147"/>
          <cell r="JA147"/>
          <cell r="JB147"/>
          <cell r="JC147"/>
          <cell r="JD147"/>
          <cell r="JE147"/>
          <cell r="JF147"/>
          <cell r="JG147"/>
          <cell r="JH147"/>
          <cell r="JI147"/>
          <cell r="JJ147"/>
          <cell r="JK147"/>
          <cell r="JL147"/>
          <cell r="JM147"/>
          <cell r="JN147"/>
          <cell r="JO147"/>
          <cell r="JP147"/>
          <cell r="JQ147"/>
          <cell r="JR147"/>
          <cell r="JS147"/>
          <cell r="JT147"/>
          <cell r="JU147"/>
          <cell r="JV147"/>
          <cell r="JW147"/>
          <cell r="JX147"/>
          <cell r="JY147"/>
          <cell r="JZ147"/>
          <cell r="KA147"/>
          <cell r="KB147"/>
          <cell r="KC147"/>
          <cell r="KD147"/>
          <cell r="KE147"/>
          <cell r="KF147"/>
          <cell r="KG147"/>
          <cell r="KH147"/>
          <cell r="KI147"/>
          <cell r="KJ147"/>
          <cell r="KK147"/>
          <cell r="KL147"/>
          <cell r="KM147"/>
          <cell r="KN147"/>
          <cell r="KO147"/>
          <cell r="KP147"/>
          <cell r="KQ147"/>
          <cell r="KR147"/>
          <cell r="KS147"/>
          <cell r="KT147"/>
          <cell r="KU147"/>
          <cell r="KV147"/>
          <cell r="KW147"/>
          <cell r="KX147"/>
          <cell r="KY147"/>
          <cell r="KZ147"/>
          <cell r="LA147"/>
          <cell r="LB147"/>
          <cell r="LC147"/>
          <cell r="LD147"/>
          <cell r="LE147"/>
          <cell r="LF147"/>
          <cell r="LG147"/>
          <cell r="LH147"/>
          <cell r="LI147"/>
        </row>
        <row r="148">
          <cell r="D148">
            <v>4316</v>
          </cell>
          <cell r="E148" t="str">
            <v>Transferi za jednokratne socijalne pomoći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  <cell r="GF148"/>
          <cell r="GG148"/>
          <cell r="GH148"/>
          <cell r="GI148"/>
          <cell r="GJ148"/>
          <cell r="GK148"/>
          <cell r="GL148"/>
          <cell r="GM148"/>
          <cell r="GN148"/>
          <cell r="GO148"/>
          <cell r="GP148"/>
          <cell r="GQ148"/>
          <cell r="GR148"/>
          <cell r="GS148"/>
          <cell r="GT148"/>
          <cell r="GU148"/>
          <cell r="GV148"/>
          <cell r="GW148"/>
          <cell r="GX148"/>
          <cell r="GY148"/>
          <cell r="GZ148"/>
          <cell r="HA148"/>
          <cell r="HB148"/>
          <cell r="HC148"/>
          <cell r="HD148"/>
          <cell r="HE148"/>
          <cell r="HF148"/>
          <cell r="HG148"/>
          <cell r="HH148"/>
          <cell r="HI148"/>
          <cell r="HJ148"/>
          <cell r="HK148"/>
          <cell r="HL148"/>
          <cell r="HM148"/>
          <cell r="HN148"/>
          <cell r="HO148"/>
          <cell r="HP148"/>
          <cell r="HQ148"/>
          <cell r="HR148"/>
          <cell r="HS148"/>
          <cell r="HT148"/>
          <cell r="HU148"/>
          <cell r="HV148"/>
          <cell r="HW148"/>
          <cell r="HX148"/>
          <cell r="HY148"/>
          <cell r="HZ148"/>
          <cell r="IA148"/>
          <cell r="IB148"/>
          <cell r="IC148"/>
          <cell r="ID148"/>
          <cell r="IE148"/>
          <cell r="IF148"/>
          <cell r="IG148"/>
          <cell r="IH148"/>
          <cell r="II148"/>
          <cell r="IJ148"/>
          <cell r="IK148"/>
          <cell r="IL148"/>
          <cell r="IM148"/>
          <cell r="IN148"/>
          <cell r="IO148"/>
          <cell r="IP148"/>
          <cell r="IQ148"/>
          <cell r="IR148"/>
          <cell r="IS148"/>
          <cell r="IT148"/>
          <cell r="IU148"/>
          <cell r="IV148"/>
          <cell r="IW148"/>
          <cell r="IX148"/>
          <cell r="IY148"/>
          <cell r="IZ148"/>
          <cell r="JA148"/>
          <cell r="JB148"/>
          <cell r="JC148"/>
          <cell r="JD148"/>
          <cell r="JE148"/>
          <cell r="JF148"/>
          <cell r="JG148"/>
          <cell r="JH148"/>
          <cell r="JI148"/>
          <cell r="JJ148"/>
          <cell r="JK148"/>
          <cell r="JL148"/>
          <cell r="JM148"/>
          <cell r="JN148"/>
          <cell r="JO148"/>
          <cell r="JP148"/>
          <cell r="JQ148"/>
          <cell r="JR148"/>
          <cell r="JS148"/>
          <cell r="JT148"/>
          <cell r="JU148"/>
          <cell r="JV148"/>
          <cell r="JW148"/>
          <cell r="JX148"/>
          <cell r="JY148"/>
          <cell r="JZ148"/>
          <cell r="KA148"/>
          <cell r="KB148"/>
          <cell r="KC148"/>
          <cell r="KD148"/>
          <cell r="KE148"/>
          <cell r="KF148"/>
          <cell r="KG148"/>
          <cell r="KH148"/>
          <cell r="KI148"/>
          <cell r="KJ148"/>
          <cell r="KK148"/>
          <cell r="KL148"/>
          <cell r="KM148"/>
          <cell r="KN148"/>
          <cell r="KO148"/>
          <cell r="KP148"/>
          <cell r="KQ148"/>
          <cell r="KR148"/>
          <cell r="KS148"/>
          <cell r="KT148"/>
          <cell r="KU148"/>
          <cell r="KV148"/>
          <cell r="KW148"/>
          <cell r="KX148"/>
          <cell r="KY148"/>
          <cell r="KZ148"/>
          <cell r="LA148"/>
          <cell r="LB148"/>
          <cell r="LC148"/>
          <cell r="LD148"/>
          <cell r="LE148"/>
          <cell r="LF148"/>
          <cell r="LG148"/>
          <cell r="LH148"/>
          <cell r="LI148"/>
        </row>
        <row r="149">
          <cell r="D149">
            <v>4317</v>
          </cell>
          <cell r="E149" t="str">
            <v>Transferi za lična primanja pripravnika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  <cell r="GF149"/>
          <cell r="GG149"/>
          <cell r="GH149"/>
          <cell r="GI149"/>
          <cell r="GJ149"/>
          <cell r="GK149"/>
          <cell r="GL149"/>
          <cell r="GM149"/>
          <cell r="GN149"/>
          <cell r="GO149"/>
          <cell r="GP149"/>
          <cell r="GQ149"/>
          <cell r="GR149"/>
          <cell r="GS149"/>
          <cell r="GT149"/>
          <cell r="GU149"/>
          <cell r="GV149"/>
          <cell r="GW149"/>
          <cell r="GX149"/>
          <cell r="GY149"/>
          <cell r="GZ149"/>
          <cell r="HA149"/>
          <cell r="HB149"/>
          <cell r="HC149"/>
          <cell r="HD149"/>
          <cell r="HE149"/>
          <cell r="HF149"/>
          <cell r="HG149"/>
          <cell r="HH149"/>
          <cell r="HI149"/>
          <cell r="HJ149"/>
          <cell r="HK149"/>
          <cell r="HL149"/>
          <cell r="HM149"/>
          <cell r="HN149"/>
          <cell r="HO149"/>
          <cell r="HP149"/>
          <cell r="HQ149"/>
          <cell r="HR149"/>
          <cell r="HS149"/>
          <cell r="HT149"/>
          <cell r="HU149"/>
          <cell r="HV149"/>
          <cell r="HW149"/>
          <cell r="HX149"/>
          <cell r="HY149"/>
          <cell r="HZ149"/>
          <cell r="IA149"/>
          <cell r="IB149"/>
          <cell r="IC149"/>
          <cell r="ID149"/>
          <cell r="IE149"/>
          <cell r="IF149"/>
          <cell r="IG149"/>
          <cell r="IH149"/>
          <cell r="II149"/>
          <cell r="IJ149"/>
          <cell r="IK149"/>
          <cell r="IL149"/>
          <cell r="IM149"/>
          <cell r="IN149"/>
          <cell r="IO149"/>
          <cell r="IP149"/>
          <cell r="IQ149"/>
          <cell r="IR149"/>
          <cell r="IS149"/>
          <cell r="IT149"/>
          <cell r="IU149"/>
          <cell r="IV149"/>
          <cell r="IW149"/>
          <cell r="IX149"/>
          <cell r="IY149"/>
          <cell r="IZ149"/>
          <cell r="JA149"/>
          <cell r="JB149"/>
          <cell r="JC149"/>
          <cell r="JD149"/>
          <cell r="JE149"/>
          <cell r="JF149"/>
          <cell r="JG149"/>
          <cell r="JH149"/>
          <cell r="JI149"/>
          <cell r="JJ149"/>
          <cell r="JK149"/>
          <cell r="JL149"/>
          <cell r="JM149"/>
          <cell r="JN149"/>
          <cell r="JO149"/>
          <cell r="JP149"/>
          <cell r="JQ149"/>
          <cell r="JR149"/>
          <cell r="JS149"/>
          <cell r="JT149"/>
          <cell r="JU149"/>
          <cell r="JV149"/>
          <cell r="JW149"/>
          <cell r="JX149"/>
          <cell r="JY149"/>
          <cell r="JZ149"/>
          <cell r="KA149"/>
          <cell r="KB149"/>
          <cell r="KC149"/>
          <cell r="KD149"/>
          <cell r="KE149"/>
          <cell r="KF149"/>
          <cell r="KG149"/>
          <cell r="KH149"/>
          <cell r="KI149"/>
          <cell r="KJ149"/>
          <cell r="KK149"/>
          <cell r="KL149"/>
          <cell r="KM149"/>
          <cell r="KN149"/>
          <cell r="KO149"/>
          <cell r="KP149"/>
          <cell r="KQ149"/>
          <cell r="KR149"/>
          <cell r="KS149"/>
          <cell r="KT149"/>
          <cell r="KU149"/>
          <cell r="KV149"/>
          <cell r="KW149"/>
          <cell r="KX149"/>
          <cell r="KY149"/>
          <cell r="KZ149"/>
          <cell r="LA149"/>
          <cell r="LB149"/>
          <cell r="LC149"/>
          <cell r="LD149"/>
          <cell r="LE149"/>
          <cell r="LF149"/>
          <cell r="LG149"/>
          <cell r="LH149"/>
          <cell r="LI149"/>
        </row>
        <row r="150">
          <cell r="D150">
            <v>4318</v>
          </cell>
          <cell r="E150" t="str">
            <v>Ostali transferi pojedincima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  <cell r="FM150"/>
          <cell r="FN150"/>
          <cell r="FO150"/>
          <cell r="FP150"/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  <cell r="GF150"/>
          <cell r="GG150"/>
          <cell r="GH150"/>
          <cell r="GI150"/>
          <cell r="GJ150"/>
          <cell r="GK150"/>
          <cell r="GL150"/>
          <cell r="GM150"/>
          <cell r="GN150"/>
          <cell r="GO150"/>
          <cell r="GP150"/>
          <cell r="GQ150"/>
          <cell r="GR150"/>
          <cell r="GS150"/>
          <cell r="GT150"/>
          <cell r="GU150"/>
          <cell r="GV150"/>
          <cell r="GW150"/>
          <cell r="GX150"/>
          <cell r="GY150"/>
          <cell r="GZ150"/>
          <cell r="HA150"/>
          <cell r="HB150"/>
          <cell r="HC150"/>
          <cell r="HD150"/>
          <cell r="HE150"/>
          <cell r="HF150"/>
          <cell r="HG150"/>
          <cell r="HH150"/>
          <cell r="HI150"/>
          <cell r="HJ150"/>
          <cell r="HK150"/>
          <cell r="HL150"/>
          <cell r="HM150"/>
          <cell r="HN150"/>
          <cell r="HO150"/>
          <cell r="HP150"/>
          <cell r="HQ150"/>
          <cell r="HR150"/>
          <cell r="HS150"/>
          <cell r="HT150"/>
          <cell r="HU150"/>
          <cell r="HV150"/>
          <cell r="HW150"/>
          <cell r="HX150"/>
          <cell r="HY150"/>
          <cell r="HZ150"/>
          <cell r="IA150"/>
          <cell r="IB150"/>
          <cell r="IC150"/>
          <cell r="ID150"/>
          <cell r="IE150"/>
          <cell r="IF150"/>
          <cell r="IG150"/>
          <cell r="IH150"/>
          <cell r="II150"/>
          <cell r="IJ150"/>
          <cell r="IK150"/>
          <cell r="IL150"/>
          <cell r="IM150"/>
          <cell r="IN150"/>
          <cell r="IO150"/>
          <cell r="IP150"/>
          <cell r="IQ150"/>
          <cell r="IR150"/>
          <cell r="IS150"/>
          <cell r="IT150"/>
          <cell r="IU150"/>
          <cell r="IV150"/>
          <cell r="IW150"/>
          <cell r="IX150"/>
          <cell r="IY150"/>
          <cell r="IZ150"/>
          <cell r="JA150"/>
          <cell r="JB150"/>
          <cell r="JC150"/>
          <cell r="JD150"/>
          <cell r="JE150"/>
          <cell r="JF150"/>
          <cell r="JG150"/>
          <cell r="JH150"/>
          <cell r="JI150"/>
          <cell r="JJ150"/>
          <cell r="JK150"/>
          <cell r="JL150"/>
          <cell r="JM150"/>
          <cell r="JN150"/>
          <cell r="JO150"/>
          <cell r="JP150"/>
          <cell r="JQ150"/>
          <cell r="JR150"/>
          <cell r="JS150"/>
          <cell r="JT150"/>
          <cell r="JU150"/>
          <cell r="JV150"/>
          <cell r="JW150"/>
          <cell r="JX150"/>
          <cell r="JY150"/>
          <cell r="JZ150"/>
          <cell r="KA150"/>
          <cell r="KB150"/>
          <cell r="KC150"/>
          <cell r="KD150"/>
          <cell r="KE150"/>
          <cell r="KF150"/>
          <cell r="KG150"/>
          <cell r="KH150"/>
          <cell r="KI150"/>
          <cell r="KJ150"/>
          <cell r="KK150"/>
          <cell r="KL150"/>
          <cell r="KM150"/>
          <cell r="KN150"/>
          <cell r="KO150"/>
          <cell r="KP150"/>
          <cell r="KQ150"/>
          <cell r="KR150"/>
          <cell r="KS150"/>
          <cell r="KT150"/>
          <cell r="KU150"/>
          <cell r="KV150"/>
          <cell r="KW150"/>
          <cell r="KX150"/>
          <cell r="KY150"/>
          <cell r="KZ150"/>
          <cell r="LA150"/>
          <cell r="LB150"/>
          <cell r="LC150"/>
          <cell r="LD150"/>
          <cell r="LE150"/>
          <cell r="LF150"/>
          <cell r="LG150"/>
          <cell r="LH150"/>
          <cell r="LI150"/>
        </row>
        <row r="151">
          <cell r="D151">
            <v>4319</v>
          </cell>
          <cell r="E151" t="str">
            <v>Ostali transferi institucijama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/>
          <cell r="EC151"/>
          <cell r="ED151"/>
          <cell r="EE151"/>
          <cell r="EF151"/>
          <cell r="EG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Y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U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Q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M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I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E151"/>
          <cell r="LF151"/>
          <cell r="LG151"/>
          <cell r="LH151"/>
          <cell r="LI151"/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/>
          <cell r="EI152"/>
          <cell r="EJ152"/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/>
          <cell r="EQ152">
            <v>121333.35</v>
          </cell>
          <cell r="ER152">
            <v>4552.88</v>
          </cell>
          <cell r="ES152"/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/>
          <cell r="FG152">
            <v>2077471.58</v>
          </cell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  <cell r="GF152"/>
          <cell r="GG152"/>
          <cell r="GH152"/>
          <cell r="GI152"/>
          <cell r="GJ152"/>
          <cell r="GK152"/>
          <cell r="GL152"/>
          <cell r="GM152"/>
          <cell r="GN152"/>
          <cell r="GO152"/>
          <cell r="GP152"/>
          <cell r="GQ152"/>
          <cell r="GR152"/>
          <cell r="GS152"/>
          <cell r="GT152"/>
          <cell r="GU152"/>
          <cell r="GV152"/>
          <cell r="GW152"/>
          <cell r="GX152"/>
          <cell r="GY152"/>
          <cell r="GZ152"/>
          <cell r="HA152"/>
          <cell r="HB152"/>
          <cell r="HC152"/>
          <cell r="HD152"/>
          <cell r="HE152"/>
          <cell r="HF152"/>
          <cell r="HG152"/>
          <cell r="HH152"/>
          <cell r="HI152"/>
          <cell r="HJ152"/>
          <cell r="HK152"/>
          <cell r="HL152"/>
          <cell r="HM152"/>
          <cell r="HN152"/>
          <cell r="HO152"/>
          <cell r="HP152"/>
          <cell r="HQ152"/>
          <cell r="HR152"/>
          <cell r="HS152"/>
          <cell r="HT152"/>
          <cell r="HU152"/>
          <cell r="HV152"/>
          <cell r="HW152"/>
          <cell r="HX152"/>
          <cell r="HY152"/>
          <cell r="HZ152"/>
          <cell r="IA152"/>
          <cell r="IB152"/>
          <cell r="IC152"/>
          <cell r="ID152"/>
          <cell r="IE152"/>
          <cell r="IF152"/>
          <cell r="IG152"/>
          <cell r="IH152"/>
          <cell r="II152"/>
          <cell r="IJ152"/>
          <cell r="IK152"/>
          <cell r="IL152"/>
          <cell r="IM152"/>
          <cell r="IN152"/>
          <cell r="IO152"/>
          <cell r="IP152"/>
          <cell r="IQ152"/>
          <cell r="IR152"/>
          <cell r="IS152"/>
          <cell r="IT152"/>
          <cell r="IU152"/>
          <cell r="IV152"/>
          <cell r="IW152"/>
          <cell r="IX152"/>
          <cell r="IY152"/>
          <cell r="IZ152"/>
          <cell r="JA152"/>
          <cell r="JB152"/>
          <cell r="JC152"/>
          <cell r="JD152"/>
          <cell r="JE152"/>
          <cell r="JF152"/>
          <cell r="JG152"/>
          <cell r="JH152"/>
          <cell r="JI152"/>
          <cell r="JJ152"/>
          <cell r="JK152"/>
          <cell r="JL152"/>
          <cell r="JM152"/>
          <cell r="JN152"/>
          <cell r="JO152"/>
          <cell r="JP152"/>
          <cell r="JQ152"/>
          <cell r="JR152"/>
          <cell r="JS152"/>
          <cell r="JT152"/>
          <cell r="JU152"/>
          <cell r="JV152"/>
          <cell r="JW152"/>
          <cell r="JX152"/>
          <cell r="JY152"/>
          <cell r="JZ152"/>
          <cell r="KA152"/>
          <cell r="KB152"/>
          <cell r="KC152"/>
          <cell r="KD152"/>
          <cell r="KE152"/>
          <cell r="KF152"/>
          <cell r="KG152"/>
          <cell r="KH152"/>
          <cell r="KI152"/>
          <cell r="KJ152"/>
          <cell r="KK152"/>
          <cell r="KL152"/>
          <cell r="KM152"/>
          <cell r="KN152"/>
          <cell r="KO152"/>
          <cell r="KP152"/>
          <cell r="KQ152"/>
          <cell r="KR152"/>
          <cell r="KS152"/>
          <cell r="KT152"/>
          <cell r="KU152"/>
          <cell r="KV152"/>
          <cell r="KW152"/>
          <cell r="KX152"/>
          <cell r="KY152"/>
          <cell r="KZ152"/>
          <cell r="LA152"/>
          <cell r="LB152"/>
          <cell r="LC152"/>
          <cell r="LD152"/>
          <cell r="LE152"/>
          <cell r="LF152"/>
          <cell r="LG152"/>
          <cell r="LH152"/>
          <cell r="LI152"/>
        </row>
        <row r="153">
          <cell r="D153">
            <v>4321</v>
          </cell>
          <cell r="E153" t="str">
            <v>Transferi Fondu penzijskog i invalidskog osiguranja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/>
          <cell r="FV153"/>
          <cell r="FW153"/>
          <cell r="FX153"/>
          <cell r="FY153"/>
          <cell r="FZ153"/>
          <cell r="GA153"/>
          <cell r="GB153"/>
          <cell r="GC153"/>
          <cell r="GD153"/>
          <cell r="GE153"/>
          <cell r="GF153"/>
          <cell r="GG153"/>
          <cell r="GH153"/>
          <cell r="GI153"/>
          <cell r="GJ153"/>
          <cell r="GK153"/>
          <cell r="GL153"/>
          <cell r="GM153"/>
          <cell r="GN153"/>
          <cell r="GO153"/>
          <cell r="GP153"/>
          <cell r="GQ153"/>
          <cell r="GR153"/>
          <cell r="GS153"/>
          <cell r="GT153"/>
          <cell r="GU153"/>
          <cell r="GV153"/>
          <cell r="GW153"/>
          <cell r="GX153"/>
          <cell r="GY153"/>
          <cell r="GZ153"/>
          <cell r="HA153"/>
          <cell r="HB153"/>
          <cell r="HC153"/>
          <cell r="HD153"/>
          <cell r="HE153"/>
          <cell r="HF153"/>
          <cell r="HG153"/>
          <cell r="HH153"/>
          <cell r="HI153"/>
          <cell r="HJ153"/>
          <cell r="HK153"/>
          <cell r="HL153"/>
          <cell r="HM153"/>
          <cell r="HN153"/>
          <cell r="HO153"/>
          <cell r="HP153"/>
          <cell r="HQ153"/>
          <cell r="HR153"/>
          <cell r="HS153"/>
          <cell r="HT153"/>
          <cell r="HU153"/>
          <cell r="HV153"/>
          <cell r="HW153"/>
          <cell r="HX153"/>
          <cell r="HY153"/>
          <cell r="HZ153"/>
          <cell r="IA153"/>
          <cell r="IB153"/>
          <cell r="IC153"/>
          <cell r="ID153"/>
          <cell r="IE153"/>
          <cell r="IF153"/>
          <cell r="IG153"/>
          <cell r="IH153"/>
          <cell r="II153"/>
          <cell r="IJ153"/>
          <cell r="IK153"/>
          <cell r="IL153"/>
          <cell r="IM153"/>
          <cell r="IN153"/>
          <cell r="IO153"/>
          <cell r="IP153"/>
          <cell r="IQ153"/>
          <cell r="IR153"/>
          <cell r="IS153"/>
          <cell r="IT153"/>
          <cell r="IU153"/>
          <cell r="IV153"/>
          <cell r="IW153"/>
          <cell r="IX153"/>
          <cell r="IY153"/>
          <cell r="IZ153"/>
          <cell r="JA153"/>
          <cell r="JB153"/>
          <cell r="JC153"/>
          <cell r="JD153"/>
          <cell r="JE153"/>
          <cell r="JF153"/>
          <cell r="JG153"/>
          <cell r="JH153"/>
          <cell r="JI153"/>
          <cell r="JJ153"/>
          <cell r="JK153"/>
          <cell r="JL153"/>
          <cell r="JM153"/>
          <cell r="JN153"/>
          <cell r="JO153"/>
          <cell r="JP153"/>
          <cell r="JQ153"/>
          <cell r="JR153"/>
          <cell r="JS153"/>
          <cell r="JT153"/>
          <cell r="JU153"/>
          <cell r="JV153"/>
          <cell r="JW153"/>
          <cell r="JX153"/>
          <cell r="JY153"/>
          <cell r="JZ153"/>
          <cell r="KA153"/>
          <cell r="KB153"/>
          <cell r="KC153"/>
          <cell r="KD153"/>
          <cell r="KE153"/>
          <cell r="KF153"/>
          <cell r="KG153"/>
          <cell r="KH153"/>
          <cell r="KI153"/>
          <cell r="KJ153"/>
          <cell r="KK153"/>
          <cell r="KL153"/>
          <cell r="KM153"/>
          <cell r="KN153"/>
          <cell r="KO153"/>
          <cell r="KP153"/>
          <cell r="KQ153"/>
          <cell r="KR153"/>
          <cell r="KS153"/>
          <cell r="KT153"/>
          <cell r="KU153"/>
          <cell r="KV153"/>
          <cell r="KW153"/>
          <cell r="KX153"/>
          <cell r="KY153"/>
          <cell r="KZ153"/>
          <cell r="LA153"/>
          <cell r="LB153"/>
          <cell r="LC153"/>
          <cell r="LD153"/>
          <cell r="LE153"/>
          <cell r="LF153"/>
          <cell r="LG153"/>
          <cell r="LH153"/>
          <cell r="LI153"/>
        </row>
        <row r="154">
          <cell r="D154">
            <v>4322</v>
          </cell>
          <cell r="E154" t="str">
            <v>Transferi Fondu zdravstva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  <cell r="GF154"/>
          <cell r="GG154"/>
          <cell r="GH154"/>
          <cell r="GI154"/>
          <cell r="GJ154"/>
          <cell r="GK154"/>
          <cell r="GL154"/>
          <cell r="GM154"/>
          <cell r="GN154"/>
          <cell r="GO154"/>
          <cell r="GP154"/>
          <cell r="GQ154"/>
          <cell r="GR154"/>
          <cell r="GS154"/>
          <cell r="GT154"/>
          <cell r="GU154"/>
          <cell r="GV154"/>
          <cell r="GW154"/>
          <cell r="GX154"/>
          <cell r="GY154"/>
          <cell r="GZ154"/>
          <cell r="HA154"/>
          <cell r="HB154"/>
          <cell r="HC154"/>
          <cell r="HD154"/>
          <cell r="HE154"/>
          <cell r="HF154"/>
          <cell r="HG154"/>
          <cell r="HH154"/>
          <cell r="HI154"/>
          <cell r="HJ154"/>
          <cell r="HK154"/>
          <cell r="HL154"/>
          <cell r="HM154"/>
          <cell r="HN154"/>
          <cell r="HO154"/>
          <cell r="HP154"/>
          <cell r="HQ154"/>
          <cell r="HR154"/>
          <cell r="HS154"/>
          <cell r="HT154"/>
          <cell r="HU154"/>
          <cell r="HV154"/>
          <cell r="HW154"/>
          <cell r="HX154"/>
          <cell r="HY154"/>
          <cell r="HZ154"/>
          <cell r="IA154"/>
          <cell r="IB154"/>
          <cell r="IC154"/>
          <cell r="ID154"/>
          <cell r="IE154"/>
          <cell r="IF154"/>
          <cell r="IG154"/>
          <cell r="IH154"/>
          <cell r="II154"/>
          <cell r="IJ154"/>
          <cell r="IK154"/>
          <cell r="IL154"/>
          <cell r="IM154"/>
          <cell r="IN154"/>
          <cell r="IO154"/>
          <cell r="IP154"/>
          <cell r="IQ154"/>
          <cell r="IR154"/>
          <cell r="IS154"/>
          <cell r="IT154"/>
          <cell r="IU154"/>
          <cell r="IV154"/>
          <cell r="IW154"/>
          <cell r="IX154"/>
          <cell r="IY154"/>
          <cell r="IZ154"/>
          <cell r="JA154"/>
          <cell r="JB154"/>
          <cell r="JC154"/>
          <cell r="JD154"/>
          <cell r="JE154"/>
          <cell r="JF154"/>
          <cell r="JG154"/>
          <cell r="JH154"/>
          <cell r="JI154"/>
          <cell r="JJ154"/>
          <cell r="JK154"/>
          <cell r="JL154"/>
          <cell r="JM154"/>
          <cell r="JN154"/>
          <cell r="JO154"/>
          <cell r="JP154"/>
          <cell r="JQ154"/>
          <cell r="JR154"/>
          <cell r="JS154"/>
          <cell r="JT154"/>
          <cell r="JU154"/>
          <cell r="JV154"/>
          <cell r="JW154"/>
          <cell r="JX154"/>
          <cell r="JY154"/>
          <cell r="JZ154"/>
          <cell r="KA154"/>
          <cell r="KB154"/>
          <cell r="KC154"/>
          <cell r="KD154"/>
          <cell r="KE154"/>
          <cell r="KF154"/>
          <cell r="KG154"/>
          <cell r="KH154"/>
          <cell r="KI154"/>
          <cell r="KJ154"/>
          <cell r="KK154"/>
          <cell r="KL154"/>
          <cell r="KM154"/>
          <cell r="KN154"/>
          <cell r="KO154"/>
          <cell r="KP154"/>
          <cell r="KQ154"/>
          <cell r="KR154"/>
          <cell r="KS154"/>
          <cell r="KT154"/>
          <cell r="KU154"/>
          <cell r="KV154"/>
          <cell r="KW154"/>
          <cell r="KX154"/>
          <cell r="KY154"/>
          <cell r="KZ154"/>
          <cell r="LA154"/>
          <cell r="LB154"/>
          <cell r="LC154"/>
          <cell r="LD154"/>
          <cell r="LE154"/>
          <cell r="LF154"/>
          <cell r="LG154"/>
          <cell r="LH154"/>
          <cell r="LI154"/>
        </row>
        <row r="155">
          <cell r="D155">
            <v>4323</v>
          </cell>
          <cell r="E155" t="str">
            <v>Transferi zavodu za zapošljavanje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  <cell r="GF155"/>
          <cell r="GG155"/>
          <cell r="GH155"/>
          <cell r="GI155"/>
          <cell r="GJ155"/>
          <cell r="GK155"/>
          <cell r="GL155"/>
          <cell r="GM155"/>
          <cell r="GN155"/>
          <cell r="GO155"/>
          <cell r="GP155"/>
          <cell r="GQ155"/>
          <cell r="GR155"/>
          <cell r="GS155"/>
          <cell r="GT155"/>
          <cell r="GU155"/>
          <cell r="GV155"/>
          <cell r="GW155"/>
          <cell r="GX155"/>
          <cell r="GY155"/>
          <cell r="GZ155"/>
          <cell r="HA155"/>
          <cell r="HB155"/>
          <cell r="HC155"/>
          <cell r="HD155"/>
          <cell r="HE155"/>
          <cell r="HF155"/>
          <cell r="HG155"/>
          <cell r="HH155"/>
          <cell r="HI155"/>
          <cell r="HJ155"/>
          <cell r="HK155"/>
          <cell r="HL155"/>
          <cell r="HM155"/>
          <cell r="HN155"/>
          <cell r="HO155"/>
          <cell r="HP155"/>
          <cell r="HQ155"/>
          <cell r="HR155"/>
          <cell r="HS155"/>
          <cell r="HT155"/>
          <cell r="HU155"/>
          <cell r="HV155"/>
          <cell r="HW155"/>
          <cell r="HX155"/>
          <cell r="HY155"/>
          <cell r="HZ155"/>
          <cell r="IA155"/>
          <cell r="IB155"/>
          <cell r="IC155"/>
          <cell r="ID155"/>
          <cell r="IE155"/>
          <cell r="IF155"/>
          <cell r="IG155"/>
          <cell r="IH155"/>
          <cell r="II155"/>
          <cell r="IJ155"/>
          <cell r="IK155"/>
          <cell r="IL155"/>
          <cell r="IM155"/>
          <cell r="IN155"/>
          <cell r="IO155"/>
          <cell r="IP155"/>
          <cell r="IQ155"/>
          <cell r="IR155"/>
          <cell r="IS155"/>
          <cell r="IT155"/>
          <cell r="IU155"/>
          <cell r="IV155"/>
          <cell r="IW155"/>
          <cell r="IX155"/>
          <cell r="IY155"/>
          <cell r="IZ155"/>
          <cell r="JA155"/>
          <cell r="JB155"/>
          <cell r="JC155"/>
          <cell r="JD155"/>
          <cell r="JE155"/>
          <cell r="JF155"/>
          <cell r="JG155"/>
          <cell r="JH155"/>
          <cell r="JI155"/>
          <cell r="JJ155"/>
          <cell r="JK155"/>
          <cell r="JL155"/>
          <cell r="JM155"/>
          <cell r="JN155"/>
          <cell r="JO155"/>
          <cell r="JP155"/>
          <cell r="JQ155"/>
          <cell r="JR155"/>
          <cell r="JS155"/>
          <cell r="JT155"/>
          <cell r="JU155"/>
          <cell r="JV155"/>
          <cell r="JW155"/>
          <cell r="JX155"/>
          <cell r="JY155"/>
          <cell r="JZ155"/>
          <cell r="KA155"/>
          <cell r="KB155"/>
          <cell r="KC155"/>
          <cell r="KD155"/>
          <cell r="KE155"/>
          <cell r="KF155"/>
          <cell r="KG155"/>
          <cell r="KH155"/>
          <cell r="KI155"/>
          <cell r="KJ155"/>
          <cell r="KK155"/>
          <cell r="KL155"/>
          <cell r="KM155"/>
          <cell r="KN155"/>
          <cell r="KO155"/>
          <cell r="KP155"/>
          <cell r="KQ155"/>
          <cell r="KR155"/>
          <cell r="KS155"/>
          <cell r="KT155"/>
          <cell r="KU155"/>
          <cell r="KV155"/>
          <cell r="KW155"/>
          <cell r="KX155"/>
          <cell r="KY155"/>
          <cell r="KZ155"/>
          <cell r="LA155"/>
          <cell r="LB155"/>
          <cell r="LC155"/>
          <cell r="LD155"/>
          <cell r="LE155"/>
          <cell r="LF155"/>
          <cell r="LG155"/>
          <cell r="LH155"/>
          <cell r="LI155"/>
        </row>
        <row r="156">
          <cell r="D156">
            <v>4324</v>
          </cell>
          <cell r="E156" t="str">
            <v>Transferi opštinama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  <cell r="GF156"/>
          <cell r="GG156"/>
          <cell r="GH156"/>
          <cell r="GI156"/>
          <cell r="GJ156"/>
          <cell r="GK156"/>
          <cell r="GL156"/>
          <cell r="GM156"/>
          <cell r="GN156"/>
          <cell r="GO156"/>
          <cell r="GP156"/>
          <cell r="GQ156"/>
          <cell r="GR156"/>
          <cell r="GS156"/>
          <cell r="GT156"/>
          <cell r="GU156"/>
          <cell r="GV156"/>
          <cell r="GW156"/>
          <cell r="GX156"/>
          <cell r="GY156"/>
          <cell r="GZ156"/>
          <cell r="HA156"/>
          <cell r="HB156"/>
          <cell r="HC156"/>
          <cell r="HD156"/>
          <cell r="HE156"/>
          <cell r="HF156"/>
          <cell r="HG156"/>
          <cell r="HH156"/>
          <cell r="HI156"/>
          <cell r="HJ156"/>
          <cell r="HK156"/>
          <cell r="HL156"/>
          <cell r="HM156"/>
          <cell r="HN156"/>
          <cell r="HO156"/>
          <cell r="HP156"/>
          <cell r="HQ156"/>
          <cell r="HR156"/>
          <cell r="HS156"/>
          <cell r="HT156"/>
          <cell r="HU156"/>
          <cell r="HV156"/>
          <cell r="HW156"/>
          <cell r="HX156"/>
          <cell r="HY156"/>
          <cell r="HZ156"/>
          <cell r="IA156"/>
          <cell r="IB156"/>
          <cell r="IC156"/>
          <cell r="ID156"/>
          <cell r="IE156"/>
          <cell r="IF156"/>
          <cell r="IG156"/>
          <cell r="IH156"/>
          <cell r="II156"/>
          <cell r="IJ156"/>
          <cell r="IK156"/>
          <cell r="IL156"/>
          <cell r="IM156"/>
          <cell r="IN156"/>
          <cell r="IO156"/>
          <cell r="IP156"/>
          <cell r="IQ156"/>
          <cell r="IR156"/>
          <cell r="IS156"/>
          <cell r="IT156"/>
          <cell r="IU156"/>
          <cell r="IV156"/>
          <cell r="IW156"/>
          <cell r="IX156"/>
          <cell r="IY156"/>
          <cell r="IZ156"/>
          <cell r="JA156"/>
          <cell r="JB156"/>
          <cell r="JC156"/>
          <cell r="JD156"/>
          <cell r="JE156"/>
          <cell r="JF156"/>
          <cell r="JG156"/>
          <cell r="JH156"/>
          <cell r="JI156"/>
          <cell r="JJ156"/>
          <cell r="JK156"/>
          <cell r="JL156"/>
          <cell r="JM156"/>
          <cell r="JN156"/>
          <cell r="JO156"/>
          <cell r="JP156"/>
          <cell r="JQ156"/>
          <cell r="JR156"/>
          <cell r="JS156"/>
          <cell r="JT156"/>
          <cell r="JU156"/>
          <cell r="JV156"/>
          <cell r="JW156"/>
          <cell r="JX156"/>
          <cell r="JY156"/>
          <cell r="JZ156"/>
          <cell r="KA156"/>
          <cell r="KB156"/>
          <cell r="KC156"/>
          <cell r="KD156"/>
          <cell r="KE156"/>
          <cell r="KF156"/>
          <cell r="KG156"/>
          <cell r="KH156"/>
          <cell r="KI156"/>
          <cell r="KJ156"/>
          <cell r="KK156"/>
          <cell r="KL156"/>
          <cell r="KM156"/>
          <cell r="KN156"/>
          <cell r="KO156"/>
          <cell r="KP156"/>
          <cell r="KQ156"/>
          <cell r="KR156"/>
          <cell r="KS156"/>
          <cell r="KT156"/>
          <cell r="KU156"/>
          <cell r="KV156"/>
          <cell r="KW156"/>
          <cell r="KX156"/>
          <cell r="KY156"/>
          <cell r="KZ156"/>
          <cell r="LA156"/>
          <cell r="LB156"/>
          <cell r="LC156"/>
          <cell r="LD156"/>
          <cell r="LE156"/>
          <cell r="LF156"/>
          <cell r="LG156"/>
          <cell r="LH156"/>
          <cell r="LI156"/>
        </row>
        <row r="157">
          <cell r="D157">
            <v>4325</v>
          </cell>
          <cell r="E157" t="str">
            <v>Transferi budžetu države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  <cell r="GF157"/>
          <cell r="GG157"/>
          <cell r="GH157"/>
          <cell r="GI157"/>
          <cell r="GJ157"/>
          <cell r="GK157"/>
          <cell r="GL157"/>
          <cell r="GM157"/>
          <cell r="GN157"/>
          <cell r="GO157"/>
          <cell r="GP157"/>
          <cell r="GQ157"/>
          <cell r="GR157"/>
          <cell r="GS157"/>
          <cell r="GT157"/>
          <cell r="GU157"/>
          <cell r="GV157"/>
          <cell r="GW157"/>
          <cell r="GX157"/>
          <cell r="GY157"/>
          <cell r="GZ157"/>
          <cell r="HA157"/>
          <cell r="HB157"/>
          <cell r="HC157"/>
          <cell r="HD157"/>
          <cell r="HE157"/>
          <cell r="HF157"/>
          <cell r="HG157"/>
          <cell r="HH157"/>
          <cell r="HI157"/>
          <cell r="HJ157"/>
          <cell r="HK157"/>
          <cell r="HL157"/>
          <cell r="HM157"/>
          <cell r="HN157"/>
          <cell r="HO157"/>
          <cell r="HP157"/>
          <cell r="HQ157"/>
          <cell r="HR157"/>
          <cell r="HS157"/>
          <cell r="HT157"/>
          <cell r="HU157"/>
          <cell r="HV157"/>
          <cell r="HW157"/>
          <cell r="HX157"/>
          <cell r="HY157"/>
          <cell r="HZ157"/>
          <cell r="IA157"/>
          <cell r="IB157"/>
          <cell r="IC157"/>
          <cell r="ID157"/>
          <cell r="IE157"/>
          <cell r="IF157"/>
          <cell r="IG157"/>
          <cell r="IH157"/>
          <cell r="II157"/>
          <cell r="IJ157"/>
          <cell r="IK157"/>
          <cell r="IL157"/>
          <cell r="IM157"/>
          <cell r="IN157"/>
          <cell r="IO157"/>
          <cell r="IP157"/>
          <cell r="IQ157"/>
          <cell r="IR157"/>
          <cell r="IS157"/>
          <cell r="IT157"/>
          <cell r="IU157"/>
          <cell r="IV157"/>
          <cell r="IW157"/>
          <cell r="IX157"/>
          <cell r="IY157"/>
          <cell r="IZ157"/>
          <cell r="JA157"/>
          <cell r="JB157"/>
          <cell r="JC157"/>
          <cell r="JD157"/>
          <cell r="JE157"/>
          <cell r="JF157"/>
          <cell r="JG157"/>
          <cell r="JH157"/>
          <cell r="JI157"/>
          <cell r="JJ157"/>
          <cell r="JK157"/>
          <cell r="JL157"/>
          <cell r="JM157"/>
          <cell r="JN157"/>
          <cell r="JO157"/>
          <cell r="JP157"/>
          <cell r="JQ157"/>
          <cell r="JR157"/>
          <cell r="JS157"/>
          <cell r="JT157"/>
          <cell r="JU157"/>
          <cell r="JV157"/>
          <cell r="JW157"/>
          <cell r="JX157"/>
          <cell r="JY157"/>
          <cell r="JZ157"/>
          <cell r="KA157"/>
          <cell r="KB157"/>
          <cell r="KC157"/>
          <cell r="KD157"/>
          <cell r="KE157"/>
          <cell r="KF157"/>
          <cell r="KG157"/>
          <cell r="KH157"/>
          <cell r="KI157"/>
          <cell r="KJ157"/>
          <cell r="KK157"/>
          <cell r="KL157"/>
          <cell r="KM157"/>
          <cell r="KN157"/>
          <cell r="KO157"/>
          <cell r="KP157"/>
          <cell r="KQ157"/>
          <cell r="KR157"/>
          <cell r="KS157"/>
          <cell r="KT157"/>
          <cell r="KU157"/>
          <cell r="KV157"/>
          <cell r="KW157"/>
          <cell r="KX157"/>
          <cell r="KY157"/>
          <cell r="KZ157"/>
          <cell r="LA157"/>
          <cell r="LB157"/>
          <cell r="LC157"/>
          <cell r="LD157"/>
          <cell r="LE157"/>
          <cell r="LF157"/>
          <cell r="LG157"/>
          <cell r="LH157"/>
          <cell r="LI157"/>
        </row>
        <row r="158">
          <cell r="D158">
            <v>4326</v>
          </cell>
          <cell r="E158" t="str">
            <v>Transferi javnim preduzećima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/>
          <cell r="EB158"/>
          <cell r="EC158"/>
          <cell r="ED158"/>
          <cell r="EE158"/>
          <cell r="EF158"/>
          <cell r="EG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  <cell r="GF158"/>
          <cell r="GG158"/>
          <cell r="GH158"/>
          <cell r="GI158"/>
          <cell r="GJ158"/>
          <cell r="GK158"/>
          <cell r="GL158"/>
          <cell r="GM158"/>
          <cell r="GN158"/>
          <cell r="GO158"/>
          <cell r="GP158"/>
          <cell r="GQ158"/>
          <cell r="GR158"/>
          <cell r="GS158"/>
          <cell r="GT158"/>
          <cell r="GU158"/>
          <cell r="GV158"/>
          <cell r="GW158"/>
          <cell r="GX158"/>
          <cell r="GY158"/>
          <cell r="GZ158"/>
          <cell r="HA158"/>
          <cell r="HB158"/>
          <cell r="HC158"/>
          <cell r="HD158"/>
          <cell r="HE158"/>
          <cell r="HF158"/>
          <cell r="HG158"/>
          <cell r="HH158"/>
          <cell r="HI158"/>
          <cell r="HJ158"/>
          <cell r="HK158"/>
          <cell r="HL158"/>
          <cell r="HM158"/>
          <cell r="HN158"/>
          <cell r="HO158"/>
          <cell r="HP158"/>
          <cell r="HQ158"/>
          <cell r="HR158"/>
          <cell r="HS158"/>
          <cell r="HT158"/>
          <cell r="HU158"/>
          <cell r="HV158"/>
          <cell r="HW158"/>
          <cell r="HX158"/>
          <cell r="HY158"/>
          <cell r="HZ158"/>
          <cell r="IA158"/>
          <cell r="IB158"/>
          <cell r="IC158"/>
          <cell r="ID158"/>
          <cell r="IE158"/>
          <cell r="IF158"/>
          <cell r="IG158"/>
          <cell r="IH158"/>
          <cell r="II158"/>
          <cell r="IJ158"/>
          <cell r="IK158"/>
          <cell r="IL158"/>
          <cell r="IM158"/>
          <cell r="IN158"/>
          <cell r="IO158"/>
          <cell r="IP158"/>
          <cell r="IQ158"/>
          <cell r="IR158"/>
          <cell r="IS158"/>
          <cell r="IT158"/>
          <cell r="IU158"/>
          <cell r="IV158"/>
          <cell r="IW158"/>
          <cell r="IX158"/>
          <cell r="IY158"/>
          <cell r="IZ158"/>
          <cell r="JA158"/>
          <cell r="JB158"/>
          <cell r="JC158"/>
          <cell r="JD158"/>
          <cell r="JE158"/>
          <cell r="JF158"/>
          <cell r="JG158"/>
          <cell r="JH158"/>
          <cell r="JI158"/>
          <cell r="JJ158"/>
          <cell r="JK158"/>
          <cell r="JL158"/>
          <cell r="JM158"/>
          <cell r="JN158"/>
          <cell r="JO158"/>
          <cell r="JP158"/>
          <cell r="JQ158"/>
          <cell r="JR158"/>
          <cell r="JS158"/>
          <cell r="JT158"/>
          <cell r="JU158"/>
          <cell r="JV158"/>
          <cell r="JW158"/>
          <cell r="JX158"/>
          <cell r="JY158"/>
          <cell r="JZ158"/>
          <cell r="KA158"/>
          <cell r="KB158"/>
          <cell r="KC158"/>
          <cell r="KD158"/>
          <cell r="KE158"/>
          <cell r="KF158"/>
          <cell r="KG158"/>
          <cell r="KH158"/>
          <cell r="KI158"/>
          <cell r="KJ158"/>
          <cell r="KK158"/>
          <cell r="KL158"/>
          <cell r="KM158"/>
          <cell r="KN158"/>
          <cell r="KO158"/>
          <cell r="KP158"/>
          <cell r="KQ158"/>
          <cell r="KR158"/>
          <cell r="KS158"/>
          <cell r="KT158"/>
          <cell r="KU158"/>
          <cell r="KV158"/>
          <cell r="KW158"/>
          <cell r="KX158"/>
          <cell r="KY158"/>
          <cell r="KZ158"/>
          <cell r="LA158"/>
          <cell r="LB158"/>
          <cell r="LC158"/>
          <cell r="LD158"/>
          <cell r="LE158"/>
          <cell r="LF158"/>
          <cell r="LG158"/>
          <cell r="LH158"/>
          <cell r="LI158"/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  <cell r="GF159"/>
          <cell r="GG159"/>
          <cell r="GH159"/>
          <cell r="GI159"/>
          <cell r="GJ159"/>
          <cell r="GK159"/>
          <cell r="GL159"/>
          <cell r="GM159"/>
          <cell r="GN159"/>
          <cell r="GO159"/>
          <cell r="GP159"/>
          <cell r="GQ159"/>
          <cell r="GR159"/>
          <cell r="GS159"/>
          <cell r="GT159"/>
          <cell r="GU159"/>
          <cell r="GV159"/>
          <cell r="GW159"/>
          <cell r="GX159"/>
          <cell r="GY159"/>
          <cell r="GZ159"/>
          <cell r="HA159"/>
          <cell r="HB159"/>
          <cell r="HC159"/>
          <cell r="HD159"/>
          <cell r="HE159"/>
          <cell r="HF159"/>
          <cell r="HG159"/>
          <cell r="HH159"/>
          <cell r="HI159"/>
          <cell r="HJ159"/>
          <cell r="HK159"/>
          <cell r="HL159"/>
          <cell r="HM159"/>
          <cell r="HN159"/>
          <cell r="HO159"/>
          <cell r="HP159"/>
          <cell r="HQ159"/>
          <cell r="HR159"/>
          <cell r="HS159"/>
          <cell r="HT159"/>
          <cell r="HU159"/>
          <cell r="HV159"/>
          <cell r="HW159"/>
          <cell r="HX159"/>
          <cell r="HY159"/>
          <cell r="HZ159"/>
          <cell r="IA159"/>
          <cell r="IB159"/>
          <cell r="IC159"/>
          <cell r="ID159"/>
          <cell r="IE159"/>
          <cell r="IF159"/>
          <cell r="IG159"/>
          <cell r="IH159"/>
          <cell r="II159"/>
          <cell r="IJ159"/>
          <cell r="IK159"/>
          <cell r="IL159"/>
          <cell r="IM159"/>
          <cell r="IN159"/>
          <cell r="IO159"/>
          <cell r="IP159"/>
          <cell r="IQ159"/>
          <cell r="IR159"/>
          <cell r="IS159"/>
          <cell r="IT159"/>
          <cell r="IU159"/>
          <cell r="IV159"/>
          <cell r="IW159"/>
          <cell r="IX159"/>
          <cell r="IY159"/>
          <cell r="IZ159"/>
          <cell r="JA159"/>
          <cell r="JB159"/>
          <cell r="JC159"/>
          <cell r="JD159"/>
          <cell r="JE159"/>
          <cell r="JF159"/>
          <cell r="JG159"/>
          <cell r="JH159"/>
          <cell r="JI159"/>
          <cell r="JJ159"/>
          <cell r="JK159"/>
          <cell r="JL159"/>
          <cell r="JM159"/>
          <cell r="JN159"/>
          <cell r="JO159"/>
          <cell r="JP159"/>
          <cell r="JQ159"/>
          <cell r="JR159"/>
          <cell r="JS159"/>
          <cell r="JT159"/>
          <cell r="JU159"/>
          <cell r="JV159"/>
          <cell r="JW159"/>
          <cell r="JX159"/>
          <cell r="JY159"/>
          <cell r="JZ159"/>
          <cell r="KA159"/>
          <cell r="KB159"/>
          <cell r="KC159"/>
          <cell r="KD159"/>
          <cell r="KE159"/>
          <cell r="KF159"/>
          <cell r="KG159"/>
          <cell r="KH159"/>
          <cell r="KI159"/>
          <cell r="KJ159"/>
          <cell r="KK159"/>
          <cell r="KL159"/>
          <cell r="KM159"/>
          <cell r="KN159"/>
          <cell r="KO159"/>
          <cell r="KP159"/>
          <cell r="KQ159"/>
          <cell r="KR159"/>
          <cell r="KS159"/>
          <cell r="KT159"/>
          <cell r="KU159"/>
          <cell r="KV159"/>
          <cell r="KW159"/>
          <cell r="KX159"/>
          <cell r="KY159"/>
          <cell r="KZ159"/>
          <cell r="LA159"/>
          <cell r="LB159"/>
          <cell r="LC159"/>
          <cell r="LD159"/>
          <cell r="LE159"/>
          <cell r="LF159"/>
          <cell r="LG159"/>
          <cell r="LH159"/>
          <cell r="LI159"/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/>
          <cell r="FS160"/>
          <cell r="FT160"/>
          <cell r="FU160"/>
          <cell r="FV160"/>
          <cell r="FW160"/>
          <cell r="FX160"/>
          <cell r="FY160"/>
          <cell r="FZ160"/>
          <cell r="GA160"/>
          <cell r="GB160"/>
          <cell r="GC160"/>
          <cell r="GD160"/>
          <cell r="GE160"/>
          <cell r="GF160"/>
          <cell r="GG160"/>
          <cell r="GH160"/>
          <cell r="GI160"/>
          <cell r="GJ160"/>
          <cell r="GK160"/>
          <cell r="GL160"/>
          <cell r="GM160"/>
          <cell r="GN160"/>
          <cell r="GO160"/>
          <cell r="GP160"/>
          <cell r="GQ160"/>
          <cell r="GR160"/>
          <cell r="GS160"/>
          <cell r="GT160"/>
          <cell r="GU160"/>
          <cell r="GV160"/>
          <cell r="GW160"/>
          <cell r="GX160"/>
          <cell r="GY160"/>
          <cell r="GZ160"/>
          <cell r="HA160"/>
          <cell r="HB160"/>
          <cell r="HC160"/>
          <cell r="HD160"/>
          <cell r="HE160"/>
          <cell r="HF160"/>
          <cell r="HG160"/>
          <cell r="HH160"/>
          <cell r="HI160"/>
          <cell r="HJ160"/>
          <cell r="HK160"/>
          <cell r="HL160"/>
          <cell r="HM160"/>
          <cell r="HN160"/>
          <cell r="HO160"/>
          <cell r="HP160"/>
          <cell r="HQ160"/>
          <cell r="HR160"/>
          <cell r="HS160"/>
          <cell r="HT160"/>
          <cell r="HU160"/>
          <cell r="HV160"/>
          <cell r="HW160"/>
          <cell r="HX160"/>
          <cell r="HY160"/>
          <cell r="HZ160"/>
          <cell r="IA160"/>
          <cell r="IB160"/>
          <cell r="IC160"/>
          <cell r="ID160"/>
          <cell r="IE160"/>
          <cell r="IF160"/>
          <cell r="IG160"/>
          <cell r="IH160"/>
          <cell r="II160"/>
          <cell r="IJ160"/>
          <cell r="IK160"/>
          <cell r="IL160"/>
          <cell r="IM160"/>
          <cell r="IN160"/>
          <cell r="IO160"/>
          <cell r="IP160"/>
          <cell r="IQ160"/>
          <cell r="IR160"/>
          <cell r="IS160"/>
          <cell r="IT160"/>
          <cell r="IU160"/>
          <cell r="IV160"/>
          <cell r="IW160"/>
          <cell r="IX160"/>
          <cell r="IY160"/>
          <cell r="IZ160"/>
          <cell r="JA160"/>
          <cell r="JB160"/>
          <cell r="JC160"/>
          <cell r="JD160"/>
          <cell r="JE160"/>
          <cell r="JF160"/>
          <cell r="JG160"/>
          <cell r="JH160"/>
          <cell r="JI160"/>
          <cell r="JJ160"/>
          <cell r="JK160"/>
          <cell r="JL160"/>
          <cell r="JM160"/>
          <cell r="JN160"/>
          <cell r="JO160"/>
          <cell r="JP160"/>
          <cell r="JQ160"/>
          <cell r="JR160"/>
          <cell r="JS160"/>
          <cell r="JT160"/>
          <cell r="JU160"/>
          <cell r="JV160"/>
          <cell r="JW160"/>
          <cell r="JX160"/>
          <cell r="JY160"/>
          <cell r="JZ160"/>
          <cell r="KA160"/>
          <cell r="KB160"/>
          <cell r="KC160"/>
          <cell r="KD160"/>
          <cell r="KE160"/>
          <cell r="KF160"/>
          <cell r="KG160"/>
          <cell r="KH160"/>
          <cell r="KI160"/>
          <cell r="KJ160"/>
          <cell r="KK160"/>
          <cell r="KL160"/>
          <cell r="KM160"/>
          <cell r="KN160"/>
          <cell r="KO160"/>
          <cell r="KP160"/>
          <cell r="KQ160"/>
          <cell r="KR160"/>
          <cell r="KS160"/>
          <cell r="KT160"/>
          <cell r="KU160"/>
          <cell r="KV160"/>
          <cell r="KW160"/>
          <cell r="KX160"/>
          <cell r="KY160"/>
          <cell r="KZ160"/>
          <cell r="LA160"/>
          <cell r="LB160"/>
          <cell r="LC160"/>
          <cell r="LD160"/>
          <cell r="LE160"/>
          <cell r="LF160"/>
          <cell r="LG160"/>
          <cell r="LH160"/>
          <cell r="LI160"/>
        </row>
        <row r="161">
          <cell r="D161">
            <v>4411</v>
          </cell>
          <cell r="E161" t="str">
            <v>Izdaci za infrastrukturu opšeg značaja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/>
          <cell r="GC161"/>
          <cell r="GD161"/>
          <cell r="GE161"/>
          <cell r="GF161"/>
          <cell r="GG161"/>
          <cell r="GH161"/>
          <cell r="GI161"/>
          <cell r="GJ161"/>
          <cell r="GK161"/>
          <cell r="GL161"/>
          <cell r="GM161"/>
          <cell r="GN161"/>
          <cell r="GO161"/>
          <cell r="GP161"/>
          <cell r="GQ161"/>
          <cell r="GR161"/>
          <cell r="GS161"/>
          <cell r="GT161"/>
          <cell r="GU161"/>
          <cell r="GV161"/>
          <cell r="GW161"/>
          <cell r="GX161"/>
          <cell r="GY161"/>
          <cell r="GZ161"/>
          <cell r="HA161"/>
          <cell r="HB161"/>
          <cell r="HC161"/>
          <cell r="HD161"/>
          <cell r="HE161"/>
          <cell r="HF161"/>
          <cell r="HG161"/>
          <cell r="HH161"/>
          <cell r="HI161"/>
          <cell r="HJ161"/>
          <cell r="HK161"/>
          <cell r="HL161"/>
          <cell r="HM161"/>
          <cell r="HN161"/>
          <cell r="HO161"/>
          <cell r="HP161"/>
          <cell r="HQ161"/>
          <cell r="HR161"/>
          <cell r="HS161"/>
          <cell r="HT161"/>
          <cell r="HU161"/>
          <cell r="HV161"/>
          <cell r="HW161"/>
          <cell r="HX161"/>
          <cell r="HY161"/>
          <cell r="HZ161"/>
          <cell r="IA161"/>
          <cell r="IB161"/>
          <cell r="IC161"/>
          <cell r="ID161"/>
          <cell r="IE161"/>
          <cell r="IF161"/>
          <cell r="IG161"/>
          <cell r="IH161"/>
          <cell r="II161"/>
          <cell r="IJ161"/>
          <cell r="IK161"/>
          <cell r="IL161"/>
          <cell r="IM161"/>
          <cell r="IN161"/>
          <cell r="IO161"/>
          <cell r="IP161"/>
          <cell r="IQ161"/>
          <cell r="IR161"/>
          <cell r="IS161"/>
          <cell r="IT161"/>
          <cell r="IU161"/>
          <cell r="IV161"/>
          <cell r="IW161"/>
          <cell r="IX161"/>
          <cell r="IY161"/>
          <cell r="IZ161"/>
          <cell r="JA161"/>
          <cell r="JB161"/>
          <cell r="JC161"/>
          <cell r="JD161"/>
          <cell r="JE161"/>
          <cell r="JF161"/>
          <cell r="JG161"/>
          <cell r="JH161"/>
          <cell r="JI161"/>
          <cell r="JJ161"/>
          <cell r="JK161"/>
          <cell r="JL161"/>
          <cell r="JM161"/>
          <cell r="JN161"/>
          <cell r="JO161"/>
          <cell r="JP161"/>
          <cell r="JQ161"/>
          <cell r="JR161"/>
          <cell r="JS161"/>
          <cell r="JT161"/>
          <cell r="JU161"/>
          <cell r="JV161"/>
          <cell r="JW161"/>
          <cell r="JX161"/>
          <cell r="JY161"/>
          <cell r="JZ161"/>
          <cell r="KA161"/>
          <cell r="KB161"/>
          <cell r="KC161"/>
          <cell r="KD161"/>
          <cell r="KE161"/>
          <cell r="KF161"/>
          <cell r="KG161"/>
          <cell r="KH161"/>
          <cell r="KI161"/>
          <cell r="KJ161"/>
          <cell r="KK161"/>
          <cell r="KL161"/>
          <cell r="KM161"/>
          <cell r="KN161"/>
          <cell r="KO161"/>
          <cell r="KP161"/>
          <cell r="KQ161"/>
          <cell r="KR161"/>
          <cell r="KS161"/>
          <cell r="KT161"/>
          <cell r="KU161"/>
          <cell r="KV161"/>
          <cell r="KW161"/>
          <cell r="KX161"/>
          <cell r="KY161"/>
          <cell r="KZ161"/>
          <cell r="LA161"/>
          <cell r="LB161"/>
          <cell r="LC161"/>
          <cell r="LD161"/>
          <cell r="LE161"/>
          <cell r="LF161"/>
          <cell r="LG161"/>
          <cell r="LH161"/>
          <cell r="LI161"/>
        </row>
        <row r="162">
          <cell r="D162">
            <v>4412</v>
          </cell>
          <cell r="E162" t="str">
            <v>Izdaci za lokalnu infrastrukturu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  <cell r="FM162"/>
          <cell r="FN162"/>
          <cell r="FO162"/>
          <cell r="FP162"/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/>
          <cell r="GD162"/>
          <cell r="GE162"/>
          <cell r="GF162"/>
          <cell r="GG162"/>
          <cell r="GH162"/>
          <cell r="GI162"/>
          <cell r="GJ162"/>
          <cell r="GK162"/>
          <cell r="GL162"/>
          <cell r="GM162"/>
          <cell r="GN162"/>
          <cell r="GO162"/>
          <cell r="GP162"/>
          <cell r="GQ162"/>
          <cell r="GR162"/>
          <cell r="GS162"/>
          <cell r="GT162"/>
          <cell r="GU162"/>
          <cell r="GV162"/>
          <cell r="GW162"/>
          <cell r="GX162"/>
          <cell r="GY162"/>
          <cell r="GZ162"/>
          <cell r="HA162"/>
          <cell r="HB162"/>
          <cell r="HC162"/>
          <cell r="HD162"/>
          <cell r="HE162"/>
          <cell r="HF162"/>
          <cell r="HG162"/>
          <cell r="HH162"/>
          <cell r="HI162"/>
          <cell r="HJ162"/>
          <cell r="HK162"/>
          <cell r="HL162"/>
          <cell r="HM162"/>
          <cell r="HN162"/>
          <cell r="HO162"/>
          <cell r="HP162"/>
          <cell r="HQ162"/>
          <cell r="HR162"/>
          <cell r="HS162"/>
          <cell r="HT162"/>
          <cell r="HU162"/>
          <cell r="HV162"/>
          <cell r="HW162"/>
          <cell r="HX162"/>
          <cell r="HY162"/>
          <cell r="HZ162"/>
          <cell r="IA162"/>
          <cell r="IB162"/>
          <cell r="IC162"/>
          <cell r="ID162"/>
          <cell r="IE162"/>
          <cell r="IF162"/>
          <cell r="IG162"/>
          <cell r="IH162"/>
          <cell r="II162"/>
          <cell r="IJ162"/>
          <cell r="IK162"/>
          <cell r="IL162"/>
          <cell r="IM162"/>
          <cell r="IN162"/>
          <cell r="IO162"/>
          <cell r="IP162"/>
          <cell r="IQ162"/>
          <cell r="IR162"/>
          <cell r="IS162"/>
          <cell r="IT162"/>
          <cell r="IU162"/>
          <cell r="IV162"/>
          <cell r="IW162"/>
          <cell r="IX162"/>
          <cell r="IY162"/>
          <cell r="IZ162"/>
          <cell r="JA162"/>
          <cell r="JB162"/>
          <cell r="JC162"/>
          <cell r="JD162"/>
          <cell r="JE162"/>
          <cell r="JF162"/>
          <cell r="JG162"/>
          <cell r="JH162"/>
          <cell r="JI162"/>
          <cell r="JJ162"/>
          <cell r="JK162"/>
          <cell r="JL162"/>
          <cell r="JM162"/>
          <cell r="JN162"/>
          <cell r="JO162"/>
          <cell r="JP162"/>
          <cell r="JQ162"/>
          <cell r="JR162"/>
          <cell r="JS162"/>
          <cell r="JT162"/>
          <cell r="JU162"/>
          <cell r="JV162"/>
          <cell r="JW162"/>
          <cell r="JX162"/>
          <cell r="JY162"/>
          <cell r="JZ162"/>
          <cell r="KA162"/>
          <cell r="KB162"/>
          <cell r="KC162"/>
          <cell r="KD162"/>
          <cell r="KE162"/>
          <cell r="KF162"/>
          <cell r="KG162"/>
          <cell r="KH162"/>
          <cell r="KI162"/>
          <cell r="KJ162"/>
          <cell r="KK162"/>
          <cell r="KL162"/>
          <cell r="KM162"/>
          <cell r="KN162"/>
          <cell r="KO162"/>
          <cell r="KP162"/>
          <cell r="KQ162"/>
          <cell r="KR162"/>
          <cell r="KS162"/>
          <cell r="KT162"/>
          <cell r="KU162"/>
          <cell r="KV162"/>
          <cell r="KW162"/>
          <cell r="KX162"/>
          <cell r="KY162"/>
          <cell r="KZ162"/>
          <cell r="LA162"/>
          <cell r="LB162"/>
          <cell r="LC162"/>
          <cell r="LD162"/>
          <cell r="LE162"/>
          <cell r="LF162"/>
          <cell r="LG162"/>
          <cell r="LH162"/>
          <cell r="LI162"/>
        </row>
        <row r="163">
          <cell r="D163">
            <v>4413</v>
          </cell>
          <cell r="E163" t="str">
            <v>Izdaci za građevinske objekte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  <cell r="GF163"/>
          <cell r="GG163"/>
          <cell r="GH163"/>
          <cell r="GI163"/>
          <cell r="GJ163"/>
          <cell r="GK163"/>
          <cell r="GL163"/>
          <cell r="GM163"/>
          <cell r="GN163"/>
          <cell r="GO163"/>
          <cell r="GP163"/>
          <cell r="GQ163"/>
          <cell r="GR163"/>
          <cell r="GS163"/>
          <cell r="GT163"/>
          <cell r="GU163"/>
          <cell r="GV163"/>
          <cell r="GW163"/>
          <cell r="GX163"/>
          <cell r="GY163"/>
          <cell r="GZ163"/>
          <cell r="HA163"/>
          <cell r="HB163"/>
          <cell r="HC163"/>
          <cell r="HD163"/>
          <cell r="HE163"/>
          <cell r="HF163"/>
          <cell r="HG163"/>
          <cell r="HH163"/>
          <cell r="HI163"/>
          <cell r="HJ163"/>
          <cell r="HK163"/>
          <cell r="HL163"/>
          <cell r="HM163"/>
          <cell r="HN163"/>
          <cell r="HO163"/>
          <cell r="HP163"/>
          <cell r="HQ163"/>
          <cell r="HR163"/>
          <cell r="HS163"/>
          <cell r="HT163"/>
          <cell r="HU163"/>
          <cell r="HV163"/>
          <cell r="HW163"/>
          <cell r="HX163"/>
          <cell r="HY163"/>
          <cell r="HZ163"/>
          <cell r="IA163"/>
          <cell r="IB163"/>
          <cell r="IC163"/>
          <cell r="ID163"/>
          <cell r="IE163"/>
          <cell r="IF163"/>
          <cell r="IG163"/>
          <cell r="IH163"/>
          <cell r="II163"/>
          <cell r="IJ163"/>
          <cell r="IK163"/>
          <cell r="IL163"/>
          <cell r="IM163"/>
          <cell r="IN163"/>
          <cell r="IO163"/>
          <cell r="IP163"/>
          <cell r="IQ163"/>
          <cell r="IR163"/>
          <cell r="IS163"/>
          <cell r="IT163"/>
          <cell r="IU163"/>
          <cell r="IV163"/>
          <cell r="IW163"/>
          <cell r="IX163"/>
          <cell r="IY163"/>
          <cell r="IZ163"/>
          <cell r="JA163"/>
          <cell r="JB163"/>
          <cell r="JC163"/>
          <cell r="JD163"/>
          <cell r="JE163"/>
          <cell r="JF163"/>
          <cell r="JG163"/>
          <cell r="JH163"/>
          <cell r="JI163"/>
          <cell r="JJ163"/>
          <cell r="JK163"/>
          <cell r="JL163"/>
          <cell r="JM163"/>
          <cell r="JN163"/>
          <cell r="JO163"/>
          <cell r="JP163"/>
          <cell r="JQ163"/>
          <cell r="JR163"/>
          <cell r="JS163"/>
          <cell r="JT163"/>
          <cell r="JU163"/>
          <cell r="JV163"/>
          <cell r="JW163"/>
          <cell r="JX163"/>
          <cell r="JY163"/>
          <cell r="JZ163"/>
          <cell r="KA163"/>
          <cell r="KB163"/>
          <cell r="KC163"/>
          <cell r="KD163"/>
          <cell r="KE163"/>
          <cell r="KF163"/>
          <cell r="KG163"/>
          <cell r="KH163"/>
          <cell r="KI163"/>
          <cell r="KJ163"/>
          <cell r="KK163"/>
          <cell r="KL163"/>
          <cell r="KM163"/>
          <cell r="KN163"/>
          <cell r="KO163"/>
          <cell r="KP163"/>
          <cell r="KQ163"/>
          <cell r="KR163"/>
          <cell r="KS163"/>
          <cell r="KT163"/>
          <cell r="KU163"/>
          <cell r="KV163"/>
          <cell r="KW163"/>
          <cell r="KX163"/>
          <cell r="KY163"/>
          <cell r="KZ163"/>
          <cell r="LA163"/>
          <cell r="LB163"/>
          <cell r="LC163"/>
          <cell r="LD163"/>
          <cell r="LE163"/>
          <cell r="LF163"/>
          <cell r="LG163"/>
          <cell r="LH163"/>
          <cell r="LI163"/>
        </row>
        <row r="164">
          <cell r="D164">
            <v>4414</v>
          </cell>
          <cell r="E164" t="str">
            <v>Izdaci za uređenje zemljišta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/>
          <cell r="FQ164"/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  <cell r="GF164"/>
          <cell r="GG164"/>
          <cell r="GH164"/>
          <cell r="GI164"/>
          <cell r="GJ164"/>
          <cell r="GK164"/>
          <cell r="GL164"/>
          <cell r="GM164"/>
          <cell r="GN164"/>
          <cell r="GO164"/>
          <cell r="GP164"/>
          <cell r="GQ164"/>
          <cell r="GR164"/>
          <cell r="GS164"/>
          <cell r="GT164"/>
          <cell r="GU164"/>
          <cell r="GV164"/>
          <cell r="GW164"/>
          <cell r="GX164"/>
          <cell r="GY164"/>
          <cell r="GZ164"/>
          <cell r="HA164"/>
          <cell r="HB164"/>
          <cell r="HC164"/>
          <cell r="HD164"/>
          <cell r="HE164"/>
          <cell r="HF164"/>
          <cell r="HG164"/>
          <cell r="HH164"/>
          <cell r="HI164"/>
          <cell r="HJ164"/>
          <cell r="HK164"/>
          <cell r="HL164"/>
          <cell r="HM164"/>
          <cell r="HN164"/>
          <cell r="HO164"/>
          <cell r="HP164"/>
          <cell r="HQ164"/>
          <cell r="HR164"/>
          <cell r="HS164"/>
          <cell r="HT164"/>
          <cell r="HU164"/>
          <cell r="HV164"/>
          <cell r="HW164"/>
          <cell r="HX164"/>
          <cell r="HY164"/>
          <cell r="HZ164"/>
          <cell r="IA164"/>
          <cell r="IB164"/>
          <cell r="IC164"/>
          <cell r="ID164"/>
          <cell r="IE164"/>
          <cell r="IF164"/>
          <cell r="IG164"/>
          <cell r="IH164"/>
          <cell r="II164"/>
          <cell r="IJ164"/>
          <cell r="IK164"/>
          <cell r="IL164"/>
          <cell r="IM164"/>
          <cell r="IN164"/>
          <cell r="IO164"/>
          <cell r="IP164"/>
          <cell r="IQ164"/>
          <cell r="IR164"/>
          <cell r="IS164"/>
          <cell r="IT164"/>
          <cell r="IU164"/>
          <cell r="IV164"/>
          <cell r="IW164"/>
          <cell r="IX164"/>
          <cell r="IY164"/>
          <cell r="IZ164"/>
          <cell r="JA164"/>
          <cell r="JB164"/>
          <cell r="JC164"/>
          <cell r="JD164"/>
          <cell r="JE164"/>
          <cell r="JF164"/>
          <cell r="JG164"/>
          <cell r="JH164"/>
          <cell r="JI164"/>
          <cell r="JJ164"/>
          <cell r="JK164"/>
          <cell r="JL164"/>
          <cell r="JM164"/>
          <cell r="JN164"/>
          <cell r="JO164"/>
          <cell r="JP164"/>
          <cell r="JQ164"/>
          <cell r="JR164"/>
          <cell r="JS164"/>
          <cell r="JT164"/>
          <cell r="JU164"/>
          <cell r="JV164"/>
          <cell r="JW164"/>
          <cell r="JX164"/>
          <cell r="JY164"/>
          <cell r="JZ164"/>
          <cell r="KA164"/>
          <cell r="KB164"/>
          <cell r="KC164"/>
          <cell r="KD164"/>
          <cell r="KE164"/>
          <cell r="KF164"/>
          <cell r="KG164"/>
          <cell r="KH164"/>
          <cell r="KI164"/>
          <cell r="KJ164"/>
          <cell r="KK164"/>
          <cell r="KL164"/>
          <cell r="KM164"/>
          <cell r="KN164"/>
          <cell r="KO164"/>
          <cell r="KP164"/>
          <cell r="KQ164"/>
          <cell r="KR164"/>
          <cell r="KS164"/>
          <cell r="KT164"/>
          <cell r="KU164"/>
          <cell r="KV164"/>
          <cell r="KW164"/>
          <cell r="KX164"/>
          <cell r="KY164"/>
          <cell r="KZ164"/>
          <cell r="LA164"/>
          <cell r="LB164"/>
          <cell r="LC164"/>
          <cell r="LD164"/>
          <cell r="LE164"/>
          <cell r="LF164"/>
          <cell r="LG164"/>
          <cell r="LH164"/>
          <cell r="LI164"/>
        </row>
        <row r="165">
          <cell r="D165">
            <v>4415</v>
          </cell>
          <cell r="E165" t="str">
            <v>Izdaci za opremu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  <cell r="JA165"/>
          <cell r="JB165"/>
          <cell r="JC165"/>
          <cell r="JD165"/>
          <cell r="JE165"/>
          <cell r="JF165"/>
          <cell r="JG165"/>
          <cell r="JH165"/>
          <cell r="JI165"/>
          <cell r="JJ165"/>
          <cell r="JK165"/>
          <cell r="JL165"/>
          <cell r="JM165"/>
          <cell r="JN165"/>
          <cell r="JO165"/>
          <cell r="JP165"/>
          <cell r="JQ165"/>
          <cell r="JR165"/>
          <cell r="JS165"/>
          <cell r="JT165"/>
          <cell r="JU165"/>
          <cell r="JV165"/>
          <cell r="JW165"/>
          <cell r="JX165"/>
          <cell r="JY165"/>
          <cell r="JZ165"/>
          <cell r="KA165"/>
          <cell r="KB165"/>
          <cell r="KC165"/>
          <cell r="KD165"/>
          <cell r="KE165"/>
          <cell r="KF165"/>
          <cell r="KG165"/>
          <cell r="KH165"/>
          <cell r="KI165"/>
          <cell r="KJ165"/>
          <cell r="KK165"/>
          <cell r="KL165"/>
          <cell r="KM165"/>
          <cell r="KN165"/>
          <cell r="KO165"/>
          <cell r="KP165"/>
          <cell r="KQ165"/>
          <cell r="KR165"/>
          <cell r="KS165"/>
          <cell r="KT165"/>
          <cell r="KU165"/>
          <cell r="KV165"/>
          <cell r="KW165"/>
          <cell r="KX165"/>
          <cell r="KY165"/>
          <cell r="KZ165"/>
          <cell r="LA165"/>
          <cell r="LB165"/>
          <cell r="LC165"/>
          <cell r="LD165"/>
          <cell r="LE165"/>
          <cell r="LF165"/>
          <cell r="LG165"/>
          <cell r="LH165"/>
          <cell r="LI165"/>
        </row>
        <row r="166">
          <cell r="D166">
            <v>4416</v>
          </cell>
          <cell r="E166" t="str">
            <v>Izdaci za investiciono održavanje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  <cell r="GF166"/>
          <cell r="GG166"/>
          <cell r="GH166"/>
          <cell r="GI166"/>
          <cell r="GJ166"/>
          <cell r="GK166"/>
          <cell r="GL166"/>
          <cell r="GM166"/>
          <cell r="GN166"/>
          <cell r="GO166"/>
          <cell r="GP166"/>
          <cell r="GQ166"/>
          <cell r="GR166"/>
          <cell r="GS166"/>
          <cell r="GT166"/>
          <cell r="GU166"/>
          <cell r="GV166"/>
          <cell r="GW166"/>
          <cell r="GX166"/>
          <cell r="GY166"/>
          <cell r="GZ166"/>
          <cell r="HA166"/>
          <cell r="HB166"/>
          <cell r="HC166"/>
          <cell r="HD166"/>
          <cell r="HE166"/>
          <cell r="HF166"/>
          <cell r="HG166"/>
          <cell r="HH166"/>
          <cell r="HI166"/>
          <cell r="HJ166"/>
          <cell r="HK166"/>
          <cell r="HL166"/>
          <cell r="HM166"/>
          <cell r="HN166"/>
          <cell r="HO166"/>
          <cell r="HP166"/>
          <cell r="HQ166"/>
          <cell r="HR166"/>
          <cell r="HS166"/>
          <cell r="HT166"/>
          <cell r="HU166"/>
          <cell r="HV166"/>
          <cell r="HW166"/>
          <cell r="HX166"/>
          <cell r="HY166"/>
          <cell r="HZ166"/>
          <cell r="IA166"/>
          <cell r="IB166"/>
          <cell r="IC166"/>
          <cell r="ID166"/>
          <cell r="IE166"/>
          <cell r="IF166"/>
          <cell r="IG166"/>
          <cell r="IH166"/>
          <cell r="II166"/>
          <cell r="IJ166"/>
          <cell r="IK166"/>
          <cell r="IL166"/>
          <cell r="IM166"/>
          <cell r="IN166"/>
          <cell r="IO166"/>
          <cell r="IP166"/>
          <cell r="IQ166"/>
          <cell r="IR166"/>
          <cell r="IS166"/>
          <cell r="IT166"/>
          <cell r="IU166"/>
          <cell r="IV166"/>
          <cell r="IW166"/>
          <cell r="IX166"/>
          <cell r="IY166"/>
          <cell r="IZ166"/>
          <cell r="JA166"/>
          <cell r="JB166"/>
          <cell r="JC166"/>
          <cell r="JD166"/>
          <cell r="JE166"/>
          <cell r="JF166"/>
          <cell r="JG166"/>
          <cell r="JH166"/>
          <cell r="JI166"/>
          <cell r="JJ166"/>
          <cell r="JK166"/>
          <cell r="JL166"/>
          <cell r="JM166"/>
          <cell r="JN166"/>
          <cell r="JO166"/>
          <cell r="JP166"/>
          <cell r="JQ166"/>
          <cell r="JR166"/>
          <cell r="JS166"/>
          <cell r="JT166"/>
          <cell r="JU166"/>
          <cell r="JV166"/>
          <cell r="JW166"/>
          <cell r="JX166"/>
          <cell r="JY166"/>
          <cell r="JZ166"/>
          <cell r="KA166"/>
          <cell r="KB166"/>
          <cell r="KC166"/>
          <cell r="KD166"/>
          <cell r="KE166"/>
          <cell r="KF166"/>
          <cell r="KG166"/>
          <cell r="KH166"/>
          <cell r="KI166"/>
          <cell r="KJ166"/>
          <cell r="KK166"/>
          <cell r="KL166"/>
          <cell r="KM166"/>
          <cell r="KN166"/>
          <cell r="KO166"/>
          <cell r="KP166"/>
          <cell r="KQ166"/>
          <cell r="KR166"/>
          <cell r="KS166"/>
          <cell r="KT166"/>
          <cell r="KU166"/>
          <cell r="KV166"/>
          <cell r="KW166"/>
          <cell r="KX166"/>
          <cell r="KY166"/>
          <cell r="KZ166"/>
          <cell r="LA166"/>
          <cell r="LB166"/>
          <cell r="LC166"/>
          <cell r="LD166"/>
          <cell r="LE166"/>
          <cell r="LF166"/>
          <cell r="LG166"/>
          <cell r="LH166"/>
          <cell r="LI166"/>
        </row>
        <row r="167">
          <cell r="D167">
            <v>4417</v>
          </cell>
          <cell r="E167" t="str">
            <v>Izdaci za zalihe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  <cell r="GF167"/>
          <cell r="GG167"/>
          <cell r="GH167"/>
          <cell r="GI167"/>
          <cell r="GJ167"/>
          <cell r="GK167"/>
          <cell r="GL167"/>
          <cell r="GM167"/>
          <cell r="GN167"/>
          <cell r="GO167"/>
          <cell r="GP167"/>
          <cell r="GQ167"/>
          <cell r="GR167"/>
          <cell r="GS167"/>
          <cell r="GT167"/>
          <cell r="GU167"/>
          <cell r="GV167"/>
          <cell r="GW167"/>
          <cell r="GX167"/>
          <cell r="GY167"/>
          <cell r="GZ167"/>
          <cell r="HA167"/>
          <cell r="HB167"/>
          <cell r="HC167"/>
          <cell r="HD167"/>
          <cell r="HE167"/>
          <cell r="HF167"/>
          <cell r="HG167"/>
          <cell r="HH167"/>
          <cell r="HI167"/>
          <cell r="HJ167"/>
          <cell r="HK167"/>
          <cell r="HL167"/>
          <cell r="HM167"/>
          <cell r="HN167"/>
          <cell r="HO167"/>
          <cell r="HP167"/>
          <cell r="HQ167"/>
          <cell r="HR167"/>
          <cell r="HS167"/>
          <cell r="HT167"/>
          <cell r="HU167"/>
          <cell r="HV167"/>
          <cell r="HW167"/>
          <cell r="HX167"/>
          <cell r="HY167"/>
          <cell r="HZ167"/>
          <cell r="IA167"/>
          <cell r="IB167"/>
          <cell r="IC167"/>
          <cell r="ID167"/>
          <cell r="IE167"/>
          <cell r="IF167"/>
          <cell r="IG167"/>
          <cell r="IH167"/>
          <cell r="II167"/>
          <cell r="IJ167"/>
          <cell r="IK167"/>
          <cell r="IL167"/>
          <cell r="IM167"/>
          <cell r="IN167"/>
          <cell r="IO167"/>
          <cell r="IP167"/>
          <cell r="IQ167"/>
          <cell r="IR167"/>
          <cell r="IS167"/>
          <cell r="IT167"/>
          <cell r="IU167"/>
          <cell r="IV167"/>
          <cell r="IW167"/>
          <cell r="IX167"/>
          <cell r="IY167"/>
          <cell r="IZ167"/>
          <cell r="JA167"/>
          <cell r="JB167"/>
          <cell r="JC167"/>
          <cell r="JD167"/>
          <cell r="JE167"/>
          <cell r="JF167"/>
          <cell r="JG167"/>
          <cell r="JH167"/>
          <cell r="JI167"/>
          <cell r="JJ167"/>
          <cell r="JK167"/>
          <cell r="JL167"/>
          <cell r="JM167"/>
          <cell r="JN167"/>
          <cell r="JO167"/>
          <cell r="JP167"/>
          <cell r="JQ167"/>
          <cell r="JR167"/>
          <cell r="JS167"/>
          <cell r="JT167"/>
          <cell r="JU167"/>
          <cell r="JV167"/>
          <cell r="JW167"/>
          <cell r="JX167"/>
          <cell r="JY167"/>
          <cell r="JZ167"/>
          <cell r="KA167"/>
          <cell r="KB167"/>
          <cell r="KC167"/>
          <cell r="KD167"/>
          <cell r="KE167"/>
          <cell r="KF167"/>
          <cell r="KG167"/>
          <cell r="KH167"/>
          <cell r="KI167"/>
          <cell r="KJ167"/>
          <cell r="KK167"/>
          <cell r="KL167"/>
          <cell r="KM167"/>
          <cell r="KN167"/>
          <cell r="KO167"/>
          <cell r="KP167"/>
          <cell r="KQ167"/>
          <cell r="KR167"/>
          <cell r="KS167"/>
          <cell r="KT167"/>
          <cell r="KU167"/>
          <cell r="KV167"/>
          <cell r="KW167"/>
          <cell r="KX167"/>
          <cell r="KY167"/>
          <cell r="KZ167"/>
          <cell r="LA167"/>
          <cell r="LB167"/>
          <cell r="LC167"/>
          <cell r="LD167"/>
          <cell r="LE167"/>
          <cell r="LF167"/>
          <cell r="LG167"/>
          <cell r="LH167"/>
          <cell r="LI167"/>
        </row>
        <row r="168">
          <cell r="D168">
            <v>4418</v>
          </cell>
          <cell r="E168" t="str">
            <v>Izdaci za kupovinu hartija od vrijednosti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>
            <v>68939595.359999999</v>
          </cell>
          <cell r="EY168"/>
          <cell r="EZ168"/>
          <cell r="FA168"/>
          <cell r="FB168"/>
          <cell r="FC168"/>
          <cell r="FD168"/>
          <cell r="FE168">
            <v>305701.3</v>
          </cell>
          <cell r="FF168"/>
          <cell r="FG168">
            <v>35272.089999999997</v>
          </cell>
          <cell r="FH168"/>
          <cell r="FI168">
            <v>39948396.369999997</v>
          </cell>
          <cell r="FJ168"/>
          <cell r="FK168"/>
          <cell r="FL168"/>
          <cell r="FM168"/>
          <cell r="FN168"/>
          <cell r="FO168"/>
          <cell r="FP168">
            <v>14495201.140000001</v>
          </cell>
          <cell r="FQ168">
            <v>2849828.78</v>
          </cell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  <cell r="GF168"/>
          <cell r="GG168"/>
          <cell r="GH168"/>
          <cell r="GI168"/>
          <cell r="GJ168"/>
          <cell r="GK168"/>
          <cell r="GL168"/>
          <cell r="GM168"/>
          <cell r="GN168"/>
          <cell r="GO168"/>
          <cell r="GP168"/>
          <cell r="GQ168"/>
          <cell r="GR168"/>
          <cell r="GS168"/>
          <cell r="GT168"/>
          <cell r="GU168"/>
          <cell r="GV168"/>
          <cell r="GW168"/>
          <cell r="GX168"/>
          <cell r="GY168"/>
          <cell r="GZ168"/>
          <cell r="HA168"/>
          <cell r="HB168"/>
          <cell r="HC168"/>
          <cell r="HD168"/>
          <cell r="HE168"/>
          <cell r="HF168"/>
          <cell r="HG168"/>
          <cell r="HH168"/>
          <cell r="HI168"/>
          <cell r="HJ168"/>
          <cell r="HK168"/>
          <cell r="HL168"/>
          <cell r="HM168"/>
          <cell r="HN168"/>
          <cell r="HO168"/>
          <cell r="HP168"/>
          <cell r="HQ168"/>
          <cell r="HR168"/>
          <cell r="HS168"/>
          <cell r="HT168"/>
          <cell r="HU168"/>
          <cell r="HV168"/>
          <cell r="HW168"/>
          <cell r="HX168"/>
          <cell r="HY168"/>
          <cell r="HZ168"/>
          <cell r="IA168"/>
          <cell r="IB168"/>
          <cell r="IC168"/>
          <cell r="ID168"/>
          <cell r="IE168"/>
          <cell r="IF168"/>
          <cell r="IG168"/>
          <cell r="IH168"/>
          <cell r="II168"/>
          <cell r="IJ168"/>
          <cell r="IK168"/>
          <cell r="IL168"/>
          <cell r="IM168"/>
          <cell r="IN168"/>
          <cell r="IO168"/>
          <cell r="IP168"/>
          <cell r="IQ168"/>
          <cell r="IR168"/>
          <cell r="IS168"/>
          <cell r="IT168"/>
          <cell r="IU168"/>
          <cell r="IV168"/>
          <cell r="IW168"/>
          <cell r="IX168"/>
          <cell r="IY168"/>
          <cell r="IZ168"/>
          <cell r="JA168"/>
          <cell r="JB168"/>
          <cell r="JC168"/>
          <cell r="JD168"/>
          <cell r="JE168"/>
          <cell r="JF168"/>
          <cell r="JG168"/>
          <cell r="JH168"/>
          <cell r="JI168"/>
          <cell r="JJ168"/>
          <cell r="JK168"/>
          <cell r="JL168"/>
          <cell r="JM168"/>
          <cell r="JN168"/>
          <cell r="JO168"/>
          <cell r="JP168"/>
          <cell r="JQ168"/>
          <cell r="JR168"/>
          <cell r="JS168"/>
          <cell r="JT168"/>
          <cell r="JU168"/>
          <cell r="JV168"/>
          <cell r="JW168"/>
          <cell r="JX168"/>
          <cell r="JY168"/>
          <cell r="JZ168"/>
          <cell r="KA168"/>
          <cell r="KB168"/>
          <cell r="KC168"/>
          <cell r="KD168"/>
          <cell r="KE168"/>
          <cell r="KF168"/>
          <cell r="KG168"/>
          <cell r="KH168"/>
          <cell r="KI168"/>
          <cell r="KJ168"/>
          <cell r="KK168"/>
          <cell r="KL168"/>
          <cell r="KM168"/>
          <cell r="KN168"/>
          <cell r="KO168"/>
          <cell r="KP168"/>
          <cell r="KQ168"/>
          <cell r="KR168"/>
          <cell r="KS168"/>
          <cell r="KT168"/>
          <cell r="KU168"/>
          <cell r="KV168"/>
          <cell r="KW168"/>
          <cell r="KX168"/>
          <cell r="KY168"/>
          <cell r="KZ168"/>
          <cell r="LA168"/>
          <cell r="LB168"/>
          <cell r="LC168"/>
          <cell r="LD168"/>
          <cell r="LE168"/>
          <cell r="LF168"/>
          <cell r="LG168"/>
          <cell r="LH168"/>
          <cell r="LI168"/>
        </row>
        <row r="169">
          <cell r="D169">
            <v>4419</v>
          </cell>
          <cell r="E169" t="str">
            <v>Ostali kapitalni izdaci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/>
          <cell r="EB169"/>
          <cell r="EC169"/>
          <cell r="ED169"/>
          <cell r="EE169"/>
          <cell r="EF169"/>
          <cell r="EG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  <cell r="FM169"/>
          <cell r="FN169"/>
          <cell r="FO169"/>
          <cell r="FP169"/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  <cell r="GF169"/>
          <cell r="GG169"/>
          <cell r="GH169"/>
          <cell r="GI169"/>
          <cell r="GJ169"/>
          <cell r="GK169"/>
          <cell r="GL169"/>
          <cell r="GM169"/>
          <cell r="GN169"/>
          <cell r="GO169"/>
          <cell r="GP169"/>
          <cell r="GQ169"/>
          <cell r="GR169"/>
          <cell r="GS169"/>
          <cell r="GT169"/>
          <cell r="GU169"/>
          <cell r="GV169"/>
          <cell r="GW169"/>
          <cell r="GX169"/>
          <cell r="GY169"/>
          <cell r="GZ169"/>
          <cell r="HA169"/>
          <cell r="HB169"/>
          <cell r="HC169"/>
          <cell r="HD169"/>
          <cell r="HE169"/>
          <cell r="HF169"/>
          <cell r="HG169"/>
          <cell r="HH169"/>
          <cell r="HI169"/>
          <cell r="HJ169"/>
          <cell r="HK169"/>
          <cell r="HL169"/>
          <cell r="HM169"/>
          <cell r="HN169"/>
          <cell r="HO169"/>
          <cell r="HP169"/>
          <cell r="HQ169"/>
          <cell r="HR169"/>
          <cell r="HS169"/>
          <cell r="HT169"/>
          <cell r="HU169"/>
          <cell r="HV169"/>
          <cell r="HW169"/>
          <cell r="HX169"/>
          <cell r="HY169"/>
          <cell r="HZ169"/>
          <cell r="IA169"/>
          <cell r="IB169"/>
          <cell r="IC169"/>
          <cell r="ID169"/>
          <cell r="IE169"/>
          <cell r="IF169"/>
          <cell r="IG169"/>
          <cell r="IH169"/>
          <cell r="II169"/>
          <cell r="IJ169"/>
          <cell r="IK169"/>
          <cell r="IL169"/>
          <cell r="IM169"/>
          <cell r="IN169"/>
          <cell r="IO169"/>
          <cell r="IP169"/>
          <cell r="IQ169"/>
          <cell r="IR169"/>
          <cell r="IS169"/>
          <cell r="IT169"/>
          <cell r="IU169"/>
          <cell r="IV169"/>
          <cell r="IW169"/>
          <cell r="IX169"/>
          <cell r="IY169"/>
          <cell r="IZ169"/>
          <cell r="JA169"/>
          <cell r="JB169"/>
          <cell r="JC169"/>
          <cell r="JD169"/>
          <cell r="JE169"/>
          <cell r="JF169"/>
          <cell r="JG169"/>
          <cell r="JH169"/>
          <cell r="JI169"/>
          <cell r="JJ169"/>
          <cell r="JK169"/>
          <cell r="JL169"/>
          <cell r="JM169"/>
          <cell r="JN169"/>
          <cell r="JO169"/>
          <cell r="JP169"/>
          <cell r="JQ169"/>
          <cell r="JR169"/>
          <cell r="JS169"/>
          <cell r="JT169"/>
          <cell r="JU169"/>
          <cell r="JV169"/>
          <cell r="JW169"/>
          <cell r="JX169"/>
          <cell r="JY169"/>
          <cell r="JZ169"/>
          <cell r="KA169"/>
          <cell r="KB169"/>
          <cell r="KC169"/>
          <cell r="KD169"/>
          <cell r="KE169"/>
          <cell r="KF169"/>
          <cell r="KG169"/>
          <cell r="KH169"/>
          <cell r="KI169"/>
          <cell r="KJ169"/>
          <cell r="KK169"/>
          <cell r="KL169"/>
          <cell r="KM169"/>
          <cell r="KN169"/>
          <cell r="KO169"/>
          <cell r="KP169"/>
          <cell r="KQ169"/>
          <cell r="KR169"/>
          <cell r="KS169"/>
          <cell r="KT169"/>
          <cell r="KU169"/>
          <cell r="KV169"/>
          <cell r="KW169"/>
          <cell r="KX169"/>
          <cell r="KY169"/>
          <cell r="KZ169"/>
          <cell r="LA169"/>
          <cell r="LB169"/>
          <cell r="LC169"/>
          <cell r="LD169"/>
          <cell r="LE169"/>
          <cell r="LF169"/>
          <cell r="LG169"/>
          <cell r="LH169"/>
          <cell r="LI169"/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/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  <cell r="GF170"/>
          <cell r="GG170"/>
          <cell r="GH170"/>
          <cell r="GI170"/>
          <cell r="GJ170"/>
          <cell r="GK170"/>
          <cell r="GL170"/>
          <cell r="GM170"/>
          <cell r="GN170"/>
          <cell r="GO170"/>
          <cell r="GP170"/>
          <cell r="GQ170"/>
          <cell r="GR170"/>
          <cell r="GS170"/>
          <cell r="GT170"/>
          <cell r="GU170"/>
          <cell r="GV170"/>
          <cell r="GW170"/>
          <cell r="GX170"/>
          <cell r="GY170"/>
          <cell r="GZ170"/>
          <cell r="HA170"/>
          <cell r="HB170"/>
          <cell r="HC170"/>
          <cell r="HD170"/>
          <cell r="HE170"/>
          <cell r="HF170"/>
          <cell r="HG170"/>
          <cell r="HH170"/>
          <cell r="HI170"/>
          <cell r="HJ170"/>
          <cell r="HK170"/>
          <cell r="HL170"/>
          <cell r="HM170"/>
          <cell r="HN170"/>
          <cell r="HO170"/>
          <cell r="HP170"/>
          <cell r="HQ170"/>
          <cell r="HR170"/>
          <cell r="HS170"/>
          <cell r="HT170"/>
          <cell r="HU170"/>
          <cell r="HV170"/>
          <cell r="HW170"/>
          <cell r="HX170"/>
          <cell r="HY170"/>
          <cell r="HZ170"/>
          <cell r="IA170"/>
          <cell r="IB170"/>
          <cell r="IC170"/>
          <cell r="ID170"/>
          <cell r="IE170"/>
          <cell r="IF170"/>
          <cell r="IG170"/>
          <cell r="IH170"/>
          <cell r="II170"/>
          <cell r="IJ170"/>
          <cell r="IK170"/>
          <cell r="IL170"/>
          <cell r="IM170"/>
          <cell r="IN170"/>
          <cell r="IO170"/>
          <cell r="IP170"/>
          <cell r="IQ170"/>
          <cell r="IR170"/>
          <cell r="IS170"/>
          <cell r="IT170"/>
          <cell r="IU170"/>
          <cell r="IV170"/>
          <cell r="IW170"/>
          <cell r="IX170"/>
          <cell r="IY170"/>
          <cell r="IZ170"/>
          <cell r="JA170"/>
          <cell r="JB170"/>
          <cell r="JC170"/>
          <cell r="JD170"/>
          <cell r="JE170"/>
          <cell r="JF170"/>
          <cell r="JG170"/>
          <cell r="JH170"/>
          <cell r="JI170"/>
          <cell r="JJ170"/>
          <cell r="JK170"/>
          <cell r="JL170"/>
          <cell r="JM170"/>
          <cell r="JN170"/>
          <cell r="JO170"/>
          <cell r="JP170"/>
          <cell r="JQ170"/>
          <cell r="JR170"/>
          <cell r="JS170"/>
          <cell r="JT170"/>
          <cell r="JU170"/>
          <cell r="JV170"/>
          <cell r="JW170"/>
          <cell r="JX170"/>
          <cell r="JY170"/>
          <cell r="JZ170"/>
          <cell r="KA170"/>
          <cell r="KB170"/>
          <cell r="KC170"/>
          <cell r="KD170"/>
          <cell r="KE170"/>
          <cell r="KF170"/>
          <cell r="KG170"/>
          <cell r="KH170"/>
          <cell r="KI170"/>
          <cell r="KJ170"/>
          <cell r="KK170"/>
          <cell r="KL170"/>
          <cell r="KM170"/>
          <cell r="KN170"/>
          <cell r="KO170"/>
          <cell r="KP170"/>
          <cell r="KQ170"/>
          <cell r="KR170"/>
          <cell r="KS170"/>
          <cell r="KT170"/>
          <cell r="KU170"/>
          <cell r="KV170"/>
          <cell r="KW170"/>
          <cell r="KX170"/>
          <cell r="KY170"/>
          <cell r="KZ170"/>
          <cell r="LA170"/>
          <cell r="LB170"/>
          <cell r="LC170"/>
          <cell r="LD170"/>
          <cell r="LE170"/>
          <cell r="LF170"/>
          <cell r="LG170"/>
          <cell r="LH170"/>
          <cell r="LI170"/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/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  <cell r="GF171"/>
          <cell r="GG171"/>
          <cell r="GH171"/>
          <cell r="GI171"/>
          <cell r="GJ171"/>
          <cell r="GK171"/>
          <cell r="GL171"/>
          <cell r="GM171"/>
          <cell r="GN171"/>
          <cell r="GO171"/>
          <cell r="GP171"/>
          <cell r="GQ171"/>
          <cell r="GR171"/>
          <cell r="GS171"/>
          <cell r="GT171"/>
          <cell r="GU171"/>
          <cell r="GV171"/>
          <cell r="GW171"/>
          <cell r="GX171"/>
          <cell r="GY171"/>
          <cell r="GZ171"/>
          <cell r="HA171"/>
          <cell r="HB171"/>
          <cell r="HC171"/>
          <cell r="HD171"/>
          <cell r="HE171"/>
          <cell r="HF171"/>
          <cell r="HG171"/>
          <cell r="HH171"/>
          <cell r="HI171"/>
          <cell r="HJ171"/>
          <cell r="HK171"/>
          <cell r="HL171"/>
          <cell r="HM171"/>
          <cell r="HN171"/>
          <cell r="HO171"/>
          <cell r="HP171"/>
          <cell r="HQ171"/>
          <cell r="HR171"/>
          <cell r="HS171"/>
          <cell r="HT171"/>
          <cell r="HU171"/>
          <cell r="HV171"/>
          <cell r="HW171"/>
          <cell r="HX171"/>
          <cell r="HY171"/>
          <cell r="HZ171"/>
          <cell r="IA171"/>
          <cell r="IB171"/>
          <cell r="IC171"/>
          <cell r="ID171"/>
          <cell r="IE171"/>
          <cell r="IF171"/>
          <cell r="IG171"/>
          <cell r="IH171"/>
          <cell r="II171"/>
          <cell r="IJ171"/>
          <cell r="IK171"/>
          <cell r="IL171"/>
          <cell r="IM171"/>
          <cell r="IN171"/>
          <cell r="IO171"/>
          <cell r="IP171"/>
          <cell r="IQ171"/>
          <cell r="IR171"/>
          <cell r="IS171"/>
          <cell r="IT171"/>
          <cell r="IU171"/>
          <cell r="IV171"/>
          <cell r="IW171"/>
          <cell r="IX171"/>
          <cell r="IY171"/>
          <cell r="IZ171"/>
          <cell r="JA171"/>
          <cell r="JB171"/>
          <cell r="JC171"/>
          <cell r="JD171"/>
          <cell r="JE171"/>
          <cell r="JF171"/>
          <cell r="JG171"/>
          <cell r="JH171"/>
          <cell r="JI171"/>
          <cell r="JJ171"/>
          <cell r="JK171"/>
          <cell r="JL171"/>
          <cell r="JM171"/>
          <cell r="JN171"/>
          <cell r="JO171"/>
          <cell r="JP171"/>
          <cell r="JQ171"/>
          <cell r="JR171"/>
          <cell r="JS171"/>
          <cell r="JT171"/>
          <cell r="JU171"/>
          <cell r="JV171"/>
          <cell r="JW171"/>
          <cell r="JX171"/>
          <cell r="JY171"/>
          <cell r="JZ171"/>
          <cell r="KA171"/>
          <cell r="KB171"/>
          <cell r="KC171"/>
          <cell r="KD171"/>
          <cell r="KE171"/>
          <cell r="KF171"/>
          <cell r="KG171"/>
          <cell r="KH171"/>
          <cell r="KI171"/>
          <cell r="KJ171"/>
          <cell r="KK171"/>
          <cell r="KL171"/>
          <cell r="KM171"/>
          <cell r="KN171"/>
          <cell r="KO171"/>
          <cell r="KP171"/>
          <cell r="KQ171"/>
          <cell r="KR171"/>
          <cell r="KS171"/>
          <cell r="KT171"/>
          <cell r="KU171"/>
          <cell r="KV171"/>
          <cell r="KW171"/>
          <cell r="KX171"/>
          <cell r="KY171"/>
          <cell r="KZ171"/>
          <cell r="LA171"/>
          <cell r="LB171"/>
          <cell r="LC171"/>
          <cell r="LD171"/>
          <cell r="LE171"/>
          <cell r="LF171"/>
          <cell r="LG171"/>
          <cell r="LH171"/>
          <cell r="LI171"/>
        </row>
        <row r="172">
          <cell r="D172">
            <v>4511</v>
          </cell>
          <cell r="E172" t="str">
            <v>Pozajmice i krediti nefinansijskim institucijama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  <cell r="GF172"/>
          <cell r="GG172"/>
          <cell r="GH172"/>
          <cell r="GI172"/>
          <cell r="GJ172"/>
          <cell r="GK172"/>
          <cell r="GL172"/>
          <cell r="GM172"/>
          <cell r="GN172"/>
          <cell r="GO172"/>
          <cell r="GP172"/>
          <cell r="GQ172"/>
          <cell r="GR172"/>
          <cell r="GS172"/>
          <cell r="GT172"/>
          <cell r="GU172"/>
          <cell r="GV172"/>
          <cell r="GW172"/>
          <cell r="GX172"/>
          <cell r="GY172"/>
          <cell r="GZ172"/>
          <cell r="HA172"/>
          <cell r="HB172"/>
          <cell r="HC172"/>
          <cell r="HD172"/>
          <cell r="HE172"/>
          <cell r="HF172"/>
          <cell r="HG172"/>
          <cell r="HH172"/>
          <cell r="HI172"/>
          <cell r="HJ172"/>
          <cell r="HK172"/>
          <cell r="HL172"/>
          <cell r="HM172"/>
          <cell r="HN172"/>
          <cell r="HO172"/>
          <cell r="HP172"/>
          <cell r="HQ172"/>
          <cell r="HR172"/>
          <cell r="HS172"/>
          <cell r="HT172"/>
          <cell r="HU172"/>
          <cell r="HV172"/>
          <cell r="HW172"/>
          <cell r="HX172"/>
          <cell r="HY172"/>
          <cell r="HZ172"/>
          <cell r="IA172"/>
          <cell r="IB172"/>
          <cell r="IC172"/>
          <cell r="ID172"/>
          <cell r="IE172"/>
          <cell r="IF172"/>
          <cell r="IG172"/>
          <cell r="IH172"/>
          <cell r="II172"/>
          <cell r="IJ172"/>
          <cell r="IK172"/>
          <cell r="IL172"/>
          <cell r="IM172"/>
          <cell r="IN172"/>
          <cell r="IO172"/>
          <cell r="IP172"/>
          <cell r="IQ172"/>
          <cell r="IR172"/>
          <cell r="IS172"/>
          <cell r="IT172"/>
          <cell r="IU172"/>
          <cell r="IV172"/>
          <cell r="IW172"/>
          <cell r="IX172"/>
          <cell r="IY172"/>
          <cell r="IZ172"/>
          <cell r="JA172"/>
          <cell r="JB172"/>
          <cell r="JC172"/>
          <cell r="JD172"/>
          <cell r="JE172"/>
          <cell r="JF172"/>
          <cell r="JG172"/>
          <cell r="JH172"/>
          <cell r="JI172"/>
          <cell r="JJ172"/>
          <cell r="JK172"/>
          <cell r="JL172"/>
          <cell r="JM172"/>
          <cell r="JN172"/>
          <cell r="JO172"/>
          <cell r="JP172"/>
          <cell r="JQ172"/>
          <cell r="JR172"/>
          <cell r="JS172"/>
          <cell r="JT172"/>
          <cell r="JU172"/>
          <cell r="JV172"/>
          <cell r="JW172"/>
          <cell r="JX172"/>
          <cell r="JY172"/>
          <cell r="JZ172"/>
          <cell r="KA172"/>
          <cell r="KB172"/>
          <cell r="KC172"/>
          <cell r="KD172"/>
          <cell r="KE172"/>
          <cell r="KF172"/>
          <cell r="KG172"/>
          <cell r="KH172"/>
          <cell r="KI172"/>
          <cell r="KJ172"/>
          <cell r="KK172"/>
          <cell r="KL172"/>
          <cell r="KM172"/>
          <cell r="KN172"/>
          <cell r="KO172"/>
          <cell r="KP172"/>
          <cell r="KQ172"/>
          <cell r="KR172"/>
          <cell r="KS172"/>
          <cell r="KT172"/>
          <cell r="KU172"/>
          <cell r="KV172"/>
          <cell r="KW172"/>
          <cell r="KX172"/>
          <cell r="KY172"/>
          <cell r="KZ172"/>
          <cell r="LA172"/>
          <cell r="LB172"/>
          <cell r="LC172"/>
          <cell r="LD172"/>
          <cell r="LE172"/>
          <cell r="LF172"/>
          <cell r="LG172"/>
          <cell r="LH172"/>
          <cell r="LI172"/>
        </row>
        <row r="173">
          <cell r="D173">
            <v>4512</v>
          </cell>
          <cell r="E173" t="str">
            <v>Pozajmice i krediti finansijskim institucijama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  <cell r="GF173"/>
          <cell r="GG173"/>
          <cell r="GH173"/>
          <cell r="GI173"/>
          <cell r="GJ173"/>
          <cell r="GK173"/>
          <cell r="GL173"/>
          <cell r="GM173"/>
          <cell r="GN173"/>
          <cell r="GO173"/>
          <cell r="GP173"/>
          <cell r="GQ173"/>
          <cell r="GR173"/>
          <cell r="GS173"/>
          <cell r="GT173"/>
          <cell r="GU173"/>
          <cell r="GV173"/>
          <cell r="GW173"/>
          <cell r="GX173"/>
          <cell r="GY173"/>
          <cell r="GZ173"/>
          <cell r="HA173"/>
          <cell r="HB173"/>
          <cell r="HC173"/>
          <cell r="HD173"/>
          <cell r="HE173"/>
          <cell r="HF173"/>
          <cell r="HG173"/>
          <cell r="HH173"/>
          <cell r="HI173"/>
          <cell r="HJ173"/>
          <cell r="HK173"/>
          <cell r="HL173"/>
          <cell r="HM173"/>
          <cell r="HN173"/>
          <cell r="HO173"/>
          <cell r="HP173"/>
          <cell r="HQ173"/>
          <cell r="HR173"/>
          <cell r="HS173"/>
          <cell r="HT173"/>
          <cell r="HU173"/>
          <cell r="HV173"/>
          <cell r="HW173"/>
          <cell r="HX173"/>
          <cell r="HY173"/>
          <cell r="HZ173"/>
          <cell r="IA173"/>
          <cell r="IB173"/>
          <cell r="IC173"/>
          <cell r="ID173"/>
          <cell r="IE173"/>
          <cell r="IF173"/>
          <cell r="IG173"/>
          <cell r="IH173"/>
          <cell r="II173"/>
          <cell r="IJ173"/>
          <cell r="IK173"/>
          <cell r="IL173"/>
          <cell r="IM173"/>
          <cell r="IN173"/>
          <cell r="IO173"/>
          <cell r="IP173"/>
          <cell r="IQ173"/>
          <cell r="IR173"/>
          <cell r="IS173"/>
          <cell r="IT173"/>
          <cell r="IU173"/>
          <cell r="IV173"/>
          <cell r="IW173"/>
          <cell r="IX173"/>
          <cell r="IY173"/>
          <cell r="IZ173"/>
          <cell r="JA173"/>
          <cell r="JB173"/>
          <cell r="JC173"/>
          <cell r="JD173"/>
          <cell r="JE173"/>
          <cell r="JF173"/>
          <cell r="JG173"/>
          <cell r="JH173"/>
          <cell r="JI173"/>
          <cell r="JJ173"/>
          <cell r="JK173"/>
          <cell r="JL173"/>
          <cell r="JM173"/>
          <cell r="JN173"/>
          <cell r="JO173"/>
          <cell r="JP173"/>
          <cell r="JQ173"/>
          <cell r="JR173"/>
          <cell r="JS173"/>
          <cell r="JT173"/>
          <cell r="JU173"/>
          <cell r="JV173"/>
          <cell r="JW173"/>
          <cell r="JX173"/>
          <cell r="JY173"/>
          <cell r="JZ173"/>
          <cell r="KA173"/>
          <cell r="KB173"/>
          <cell r="KC173"/>
          <cell r="KD173"/>
          <cell r="KE173"/>
          <cell r="KF173"/>
          <cell r="KG173"/>
          <cell r="KH173"/>
          <cell r="KI173"/>
          <cell r="KJ173"/>
          <cell r="KK173"/>
          <cell r="KL173"/>
          <cell r="KM173"/>
          <cell r="KN173"/>
          <cell r="KO173"/>
          <cell r="KP173"/>
          <cell r="KQ173"/>
          <cell r="KR173"/>
          <cell r="KS173"/>
          <cell r="KT173"/>
          <cell r="KU173"/>
          <cell r="KV173"/>
          <cell r="KW173"/>
          <cell r="KX173"/>
          <cell r="KY173"/>
          <cell r="KZ173"/>
          <cell r="LA173"/>
          <cell r="LB173"/>
          <cell r="LC173"/>
          <cell r="LD173"/>
          <cell r="LE173"/>
          <cell r="LF173"/>
          <cell r="LG173"/>
          <cell r="LH173"/>
          <cell r="LI173"/>
        </row>
        <row r="174">
          <cell r="D174">
            <v>4513</v>
          </cell>
          <cell r="E174" t="str">
            <v>Pozajmice i krediti pojedincima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  <cell r="GF174"/>
          <cell r="GG174"/>
          <cell r="GH174"/>
          <cell r="GI174"/>
          <cell r="GJ174"/>
          <cell r="GK174"/>
          <cell r="GL174"/>
          <cell r="GM174"/>
          <cell r="GN174"/>
          <cell r="GO174"/>
          <cell r="GP174"/>
          <cell r="GQ174"/>
          <cell r="GR174"/>
          <cell r="GS174"/>
          <cell r="GT174"/>
          <cell r="GU174"/>
          <cell r="GV174"/>
          <cell r="GW174"/>
          <cell r="GX174"/>
          <cell r="GY174"/>
          <cell r="GZ174"/>
          <cell r="HA174"/>
          <cell r="HB174"/>
          <cell r="HC174"/>
          <cell r="HD174"/>
          <cell r="HE174"/>
          <cell r="HF174"/>
          <cell r="HG174"/>
          <cell r="HH174"/>
          <cell r="HI174"/>
          <cell r="HJ174"/>
          <cell r="HK174"/>
          <cell r="HL174"/>
          <cell r="HM174"/>
          <cell r="HN174"/>
          <cell r="HO174"/>
          <cell r="HP174"/>
          <cell r="HQ174"/>
          <cell r="HR174"/>
          <cell r="HS174"/>
          <cell r="HT174"/>
          <cell r="HU174"/>
          <cell r="HV174"/>
          <cell r="HW174"/>
          <cell r="HX174"/>
          <cell r="HY174"/>
          <cell r="HZ174"/>
          <cell r="IA174"/>
          <cell r="IB174"/>
          <cell r="IC174"/>
          <cell r="ID174"/>
          <cell r="IE174"/>
          <cell r="IF174"/>
          <cell r="IG174"/>
          <cell r="IH174"/>
          <cell r="II174"/>
          <cell r="IJ174"/>
          <cell r="IK174"/>
          <cell r="IL174"/>
          <cell r="IM174"/>
          <cell r="IN174"/>
          <cell r="IO174"/>
          <cell r="IP174"/>
          <cell r="IQ174"/>
          <cell r="IR174"/>
          <cell r="IS174"/>
          <cell r="IT174"/>
          <cell r="IU174"/>
          <cell r="IV174"/>
          <cell r="IW174"/>
          <cell r="IX174"/>
          <cell r="IY174"/>
          <cell r="IZ174"/>
          <cell r="JA174"/>
          <cell r="JB174"/>
          <cell r="JC174"/>
          <cell r="JD174"/>
          <cell r="JE174"/>
          <cell r="JF174"/>
          <cell r="JG174"/>
          <cell r="JH174"/>
          <cell r="JI174"/>
          <cell r="JJ174"/>
          <cell r="JK174"/>
          <cell r="JL174"/>
          <cell r="JM174"/>
          <cell r="JN174"/>
          <cell r="JO174"/>
          <cell r="JP174"/>
          <cell r="JQ174"/>
          <cell r="JR174"/>
          <cell r="JS174"/>
          <cell r="JT174"/>
          <cell r="JU174"/>
          <cell r="JV174"/>
          <cell r="JW174"/>
          <cell r="JX174"/>
          <cell r="JY174"/>
          <cell r="JZ174"/>
          <cell r="KA174"/>
          <cell r="KB174"/>
          <cell r="KC174"/>
          <cell r="KD174"/>
          <cell r="KE174"/>
          <cell r="KF174"/>
          <cell r="KG174"/>
          <cell r="KH174"/>
          <cell r="KI174"/>
          <cell r="KJ174"/>
          <cell r="KK174"/>
          <cell r="KL174"/>
          <cell r="KM174"/>
          <cell r="KN174"/>
          <cell r="KO174"/>
          <cell r="KP174"/>
          <cell r="KQ174"/>
          <cell r="KR174"/>
          <cell r="KS174"/>
          <cell r="KT174"/>
          <cell r="KU174"/>
          <cell r="KV174"/>
          <cell r="KW174"/>
          <cell r="KX174"/>
          <cell r="KY174"/>
          <cell r="KZ174"/>
          <cell r="LA174"/>
          <cell r="LB174"/>
          <cell r="LC174"/>
          <cell r="LD174"/>
          <cell r="LE174"/>
          <cell r="LF174"/>
          <cell r="LG174"/>
          <cell r="LH174"/>
          <cell r="LI174"/>
        </row>
        <row r="175">
          <cell r="D175">
            <v>4514</v>
          </cell>
          <cell r="E175" t="str">
            <v>Pozajmice i krediti vanbudžetskim fondovima i opštinama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  <cell r="GF175"/>
          <cell r="GG175"/>
          <cell r="GH175"/>
          <cell r="GI175"/>
          <cell r="GJ175"/>
          <cell r="GK175"/>
          <cell r="GL175"/>
          <cell r="GM175"/>
          <cell r="GN175"/>
          <cell r="GO175"/>
          <cell r="GP175"/>
          <cell r="GQ175"/>
          <cell r="GR175"/>
          <cell r="GS175"/>
          <cell r="GT175"/>
          <cell r="GU175"/>
          <cell r="GV175"/>
          <cell r="GW175"/>
          <cell r="GX175"/>
          <cell r="GY175"/>
          <cell r="GZ175"/>
          <cell r="HA175"/>
          <cell r="HB175"/>
          <cell r="HC175"/>
          <cell r="HD175"/>
          <cell r="HE175"/>
          <cell r="HF175"/>
          <cell r="HG175"/>
          <cell r="HH175"/>
          <cell r="HI175"/>
          <cell r="HJ175"/>
          <cell r="HK175"/>
          <cell r="HL175"/>
          <cell r="HM175"/>
          <cell r="HN175"/>
          <cell r="HO175"/>
          <cell r="HP175"/>
          <cell r="HQ175"/>
          <cell r="HR175"/>
          <cell r="HS175"/>
          <cell r="HT175"/>
          <cell r="HU175"/>
          <cell r="HV175"/>
          <cell r="HW175"/>
          <cell r="HX175"/>
          <cell r="HY175"/>
          <cell r="HZ175"/>
          <cell r="IA175"/>
          <cell r="IB175"/>
          <cell r="IC175"/>
          <cell r="ID175"/>
          <cell r="IE175"/>
          <cell r="IF175"/>
          <cell r="IG175"/>
          <cell r="IH175"/>
          <cell r="II175"/>
          <cell r="IJ175"/>
          <cell r="IK175"/>
          <cell r="IL175"/>
          <cell r="IM175"/>
          <cell r="IN175"/>
          <cell r="IO175"/>
          <cell r="IP175"/>
          <cell r="IQ175"/>
          <cell r="IR175"/>
          <cell r="IS175"/>
          <cell r="IT175"/>
          <cell r="IU175"/>
          <cell r="IV175"/>
          <cell r="IW175"/>
          <cell r="IX175"/>
          <cell r="IY175"/>
          <cell r="IZ175"/>
          <cell r="JA175"/>
          <cell r="JB175"/>
          <cell r="JC175"/>
          <cell r="JD175"/>
          <cell r="JE175"/>
          <cell r="JF175"/>
          <cell r="JG175"/>
          <cell r="JH175"/>
          <cell r="JI175"/>
          <cell r="JJ175"/>
          <cell r="JK175"/>
          <cell r="JL175"/>
          <cell r="JM175"/>
          <cell r="JN175"/>
          <cell r="JO175"/>
          <cell r="JP175"/>
          <cell r="JQ175"/>
          <cell r="JR175"/>
          <cell r="JS175"/>
          <cell r="JT175"/>
          <cell r="JU175"/>
          <cell r="JV175"/>
          <cell r="JW175"/>
          <cell r="JX175"/>
          <cell r="JY175"/>
          <cell r="JZ175"/>
          <cell r="KA175"/>
          <cell r="KB175"/>
          <cell r="KC175"/>
          <cell r="KD175"/>
          <cell r="KE175"/>
          <cell r="KF175"/>
          <cell r="KG175"/>
          <cell r="KH175"/>
          <cell r="KI175"/>
          <cell r="KJ175"/>
          <cell r="KK175"/>
          <cell r="KL175"/>
          <cell r="KM175"/>
          <cell r="KN175"/>
          <cell r="KO175"/>
          <cell r="KP175"/>
          <cell r="KQ175"/>
          <cell r="KR175"/>
          <cell r="KS175"/>
          <cell r="KT175"/>
          <cell r="KU175"/>
          <cell r="KV175"/>
          <cell r="KW175"/>
          <cell r="KX175"/>
          <cell r="KY175"/>
          <cell r="KZ175"/>
          <cell r="LA175"/>
          <cell r="LB175"/>
          <cell r="LC175"/>
          <cell r="LD175"/>
          <cell r="LE175"/>
          <cell r="LF175"/>
          <cell r="LG175"/>
          <cell r="LH175"/>
          <cell r="LI175"/>
        </row>
        <row r="176">
          <cell r="D176">
            <v>4515</v>
          </cell>
          <cell r="E176" t="str">
            <v>Ostale pozajmice i krediti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>
            <v>80000</v>
          </cell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  <cell r="GF176"/>
          <cell r="GG176"/>
          <cell r="GH176"/>
          <cell r="GI176"/>
          <cell r="GJ176"/>
          <cell r="GK176"/>
          <cell r="GL176"/>
          <cell r="GM176"/>
          <cell r="GN176"/>
          <cell r="GO176"/>
          <cell r="GP176"/>
          <cell r="GQ176"/>
          <cell r="GR176"/>
          <cell r="GS176"/>
          <cell r="GT176"/>
          <cell r="GU176"/>
          <cell r="GV176"/>
          <cell r="GW176"/>
          <cell r="GX176"/>
          <cell r="GY176"/>
          <cell r="GZ176"/>
          <cell r="HA176"/>
          <cell r="HB176"/>
          <cell r="HC176"/>
          <cell r="HD176"/>
          <cell r="HE176"/>
          <cell r="HF176"/>
          <cell r="HG176"/>
          <cell r="HH176"/>
          <cell r="HI176"/>
          <cell r="HJ176"/>
          <cell r="HK176"/>
          <cell r="HL176"/>
          <cell r="HM176"/>
          <cell r="HN176"/>
          <cell r="HO176"/>
          <cell r="HP176"/>
          <cell r="HQ176"/>
          <cell r="HR176"/>
          <cell r="HS176"/>
          <cell r="HT176"/>
          <cell r="HU176"/>
          <cell r="HV176"/>
          <cell r="HW176"/>
          <cell r="HX176"/>
          <cell r="HY176"/>
          <cell r="HZ176"/>
          <cell r="IA176"/>
          <cell r="IB176"/>
          <cell r="IC176"/>
          <cell r="ID176"/>
          <cell r="IE176"/>
          <cell r="IF176"/>
          <cell r="IG176"/>
          <cell r="IH176"/>
          <cell r="II176"/>
          <cell r="IJ176"/>
          <cell r="IK176"/>
          <cell r="IL176"/>
          <cell r="IM176"/>
          <cell r="IN176"/>
          <cell r="IO176"/>
          <cell r="IP176"/>
          <cell r="IQ176"/>
          <cell r="IR176"/>
          <cell r="IS176"/>
          <cell r="IT176"/>
          <cell r="IU176"/>
          <cell r="IV176"/>
          <cell r="IW176"/>
          <cell r="IX176"/>
          <cell r="IY176"/>
          <cell r="IZ176"/>
          <cell r="JA176"/>
          <cell r="JB176"/>
          <cell r="JC176"/>
          <cell r="JD176"/>
          <cell r="JE176"/>
          <cell r="JF176"/>
          <cell r="JG176"/>
          <cell r="JH176"/>
          <cell r="JI176"/>
          <cell r="JJ176"/>
          <cell r="JK176"/>
          <cell r="JL176"/>
          <cell r="JM176"/>
          <cell r="JN176"/>
          <cell r="JO176"/>
          <cell r="JP176"/>
          <cell r="JQ176"/>
          <cell r="JR176"/>
          <cell r="JS176"/>
          <cell r="JT176"/>
          <cell r="JU176"/>
          <cell r="JV176"/>
          <cell r="JW176"/>
          <cell r="JX176"/>
          <cell r="JY176"/>
          <cell r="JZ176"/>
          <cell r="KA176"/>
          <cell r="KB176"/>
          <cell r="KC176"/>
          <cell r="KD176"/>
          <cell r="KE176"/>
          <cell r="KF176"/>
          <cell r="KG176"/>
          <cell r="KH176"/>
          <cell r="KI176"/>
          <cell r="KJ176"/>
          <cell r="KK176"/>
          <cell r="KL176"/>
          <cell r="KM176"/>
          <cell r="KN176"/>
          <cell r="KO176"/>
          <cell r="KP176"/>
          <cell r="KQ176"/>
          <cell r="KR176"/>
          <cell r="KS176"/>
          <cell r="KT176"/>
          <cell r="KU176"/>
          <cell r="KV176"/>
          <cell r="KW176"/>
          <cell r="KX176"/>
          <cell r="KY176"/>
          <cell r="KZ176"/>
          <cell r="LA176"/>
          <cell r="LB176"/>
          <cell r="LC176"/>
          <cell r="LD176"/>
          <cell r="LE176"/>
          <cell r="LF176"/>
          <cell r="LG176"/>
          <cell r="LH176"/>
          <cell r="LI176"/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/>
          <cell r="EB177"/>
          <cell r="EC177">
            <v>30149651.920000002</v>
          </cell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/>
          <cell r="EZ177"/>
          <cell r="FA177">
            <v>40542466.609999999</v>
          </cell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/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  <cell r="GF177"/>
          <cell r="GG177"/>
          <cell r="GH177"/>
          <cell r="GI177"/>
          <cell r="GJ177"/>
          <cell r="GK177"/>
          <cell r="GL177"/>
          <cell r="GM177"/>
          <cell r="GN177"/>
          <cell r="GO177"/>
          <cell r="GP177"/>
          <cell r="GQ177"/>
          <cell r="GR177"/>
          <cell r="GS177"/>
          <cell r="GT177"/>
          <cell r="GU177"/>
          <cell r="GV177"/>
          <cell r="GW177"/>
          <cell r="GX177"/>
          <cell r="GY177"/>
          <cell r="GZ177"/>
          <cell r="HA177"/>
          <cell r="HB177"/>
          <cell r="HC177"/>
          <cell r="HD177"/>
          <cell r="HE177"/>
          <cell r="HF177"/>
          <cell r="HG177"/>
          <cell r="HH177"/>
          <cell r="HI177"/>
          <cell r="HJ177"/>
          <cell r="HK177"/>
          <cell r="HL177"/>
          <cell r="HM177"/>
          <cell r="HN177"/>
          <cell r="HO177"/>
          <cell r="HP177"/>
          <cell r="HQ177"/>
          <cell r="HR177"/>
          <cell r="HS177"/>
          <cell r="HT177"/>
          <cell r="HU177"/>
          <cell r="HV177"/>
          <cell r="HW177"/>
          <cell r="HX177"/>
          <cell r="HY177"/>
          <cell r="HZ177"/>
          <cell r="IA177"/>
          <cell r="IB177"/>
          <cell r="IC177"/>
          <cell r="ID177"/>
          <cell r="IE177"/>
          <cell r="IF177"/>
          <cell r="IG177"/>
          <cell r="IH177"/>
          <cell r="II177"/>
          <cell r="IJ177"/>
          <cell r="IK177"/>
          <cell r="IL177"/>
          <cell r="IM177"/>
          <cell r="IN177"/>
          <cell r="IO177"/>
          <cell r="IP177"/>
          <cell r="IQ177"/>
          <cell r="IR177"/>
          <cell r="IS177"/>
          <cell r="IT177"/>
          <cell r="IU177"/>
          <cell r="IV177"/>
          <cell r="IW177"/>
          <cell r="IX177"/>
          <cell r="IY177"/>
          <cell r="IZ177"/>
          <cell r="JA177"/>
          <cell r="JB177"/>
          <cell r="JC177"/>
          <cell r="JD177"/>
          <cell r="JE177"/>
          <cell r="JF177"/>
          <cell r="JG177"/>
          <cell r="JH177"/>
          <cell r="JI177"/>
          <cell r="JJ177"/>
          <cell r="JK177"/>
          <cell r="JL177"/>
          <cell r="JM177"/>
          <cell r="JN177"/>
          <cell r="JO177"/>
          <cell r="JP177"/>
          <cell r="JQ177"/>
          <cell r="JR177"/>
          <cell r="JS177"/>
          <cell r="JT177"/>
          <cell r="JU177"/>
          <cell r="JV177"/>
          <cell r="JW177"/>
          <cell r="JX177"/>
          <cell r="JY177"/>
          <cell r="JZ177"/>
          <cell r="KA177"/>
          <cell r="KB177"/>
          <cell r="KC177"/>
          <cell r="KD177"/>
          <cell r="KE177"/>
          <cell r="KF177"/>
          <cell r="KG177"/>
          <cell r="KH177"/>
          <cell r="KI177"/>
          <cell r="KJ177"/>
          <cell r="KK177"/>
          <cell r="KL177"/>
          <cell r="KM177"/>
          <cell r="KN177"/>
          <cell r="KO177"/>
          <cell r="KP177"/>
          <cell r="KQ177"/>
          <cell r="KR177"/>
          <cell r="KS177"/>
          <cell r="KT177"/>
          <cell r="KU177"/>
          <cell r="KV177"/>
          <cell r="KW177"/>
          <cell r="KX177"/>
          <cell r="KY177"/>
          <cell r="KZ177"/>
          <cell r="LA177"/>
          <cell r="LB177"/>
          <cell r="LC177"/>
          <cell r="LD177"/>
          <cell r="LE177"/>
          <cell r="LF177"/>
          <cell r="LG177"/>
          <cell r="LH177"/>
          <cell r="LI177"/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/>
          <cell r="EB178"/>
          <cell r="EC178">
            <v>26917709.039999999</v>
          </cell>
          <cell r="ED178"/>
          <cell r="EE178"/>
          <cell r="EF178"/>
          <cell r="EG178"/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/>
          <cell r="EZ178"/>
          <cell r="FA178">
            <v>39580105.140000001</v>
          </cell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  <cell r="GF178"/>
          <cell r="GG178"/>
          <cell r="GH178"/>
          <cell r="GI178"/>
          <cell r="GJ178"/>
          <cell r="GK178"/>
          <cell r="GL178"/>
          <cell r="GM178"/>
          <cell r="GN178"/>
          <cell r="GO178"/>
          <cell r="GP178"/>
          <cell r="GQ178"/>
          <cell r="GR178"/>
          <cell r="GS178"/>
          <cell r="GT178"/>
          <cell r="GU178"/>
          <cell r="GV178"/>
          <cell r="GW178"/>
          <cell r="GX178"/>
          <cell r="GY178"/>
          <cell r="GZ178"/>
          <cell r="HA178"/>
          <cell r="HB178"/>
          <cell r="HC178"/>
          <cell r="HD178"/>
          <cell r="HE178"/>
          <cell r="HF178"/>
          <cell r="HG178"/>
          <cell r="HH178"/>
          <cell r="HI178"/>
          <cell r="HJ178"/>
          <cell r="HK178"/>
          <cell r="HL178"/>
          <cell r="HM178"/>
          <cell r="HN178"/>
          <cell r="HO178"/>
          <cell r="HP178"/>
          <cell r="HQ178"/>
          <cell r="HR178"/>
          <cell r="HS178"/>
          <cell r="HT178"/>
          <cell r="HU178"/>
          <cell r="HV178"/>
          <cell r="HW178"/>
          <cell r="HX178"/>
          <cell r="HY178"/>
          <cell r="HZ178"/>
          <cell r="IA178"/>
          <cell r="IB178"/>
          <cell r="IC178"/>
          <cell r="ID178"/>
          <cell r="IE178"/>
          <cell r="IF178"/>
          <cell r="IG178"/>
          <cell r="IH178"/>
          <cell r="II178"/>
          <cell r="IJ178"/>
          <cell r="IK178"/>
          <cell r="IL178"/>
          <cell r="IM178"/>
          <cell r="IN178"/>
          <cell r="IO178"/>
          <cell r="IP178"/>
          <cell r="IQ178"/>
          <cell r="IR178"/>
          <cell r="IS178"/>
          <cell r="IT178"/>
          <cell r="IU178"/>
          <cell r="IV178"/>
          <cell r="IW178"/>
          <cell r="IX178"/>
          <cell r="IY178"/>
          <cell r="IZ178"/>
          <cell r="JA178"/>
          <cell r="JB178"/>
          <cell r="JC178"/>
          <cell r="JD178"/>
          <cell r="JE178"/>
          <cell r="JF178"/>
          <cell r="JG178"/>
          <cell r="JH178"/>
          <cell r="JI178"/>
          <cell r="JJ178"/>
          <cell r="JK178"/>
          <cell r="JL178"/>
          <cell r="JM178"/>
          <cell r="JN178"/>
          <cell r="JO178"/>
          <cell r="JP178"/>
          <cell r="JQ178"/>
          <cell r="JR178"/>
          <cell r="JS178"/>
          <cell r="JT178"/>
          <cell r="JU178"/>
          <cell r="JV178"/>
          <cell r="JW178"/>
          <cell r="JX178"/>
          <cell r="JY178"/>
          <cell r="JZ178"/>
          <cell r="KA178"/>
          <cell r="KB178"/>
          <cell r="KC178"/>
          <cell r="KD178"/>
          <cell r="KE178"/>
          <cell r="KF178"/>
          <cell r="KG178"/>
          <cell r="KH178"/>
          <cell r="KI178"/>
          <cell r="KJ178"/>
          <cell r="KK178"/>
          <cell r="KL178"/>
          <cell r="KM178"/>
          <cell r="KN178"/>
          <cell r="KO178"/>
          <cell r="KP178"/>
          <cell r="KQ178"/>
          <cell r="KR178"/>
          <cell r="KS178"/>
          <cell r="KT178"/>
          <cell r="KU178"/>
          <cell r="KV178"/>
          <cell r="KW178"/>
          <cell r="KX178"/>
          <cell r="KY178"/>
          <cell r="KZ178"/>
          <cell r="LA178"/>
          <cell r="LB178"/>
          <cell r="LC178"/>
          <cell r="LD178"/>
          <cell r="LE178"/>
          <cell r="LF178"/>
          <cell r="LG178"/>
          <cell r="LH178"/>
          <cell r="LI178"/>
        </row>
        <row r="179">
          <cell r="D179">
            <v>4611</v>
          </cell>
          <cell r="E179" t="str">
            <v>Otplata hartija od vrijednosti i kredita rezidentima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  <cell r="GF179"/>
          <cell r="GG179"/>
          <cell r="GH179"/>
          <cell r="GI179"/>
          <cell r="GJ179"/>
          <cell r="GK179"/>
          <cell r="GL179"/>
          <cell r="GM179"/>
          <cell r="GN179"/>
          <cell r="GO179"/>
          <cell r="GP179"/>
          <cell r="GQ179"/>
          <cell r="GR179"/>
          <cell r="GS179"/>
          <cell r="GT179"/>
          <cell r="GU179"/>
          <cell r="GV179"/>
          <cell r="GW179"/>
          <cell r="GX179"/>
          <cell r="GY179"/>
          <cell r="GZ179"/>
          <cell r="HA179"/>
          <cell r="HB179"/>
          <cell r="HC179"/>
          <cell r="HD179"/>
          <cell r="HE179"/>
          <cell r="HF179"/>
          <cell r="HG179"/>
          <cell r="HH179"/>
          <cell r="HI179"/>
          <cell r="HJ179"/>
          <cell r="HK179"/>
          <cell r="HL179"/>
          <cell r="HM179"/>
          <cell r="HN179"/>
          <cell r="HO179"/>
          <cell r="HP179"/>
          <cell r="HQ179"/>
          <cell r="HR179"/>
          <cell r="HS179"/>
          <cell r="HT179"/>
          <cell r="HU179"/>
          <cell r="HV179"/>
          <cell r="HW179"/>
          <cell r="HX179"/>
          <cell r="HY179"/>
          <cell r="HZ179"/>
          <cell r="IA179"/>
          <cell r="IB179"/>
          <cell r="IC179"/>
          <cell r="ID179"/>
          <cell r="IE179"/>
          <cell r="IF179"/>
          <cell r="IG179"/>
          <cell r="IH179"/>
          <cell r="II179"/>
          <cell r="IJ179"/>
          <cell r="IK179"/>
          <cell r="IL179"/>
          <cell r="IM179"/>
          <cell r="IN179"/>
          <cell r="IO179"/>
          <cell r="IP179"/>
          <cell r="IQ179"/>
          <cell r="IR179"/>
          <cell r="IS179"/>
          <cell r="IT179"/>
          <cell r="IU179"/>
          <cell r="IV179"/>
          <cell r="IW179"/>
          <cell r="IX179"/>
          <cell r="IY179"/>
          <cell r="IZ179"/>
          <cell r="JA179"/>
          <cell r="JB179"/>
          <cell r="JC179"/>
          <cell r="JD179"/>
          <cell r="JE179"/>
          <cell r="JF179"/>
          <cell r="JG179"/>
          <cell r="JH179"/>
          <cell r="JI179"/>
          <cell r="JJ179"/>
          <cell r="JK179"/>
          <cell r="JL179"/>
          <cell r="JM179"/>
          <cell r="JN179"/>
          <cell r="JO179"/>
          <cell r="JP179"/>
          <cell r="JQ179"/>
          <cell r="JR179"/>
          <cell r="JS179"/>
          <cell r="JT179"/>
          <cell r="JU179"/>
          <cell r="JV179"/>
          <cell r="JW179"/>
          <cell r="JX179"/>
          <cell r="JY179"/>
          <cell r="JZ179"/>
          <cell r="KA179"/>
          <cell r="KB179"/>
          <cell r="KC179"/>
          <cell r="KD179"/>
          <cell r="KE179"/>
          <cell r="KF179"/>
          <cell r="KG179"/>
          <cell r="KH179"/>
          <cell r="KI179"/>
          <cell r="KJ179"/>
          <cell r="KK179"/>
          <cell r="KL179"/>
          <cell r="KM179"/>
          <cell r="KN179"/>
          <cell r="KO179"/>
          <cell r="KP179"/>
          <cell r="KQ179"/>
          <cell r="KR179"/>
          <cell r="KS179"/>
          <cell r="KT179"/>
          <cell r="KU179"/>
          <cell r="KV179"/>
          <cell r="KW179"/>
          <cell r="KX179"/>
          <cell r="KY179"/>
          <cell r="KZ179"/>
          <cell r="LA179"/>
          <cell r="LB179"/>
          <cell r="LC179"/>
          <cell r="LD179"/>
          <cell r="LE179"/>
          <cell r="LF179"/>
          <cell r="LG179"/>
          <cell r="LH179"/>
          <cell r="LI179"/>
        </row>
        <row r="180">
          <cell r="D180">
            <v>4612</v>
          </cell>
          <cell r="E180" t="str">
            <v>Otplata hartija od vrijednosti i kredita nerezidentima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  <cell r="GF180"/>
          <cell r="GG180"/>
          <cell r="GH180"/>
          <cell r="GI180"/>
          <cell r="GJ180"/>
          <cell r="GK180"/>
          <cell r="GL180"/>
          <cell r="GM180"/>
          <cell r="GN180"/>
          <cell r="GO180"/>
          <cell r="GP180"/>
          <cell r="GQ180"/>
          <cell r="GR180"/>
          <cell r="GS180"/>
          <cell r="GT180"/>
          <cell r="GU180"/>
          <cell r="GV180"/>
          <cell r="GW180"/>
          <cell r="GX180"/>
          <cell r="GY180"/>
          <cell r="GZ180"/>
          <cell r="HA180"/>
          <cell r="HB180"/>
          <cell r="HC180"/>
          <cell r="HD180"/>
          <cell r="HE180"/>
          <cell r="HF180"/>
          <cell r="HG180"/>
          <cell r="HH180"/>
          <cell r="HI180"/>
          <cell r="HJ180"/>
          <cell r="HK180"/>
          <cell r="HL180"/>
          <cell r="HM180"/>
          <cell r="HN180"/>
          <cell r="HO180"/>
          <cell r="HP180"/>
          <cell r="HQ180"/>
          <cell r="HR180"/>
          <cell r="HS180"/>
          <cell r="HT180"/>
          <cell r="HU180"/>
          <cell r="HV180"/>
          <cell r="HW180"/>
          <cell r="HX180"/>
          <cell r="HY180"/>
          <cell r="HZ180"/>
          <cell r="IA180"/>
          <cell r="IB180"/>
          <cell r="IC180"/>
          <cell r="ID180"/>
          <cell r="IE180"/>
          <cell r="IF180"/>
          <cell r="IG180"/>
          <cell r="IH180"/>
          <cell r="II180"/>
          <cell r="IJ180"/>
          <cell r="IK180"/>
          <cell r="IL180"/>
          <cell r="IM180"/>
          <cell r="IN180"/>
          <cell r="IO180"/>
          <cell r="IP180"/>
          <cell r="IQ180"/>
          <cell r="IR180"/>
          <cell r="IS180"/>
          <cell r="IT180"/>
          <cell r="IU180"/>
          <cell r="IV180"/>
          <cell r="IW180"/>
          <cell r="IX180"/>
          <cell r="IY180"/>
          <cell r="IZ180"/>
          <cell r="JA180"/>
          <cell r="JB180"/>
          <cell r="JC180"/>
          <cell r="JD180"/>
          <cell r="JE180"/>
          <cell r="JF180"/>
          <cell r="JG180"/>
          <cell r="JH180"/>
          <cell r="JI180"/>
          <cell r="JJ180"/>
          <cell r="JK180"/>
          <cell r="JL180"/>
          <cell r="JM180"/>
          <cell r="JN180"/>
          <cell r="JO180"/>
          <cell r="JP180"/>
          <cell r="JQ180"/>
          <cell r="JR180"/>
          <cell r="JS180"/>
          <cell r="JT180"/>
          <cell r="JU180"/>
          <cell r="JV180"/>
          <cell r="JW180"/>
          <cell r="JX180"/>
          <cell r="JY180"/>
          <cell r="JZ180"/>
          <cell r="KA180"/>
          <cell r="KB180"/>
          <cell r="KC180"/>
          <cell r="KD180"/>
          <cell r="KE180"/>
          <cell r="KF180"/>
          <cell r="KG180"/>
          <cell r="KH180"/>
          <cell r="KI180"/>
          <cell r="KJ180"/>
          <cell r="KK180"/>
          <cell r="KL180"/>
          <cell r="KM180"/>
          <cell r="KN180"/>
          <cell r="KO180"/>
          <cell r="KP180"/>
          <cell r="KQ180"/>
          <cell r="KR180"/>
          <cell r="KS180"/>
          <cell r="KT180"/>
          <cell r="KU180"/>
          <cell r="KV180"/>
          <cell r="KW180"/>
          <cell r="KX180"/>
          <cell r="KY180"/>
          <cell r="KZ180"/>
          <cell r="LA180"/>
          <cell r="LB180"/>
          <cell r="LC180"/>
          <cell r="LD180"/>
          <cell r="LE180"/>
          <cell r="LF180"/>
          <cell r="LG180"/>
          <cell r="LH180"/>
          <cell r="LI180"/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N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>
            <v>2253720.0299999998</v>
          </cell>
          <cell r="FG181">
            <v>494.04</v>
          </cell>
          <cell r="FH181">
            <v>7180485.3399999999</v>
          </cell>
          <cell r="FI181"/>
          <cell r="FJ181"/>
          <cell r="FK181"/>
          <cell r="FL181"/>
          <cell r="FM181"/>
          <cell r="FN181"/>
          <cell r="FO181"/>
          <cell r="FP181"/>
          <cell r="FQ181">
            <v>29250000</v>
          </cell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  <cell r="GF181"/>
          <cell r="GG181"/>
          <cell r="GH181"/>
          <cell r="GI181"/>
          <cell r="GJ181"/>
          <cell r="GK181"/>
          <cell r="GL181"/>
          <cell r="GM181"/>
          <cell r="GN181"/>
          <cell r="GO181"/>
          <cell r="GP181"/>
          <cell r="GQ181"/>
          <cell r="GR181"/>
          <cell r="GS181"/>
          <cell r="GT181"/>
          <cell r="GU181"/>
          <cell r="GV181"/>
          <cell r="GW181"/>
          <cell r="GX181"/>
          <cell r="GY181"/>
          <cell r="GZ181"/>
          <cell r="HA181"/>
          <cell r="HB181"/>
          <cell r="HC181"/>
          <cell r="HD181"/>
          <cell r="HE181"/>
          <cell r="HF181"/>
          <cell r="HG181"/>
          <cell r="HH181"/>
          <cell r="HI181"/>
          <cell r="HJ181"/>
          <cell r="HK181"/>
          <cell r="HL181"/>
          <cell r="HM181"/>
          <cell r="HN181"/>
          <cell r="HO181"/>
          <cell r="HP181"/>
          <cell r="HQ181"/>
          <cell r="HR181"/>
          <cell r="HS181"/>
          <cell r="HT181"/>
          <cell r="HU181"/>
          <cell r="HV181"/>
          <cell r="HW181"/>
          <cell r="HX181"/>
          <cell r="HY181"/>
          <cell r="HZ181"/>
          <cell r="IA181"/>
          <cell r="IB181"/>
          <cell r="IC181"/>
          <cell r="ID181"/>
          <cell r="IE181"/>
          <cell r="IF181"/>
          <cell r="IG181"/>
          <cell r="IH181"/>
          <cell r="II181"/>
          <cell r="IJ181"/>
          <cell r="IK181"/>
          <cell r="IL181"/>
          <cell r="IM181"/>
          <cell r="IN181"/>
          <cell r="IO181"/>
          <cell r="IP181"/>
          <cell r="IQ181"/>
          <cell r="IR181"/>
          <cell r="IS181"/>
          <cell r="IT181"/>
          <cell r="IU181"/>
          <cell r="IV181"/>
          <cell r="IW181"/>
          <cell r="IX181"/>
          <cell r="IY181"/>
          <cell r="IZ181"/>
          <cell r="JA181"/>
          <cell r="JB181"/>
          <cell r="JC181"/>
          <cell r="JD181"/>
          <cell r="JE181"/>
          <cell r="JF181"/>
          <cell r="JG181"/>
          <cell r="JH181"/>
          <cell r="JI181"/>
          <cell r="JJ181"/>
          <cell r="JK181"/>
          <cell r="JL181"/>
          <cell r="JM181"/>
          <cell r="JN181"/>
          <cell r="JO181"/>
          <cell r="JP181"/>
          <cell r="JQ181"/>
          <cell r="JR181"/>
          <cell r="JS181"/>
          <cell r="JT181"/>
          <cell r="JU181"/>
          <cell r="JV181"/>
          <cell r="JW181"/>
          <cell r="JX181"/>
          <cell r="JY181"/>
          <cell r="JZ181"/>
          <cell r="KA181"/>
          <cell r="KB181"/>
          <cell r="KC181"/>
          <cell r="KD181"/>
          <cell r="KE181"/>
          <cell r="KF181"/>
          <cell r="KG181"/>
          <cell r="KH181"/>
          <cell r="KI181"/>
          <cell r="KJ181"/>
          <cell r="KK181"/>
          <cell r="KL181"/>
          <cell r="KM181"/>
          <cell r="KN181"/>
          <cell r="KO181"/>
          <cell r="KP181"/>
          <cell r="KQ181"/>
          <cell r="KR181"/>
          <cell r="KS181"/>
          <cell r="KT181"/>
          <cell r="KU181"/>
          <cell r="KV181"/>
          <cell r="KW181"/>
          <cell r="KX181"/>
          <cell r="KY181"/>
          <cell r="KZ181"/>
          <cell r="LA181"/>
          <cell r="LB181"/>
          <cell r="LC181"/>
          <cell r="LD181"/>
          <cell r="LE181"/>
          <cell r="LF181"/>
          <cell r="LG181"/>
          <cell r="LH181"/>
          <cell r="LI181"/>
        </row>
        <row r="182">
          <cell r="D182">
            <v>4621</v>
          </cell>
          <cell r="E182" t="str">
            <v>Otplata garancija u zemlji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  <cell r="GF182"/>
          <cell r="GG182"/>
          <cell r="GH182"/>
          <cell r="GI182"/>
          <cell r="GJ182"/>
          <cell r="GK182"/>
          <cell r="GL182"/>
          <cell r="GM182"/>
          <cell r="GN182"/>
          <cell r="GO182"/>
          <cell r="GP182"/>
          <cell r="GQ182"/>
          <cell r="GR182"/>
          <cell r="GS182"/>
          <cell r="GT182"/>
          <cell r="GU182"/>
          <cell r="GV182"/>
          <cell r="GW182"/>
          <cell r="GX182"/>
          <cell r="GY182"/>
          <cell r="GZ182"/>
          <cell r="HA182"/>
          <cell r="HB182"/>
          <cell r="HC182"/>
          <cell r="HD182"/>
          <cell r="HE182"/>
          <cell r="HF182"/>
          <cell r="HG182"/>
          <cell r="HH182"/>
          <cell r="HI182"/>
          <cell r="HJ182"/>
          <cell r="HK182"/>
          <cell r="HL182"/>
          <cell r="HM182"/>
          <cell r="HN182"/>
          <cell r="HO182"/>
          <cell r="HP182"/>
          <cell r="HQ182"/>
          <cell r="HR182"/>
          <cell r="HS182"/>
          <cell r="HT182"/>
          <cell r="HU182"/>
          <cell r="HV182"/>
          <cell r="HW182"/>
          <cell r="HX182"/>
          <cell r="HY182"/>
          <cell r="HZ182"/>
          <cell r="IA182"/>
          <cell r="IB182"/>
          <cell r="IC182"/>
          <cell r="ID182"/>
          <cell r="IE182"/>
          <cell r="IF182"/>
          <cell r="IG182"/>
          <cell r="IH182"/>
          <cell r="II182"/>
          <cell r="IJ182"/>
          <cell r="IK182"/>
          <cell r="IL182"/>
          <cell r="IM182"/>
          <cell r="IN182"/>
          <cell r="IO182"/>
          <cell r="IP182"/>
          <cell r="IQ182"/>
          <cell r="IR182"/>
          <cell r="IS182"/>
          <cell r="IT182"/>
          <cell r="IU182"/>
          <cell r="IV182"/>
          <cell r="IW182"/>
          <cell r="IX182"/>
          <cell r="IY182"/>
          <cell r="IZ182"/>
          <cell r="JA182"/>
          <cell r="JB182"/>
          <cell r="JC182"/>
          <cell r="JD182"/>
          <cell r="JE182"/>
          <cell r="JF182"/>
          <cell r="JG182"/>
          <cell r="JH182"/>
          <cell r="JI182"/>
          <cell r="JJ182"/>
          <cell r="JK182"/>
          <cell r="JL182"/>
          <cell r="JM182"/>
          <cell r="JN182"/>
          <cell r="JO182"/>
          <cell r="JP182"/>
          <cell r="JQ182"/>
          <cell r="JR182"/>
          <cell r="JS182"/>
          <cell r="JT182"/>
          <cell r="JU182"/>
          <cell r="JV182"/>
          <cell r="JW182"/>
          <cell r="JX182"/>
          <cell r="JY182"/>
          <cell r="JZ182"/>
          <cell r="KA182"/>
          <cell r="KB182"/>
          <cell r="KC182"/>
          <cell r="KD182"/>
          <cell r="KE182"/>
          <cell r="KF182"/>
          <cell r="KG182"/>
          <cell r="KH182"/>
          <cell r="KI182"/>
          <cell r="KJ182"/>
          <cell r="KK182"/>
          <cell r="KL182"/>
          <cell r="KM182"/>
          <cell r="KN182"/>
          <cell r="KO182"/>
          <cell r="KP182"/>
          <cell r="KQ182"/>
          <cell r="KR182"/>
          <cell r="KS182"/>
          <cell r="KT182"/>
          <cell r="KU182"/>
          <cell r="KV182"/>
          <cell r="KW182"/>
          <cell r="KX182"/>
          <cell r="KY182"/>
          <cell r="KZ182"/>
          <cell r="LA182"/>
          <cell r="LB182"/>
          <cell r="LC182"/>
          <cell r="LD182"/>
          <cell r="LE182"/>
          <cell r="LF182"/>
          <cell r="LG182"/>
          <cell r="LH182"/>
          <cell r="LI182"/>
        </row>
        <row r="183">
          <cell r="D183">
            <v>4622</v>
          </cell>
          <cell r="E183" t="str">
            <v>Otplata garancija u inostranstvu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/>
          <cell r="EB183"/>
          <cell r="EC183"/>
          <cell r="ED183"/>
          <cell r="EE183"/>
          <cell r="EF183"/>
          <cell r="EG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  <cell r="GF183"/>
          <cell r="GG183"/>
          <cell r="GH183"/>
          <cell r="GI183"/>
          <cell r="GJ183"/>
          <cell r="GK183"/>
          <cell r="GL183"/>
          <cell r="GM183"/>
          <cell r="GN183"/>
          <cell r="GO183"/>
          <cell r="GP183"/>
          <cell r="GQ183"/>
          <cell r="GR183"/>
          <cell r="GS183"/>
          <cell r="GT183"/>
          <cell r="GU183"/>
          <cell r="GV183"/>
          <cell r="GW183"/>
          <cell r="GX183"/>
          <cell r="GY183"/>
          <cell r="GZ183"/>
          <cell r="HA183"/>
          <cell r="HB183"/>
          <cell r="HC183"/>
          <cell r="HD183"/>
          <cell r="HE183"/>
          <cell r="HF183"/>
          <cell r="HG183"/>
          <cell r="HH183"/>
          <cell r="HI183"/>
          <cell r="HJ183"/>
          <cell r="HK183"/>
          <cell r="HL183"/>
          <cell r="HM183"/>
          <cell r="HN183"/>
          <cell r="HO183"/>
          <cell r="HP183"/>
          <cell r="HQ183"/>
          <cell r="HR183"/>
          <cell r="HS183"/>
          <cell r="HT183"/>
          <cell r="HU183"/>
          <cell r="HV183"/>
          <cell r="HW183"/>
          <cell r="HX183"/>
          <cell r="HY183"/>
          <cell r="HZ183"/>
          <cell r="IA183"/>
          <cell r="IB183"/>
          <cell r="IC183"/>
          <cell r="ID183"/>
          <cell r="IE183"/>
          <cell r="IF183"/>
          <cell r="IG183"/>
          <cell r="IH183"/>
          <cell r="II183"/>
          <cell r="IJ183"/>
          <cell r="IK183"/>
          <cell r="IL183"/>
          <cell r="IM183"/>
          <cell r="IN183"/>
          <cell r="IO183"/>
          <cell r="IP183"/>
          <cell r="IQ183"/>
          <cell r="IR183"/>
          <cell r="IS183"/>
          <cell r="IT183"/>
          <cell r="IU183"/>
          <cell r="IV183"/>
          <cell r="IW183"/>
          <cell r="IX183"/>
          <cell r="IY183"/>
          <cell r="IZ183"/>
          <cell r="JA183"/>
          <cell r="JB183"/>
          <cell r="JC183"/>
          <cell r="JD183"/>
          <cell r="JE183"/>
          <cell r="JF183"/>
          <cell r="JG183"/>
          <cell r="JH183"/>
          <cell r="JI183"/>
          <cell r="JJ183"/>
          <cell r="JK183"/>
          <cell r="JL183"/>
          <cell r="JM183"/>
          <cell r="JN183"/>
          <cell r="JO183"/>
          <cell r="JP183"/>
          <cell r="JQ183"/>
          <cell r="JR183"/>
          <cell r="JS183"/>
          <cell r="JT183"/>
          <cell r="JU183"/>
          <cell r="JV183"/>
          <cell r="JW183"/>
          <cell r="JX183"/>
          <cell r="JY183"/>
          <cell r="JZ183"/>
          <cell r="KA183"/>
          <cell r="KB183"/>
          <cell r="KC183"/>
          <cell r="KD183"/>
          <cell r="KE183"/>
          <cell r="KF183"/>
          <cell r="KG183"/>
          <cell r="KH183"/>
          <cell r="KI183"/>
          <cell r="KJ183"/>
          <cell r="KK183"/>
          <cell r="KL183"/>
          <cell r="KM183"/>
          <cell r="KN183"/>
          <cell r="KO183"/>
          <cell r="KP183"/>
          <cell r="KQ183"/>
          <cell r="KR183"/>
          <cell r="KS183"/>
          <cell r="KT183"/>
          <cell r="KU183"/>
          <cell r="KV183"/>
          <cell r="KW183"/>
          <cell r="KX183"/>
          <cell r="KY183"/>
          <cell r="KZ183"/>
          <cell r="LA183"/>
          <cell r="LB183"/>
          <cell r="LC183"/>
          <cell r="LD183"/>
          <cell r="LE183"/>
          <cell r="LF183"/>
          <cell r="LG183"/>
          <cell r="LH183"/>
          <cell r="LI183"/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  <cell r="GF184"/>
          <cell r="GG184"/>
          <cell r="GH184"/>
          <cell r="GI184"/>
          <cell r="GJ184"/>
          <cell r="GK184"/>
          <cell r="GL184"/>
          <cell r="GM184"/>
          <cell r="GN184"/>
          <cell r="GO184"/>
          <cell r="GP184"/>
          <cell r="GQ184"/>
          <cell r="GR184"/>
          <cell r="GS184"/>
          <cell r="GT184"/>
          <cell r="GU184"/>
          <cell r="GV184"/>
          <cell r="GW184"/>
          <cell r="GX184"/>
          <cell r="GY184"/>
          <cell r="GZ184"/>
          <cell r="HA184"/>
          <cell r="HB184"/>
          <cell r="HC184"/>
          <cell r="HD184"/>
          <cell r="HE184"/>
          <cell r="HF184"/>
          <cell r="HG184"/>
          <cell r="HH184"/>
          <cell r="HI184"/>
          <cell r="HJ184"/>
          <cell r="HK184"/>
          <cell r="HL184"/>
          <cell r="HM184"/>
          <cell r="HN184"/>
          <cell r="HO184"/>
          <cell r="HP184"/>
          <cell r="HQ184"/>
          <cell r="HR184"/>
          <cell r="HS184"/>
          <cell r="HT184"/>
          <cell r="HU184"/>
          <cell r="HV184"/>
          <cell r="HW184"/>
          <cell r="HX184"/>
          <cell r="HY184"/>
          <cell r="HZ184"/>
          <cell r="IA184"/>
          <cell r="IB184"/>
          <cell r="IC184"/>
          <cell r="ID184"/>
          <cell r="IE184"/>
          <cell r="IF184"/>
          <cell r="IG184"/>
          <cell r="IH184"/>
          <cell r="II184"/>
          <cell r="IJ184"/>
          <cell r="IK184"/>
          <cell r="IL184"/>
          <cell r="IM184"/>
          <cell r="IN184"/>
          <cell r="IO184"/>
          <cell r="IP184"/>
          <cell r="IQ184"/>
          <cell r="IR184"/>
          <cell r="IS184"/>
          <cell r="IT184"/>
          <cell r="IU184"/>
          <cell r="IV184"/>
          <cell r="IW184"/>
          <cell r="IX184"/>
          <cell r="IY184"/>
          <cell r="IZ184"/>
          <cell r="JA184"/>
          <cell r="JB184"/>
          <cell r="JC184"/>
          <cell r="JD184"/>
          <cell r="JE184"/>
          <cell r="JF184"/>
          <cell r="JG184"/>
          <cell r="JH184"/>
          <cell r="JI184"/>
          <cell r="JJ184"/>
          <cell r="JK184"/>
          <cell r="JL184"/>
          <cell r="JM184"/>
          <cell r="JN184"/>
          <cell r="JO184"/>
          <cell r="JP184"/>
          <cell r="JQ184"/>
          <cell r="JR184"/>
          <cell r="JS184"/>
          <cell r="JT184"/>
          <cell r="JU184"/>
          <cell r="JV184"/>
          <cell r="JW184"/>
          <cell r="JX184"/>
          <cell r="JY184"/>
          <cell r="JZ184"/>
          <cell r="KA184"/>
          <cell r="KB184"/>
          <cell r="KC184"/>
          <cell r="KD184"/>
          <cell r="KE184"/>
          <cell r="KF184"/>
          <cell r="KG184"/>
          <cell r="KH184"/>
          <cell r="KI184"/>
          <cell r="KJ184"/>
          <cell r="KK184"/>
          <cell r="KL184"/>
          <cell r="KM184"/>
          <cell r="KN184"/>
          <cell r="KO184"/>
          <cell r="KP184"/>
          <cell r="KQ184"/>
          <cell r="KR184"/>
          <cell r="KS184"/>
          <cell r="KT184"/>
          <cell r="KU184"/>
          <cell r="KV184"/>
          <cell r="KW184"/>
          <cell r="KX184"/>
          <cell r="KY184"/>
          <cell r="KZ184"/>
          <cell r="LA184"/>
          <cell r="LB184"/>
          <cell r="LC184"/>
          <cell r="LD184"/>
          <cell r="LE184"/>
          <cell r="LF184"/>
          <cell r="LG184"/>
          <cell r="LH184"/>
          <cell r="LI184"/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/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/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  <cell r="GF185"/>
          <cell r="GG185"/>
          <cell r="GH185"/>
          <cell r="GI185"/>
          <cell r="GJ185"/>
          <cell r="GK185"/>
          <cell r="GL185"/>
          <cell r="GM185"/>
          <cell r="GN185"/>
          <cell r="GO185"/>
          <cell r="GP185"/>
          <cell r="GQ185"/>
          <cell r="GR185"/>
          <cell r="GS185"/>
          <cell r="GT185"/>
          <cell r="GU185"/>
          <cell r="GV185"/>
          <cell r="GW185"/>
          <cell r="GX185"/>
          <cell r="GY185"/>
          <cell r="GZ185"/>
          <cell r="HA185"/>
          <cell r="HB185"/>
          <cell r="HC185"/>
          <cell r="HD185"/>
          <cell r="HE185"/>
          <cell r="HF185"/>
          <cell r="HG185"/>
          <cell r="HH185"/>
          <cell r="HI185"/>
          <cell r="HJ185"/>
          <cell r="HK185"/>
          <cell r="HL185"/>
          <cell r="HM185"/>
          <cell r="HN185"/>
          <cell r="HO185"/>
          <cell r="HP185"/>
          <cell r="HQ185"/>
          <cell r="HR185"/>
          <cell r="HS185"/>
          <cell r="HT185"/>
          <cell r="HU185"/>
          <cell r="HV185"/>
          <cell r="HW185"/>
          <cell r="HX185"/>
          <cell r="HY185"/>
          <cell r="HZ185"/>
          <cell r="IA185"/>
          <cell r="IB185"/>
          <cell r="IC185"/>
          <cell r="ID185"/>
          <cell r="IE185"/>
          <cell r="IF185"/>
          <cell r="IG185"/>
          <cell r="IH185"/>
          <cell r="II185"/>
          <cell r="IJ185"/>
          <cell r="IK185"/>
          <cell r="IL185"/>
          <cell r="IM185"/>
          <cell r="IN185"/>
          <cell r="IO185"/>
          <cell r="IP185"/>
          <cell r="IQ185"/>
          <cell r="IR185"/>
          <cell r="IS185"/>
          <cell r="IT185"/>
          <cell r="IU185"/>
          <cell r="IV185"/>
          <cell r="IW185"/>
          <cell r="IX185"/>
          <cell r="IY185"/>
          <cell r="IZ185"/>
          <cell r="JA185"/>
          <cell r="JB185"/>
          <cell r="JC185"/>
          <cell r="JD185"/>
          <cell r="JE185"/>
          <cell r="JF185"/>
          <cell r="JG185"/>
          <cell r="JH185"/>
          <cell r="JI185"/>
          <cell r="JJ185"/>
          <cell r="JK185"/>
          <cell r="JL185"/>
          <cell r="JM185"/>
          <cell r="JN185"/>
          <cell r="JO185"/>
          <cell r="JP185"/>
          <cell r="JQ185"/>
          <cell r="JR185"/>
          <cell r="JS185"/>
          <cell r="JT185"/>
          <cell r="JU185"/>
          <cell r="JV185"/>
          <cell r="JW185"/>
          <cell r="JX185"/>
          <cell r="JY185"/>
          <cell r="JZ185"/>
          <cell r="KA185"/>
          <cell r="KB185"/>
          <cell r="KC185"/>
          <cell r="KD185"/>
          <cell r="KE185"/>
          <cell r="KF185"/>
          <cell r="KG185"/>
          <cell r="KH185"/>
          <cell r="KI185"/>
          <cell r="KJ185"/>
          <cell r="KK185"/>
          <cell r="KL185"/>
          <cell r="KM185"/>
          <cell r="KN185"/>
          <cell r="KO185"/>
          <cell r="KP185"/>
          <cell r="KQ185"/>
          <cell r="KR185"/>
          <cell r="KS185"/>
          <cell r="KT185"/>
          <cell r="KU185"/>
          <cell r="KV185"/>
          <cell r="KW185"/>
          <cell r="KX185"/>
          <cell r="KY185"/>
          <cell r="KZ185"/>
          <cell r="LA185"/>
          <cell r="LB185"/>
          <cell r="LC185"/>
          <cell r="LD185"/>
          <cell r="LE185"/>
          <cell r="LF185"/>
          <cell r="LG185"/>
          <cell r="LH185"/>
          <cell r="LI185"/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/>
          <cell r="ED186"/>
          <cell r="EE186"/>
          <cell r="EF186"/>
          <cell r="EG186"/>
          <cell r="EH186">
            <v>5000</v>
          </cell>
          <cell r="EI186">
            <v>25400</v>
          </cell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  <cell r="GF186"/>
          <cell r="GG186"/>
          <cell r="GH186"/>
          <cell r="GI186"/>
          <cell r="GJ186"/>
          <cell r="GK186"/>
          <cell r="GL186"/>
          <cell r="GM186"/>
          <cell r="GN186"/>
          <cell r="GO186"/>
          <cell r="GP186"/>
          <cell r="GQ186"/>
          <cell r="GR186"/>
          <cell r="GS186"/>
          <cell r="GT186"/>
          <cell r="GU186"/>
          <cell r="GV186"/>
          <cell r="GW186"/>
          <cell r="GX186"/>
          <cell r="GY186"/>
          <cell r="GZ186"/>
          <cell r="HA186"/>
          <cell r="HB186"/>
          <cell r="HC186"/>
          <cell r="HD186"/>
          <cell r="HE186"/>
          <cell r="HF186"/>
          <cell r="HG186"/>
          <cell r="HH186"/>
          <cell r="HI186"/>
          <cell r="HJ186"/>
          <cell r="HK186"/>
          <cell r="HL186"/>
          <cell r="HM186"/>
          <cell r="HN186"/>
          <cell r="HO186"/>
          <cell r="HP186"/>
          <cell r="HQ186"/>
          <cell r="HR186"/>
          <cell r="HS186"/>
          <cell r="HT186"/>
          <cell r="HU186"/>
          <cell r="HV186"/>
          <cell r="HW186"/>
          <cell r="HX186"/>
          <cell r="HY186"/>
          <cell r="HZ186"/>
          <cell r="IA186"/>
          <cell r="IB186"/>
          <cell r="IC186"/>
          <cell r="ID186"/>
          <cell r="IE186"/>
          <cell r="IF186"/>
          <cell r="IG186"/>
          <cell r="IH186"/>
          <cell r="II186"/>
          <cell r="IJ186"/>
          <cell r="IK186"/>
          <cell r="IL186"/>
          <cell r="IM186"/>
          <cell r="IN186"/>
          <cell r="IO186"/>
          <cell r="IP186"/>
          <cell r="IQ186"/>
          <cell r="IR186"/>
          <cell r="IS186"/>
          <cell r="IT186"/>
          <cell r="IU186"/>
          <cell r="IV186"/>
          <cell r="IW186"/>
          <cell r="IX186"/>
          <cell r="IY186"/>
          <cell r="IZ186"/>
          <cell r="JA186"/>
          <cell r="JB186"/>
          <cell r="JC186"/>
          <cell r="JD186"/>
          <cell r="JE186"/>
          <cell r="JF186"/>
          <cell r="JG186"/>
          <cell r="JH186"/>
          <cell r="JI186"/>
          <cell r="JJ186"/>
          <cell r="JK186"/>
          <cell r="JL186"/>
          <cell r="JM186"/>
          <cell r="JN186"/>
          <cell r="JO186"/>
          <cell r="JP186"/>
          <cell r="JQ186"/>
          <cell r="JR186"/>
          <cell r="JS186"/>
          <cell r="JT186"/>
          <cell r="JU186"/>
          <cell r="JV186"/>
          <cell r="JW186"/>
          <cell r="JX186"/>
          <cell r="JY186"/>
          <cell r="JZ186"/>
          <cell r="KA186"/>
          <cell r="KB186"/>
          <cell r="KC186"/>
          <cell r="KD186"/>
          <cell r="KE186"/>
          <cell r="KF186"/>
          <cell r="KG186"/>
          <cell r="KH186"/>
          <cell r="KI186"/>
          <cell r="KJ186"/>
          <cell r="KK186"/>
          <cell r="KL186"/>
          <cell r="KM186"/>
          <cell r="KN186"/>
          <cell r="KO186"/>
          <cell r="KP186"/>
          <cell r="KQ186"/>
          <cell r="KR186"/>
          <cell r="KS186"/>
          <cell r="KT186"/>
          <cell r="KU186"/>
          <cell r="KV186"/>
          <cell r="KW186"/>
          <cell r="KX186"/>
          <cell r="KY186"/>
          <cell r="KZ186"/>
          <cell r="LA186"/>
          <cell r="LB186"/>
          <cell r="LC186"/>
          <cell r="LD186"/>
          <cell r="LE186"/>
          <cell r="LF186"/>
          <cell r="LG186"/>
          <cell r="LH186"/>
          <cell r="LI186"/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  <cell r="GF187"/>
          <cell r="GG187"/>
          <cell r="GH187"/>
          <cell r="GI187"/>
          <cell r="GJ187"/>
          <cell r="GK187"/>
          <cell r="GL187"/>
          <cell r="GM187"/>
          <cell r="GN187"/>
          <cell r="GO187"/>
          <cell r="GP187"/>
          <cell r="GQ187"/>
          <cell r="GR187"/>
          <cell r="GS187"/>
          <cell r="GT187"/>
          <cell r="GU187"/>
          <cell r="GV187"/>
          <cell r="GW187"/>
          <cell r="GX187"/>
          <cell r="GY187"/>
          <cell r="GZ187"/>
          <cell r="HA187"/>
          <cell r="HB187"/>
          <cell r="HC187"/>
          <cell r="HD187"/>
          <cell r="HE187"/>
          <cell r="HF187"/>
          <cell r="HG187"/>
          <cell r="HH187"/>
          <cell r="HI187"/>
          <cell r="HJ187"/>
          <cell r="HK187"/>
          <cell r="HL187"/>
          <cell r="HM187"/>
          <cell r="HN187"/>
          <cell r="HO187"/>
          <cell r="HP187"/>
          <cell r="HQ187"/>
          <cell r="HR187"/>
          <cell r="HS187"/>
          <cell r="HT187"/>
          <cell r="HU187"/>
          <cell r="HV187"/>
          <cell r="HW187"/>
          <cell r="HX187"/>
          <cell r="HY187"/>
          <cell r="HZ187"/>
          <cell r="IA187"/>
          <cell r="IB187"/>
          <cell r="IC187"/>
          <cell r="ID187"/>
          <cell r="IE187"/>
          <cell r="IF187"/>
          <cell r="IG187"/>
          <cell r="IH187"/>
          <cell r="II187"/>
          <cell r="IJ187"/>
          <cell r="IK187"/>
          <cell r="IL187"/>
          <cell r="IM187"/>
          <cell r="IN187"/>
          <cell r="IO187"/>
          <cell r="IP187"/>
          <cell r="IQ187"/>
          <cell r="IR187"/>
          <cell r="IS187"/>
          <cell r="IT187"/>
          <cell r="IU187"/>
          <cell r="IV187"/>
          <cell r="IW187"/>
          <cell r="IX187"/>
          <cell r="IY187"/>
          <cell r="IZ187"/>
          <cell r="JA187"/>
          <cell r="JB187"/>
          <cell r="JC187"/>
          <cell r="JD187"/>
          <cell r="JE187"/>
          <cell r="JF187"/>
          <cell r="JG187"/>
          <cell r="JH187"/>
          <cell r="JI187"/>
          <cell r="JJ187"/>
          <cell r="JK187"/>
          <cell r="JL187"/>
          <cell r="JM187"/>
          <cell r="JN187"/>
          <cell r="JO187"/>
          <cell r="JP187"/>
          <cell r="JQ187"/>
          <cell r="JR187"/>
          <cell r="JS187"/>
          <cell r="JT187"/>
          <cell r="JU187"/>
          <cell r="JV187"/>
          <cell r="JW187"/>
          <cell r="JX187"/>
          <cell r="JY187"/>
          <cell r="JZ187"/>
          <cell r="KA187"/>
          <cell r="KB187"/>
          <cell r="KC187"/>
          <cell r="KD187"/>
          <cell r="KE187"/>
          <cell r="KF187"/>
          <cell r="KG187"/>
          <cell r="KH187"/>
          <cell r="KI187"/>
          <cell r="KJ187"/>
          <cell r="KK187"/>
          <cell r="KL187"/>
          <cell r="KM187"/>
          <cell r="KN187"/>
          <cell r="KO187"/>
          <cell r="KP187"/>
          <cell r="KQ187"/>
          <cell r="KR187"/>
          <cell r="KS187"/>
          <cell r="KT187"/>
          <cell r="KU187"/>
          <cell r="KV187"/>
          <cell r="KW187"/>
          <cell r="KX187"/>
          <cell r="KY187"/>
          <cell r="KZ187"/>
          <cell r="LA187"/>
          <cell r="LB187"/>
          <cell r="LC187"/>
          <cell r="LD187"/>
          <cell r="LE187"/>
          <cell r="LF187"/>
          <cell r="LG187"/>
          <cell r="LH187"/>
          <cell r="LI187"/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  <cell r="GF188"/>
          <cell r="GG188"/>
          <cell r="GH188"/>
          <cell r="GI188"/>
          <cell r="GJ188"/>
          <cell r="GK188"/>
          <cell r="GL188"/>
          <cell r="GM188"/>
          <cell r="GN188"/>
          <cell r="GO188"/>
          <cell r="GP188"/>
          <cell r="GQ188"/>
          <cell r="GR188"/>
          <cell r="GS188"/>
          <cell r="GT188"/>
          <cell r="GU188"/>
          <cell r="GV188"/>
          <cell r="GW188"/>
          <cell r="GX188"/>
          <cell r="GY188"/>
          <cell r="GZ188"/>
          <cell r="HA188"/>
          <cell r="HB188"/>
          <cell r="HC188"/>
          <cell r="HD188"/>
          <cell r="HE188"/>
          <cell r="HF188"/>
          <cell r="HG188"/>
          <cell r="HH188"/>
          <cell r="HI188"/>
          <cell r="HJ188"/>
          <cell r="HK188"/>
          <cell r="HL188"/>
          <cell r="HM188"/>
          <cell r="HN188"/>
          <cell r="HO188"/>
          <cell r="HP188"/>
          <cell r="HQ188"/>
          <cell r="HR188"/>
          <cell r="HS188"/>
          <cell r="HT188"/>
          <cell r="HU188"/>
          <cell r="HV188"/>
          <cell r="HW188"/>
          <cell r="HX188"/>
          <cell r="HY188"/>
          <cell r="HZ188"/>
          <cell r="IA188"/>
          <cell r="IB188"/>
          <cell r="IC188"/>
          <cell r="ID188"/>
          <cell r="IE188"/>
          <cell r="IF188"/>
          <cell r="IG188"/>
          <cell r="IH188"/>
          <cell r="II188"/>
          <cell r="IJ188"/>
          <cell r="IK188"/>
          <cell r="IL188"/>
          <cell r="IM188"/>
          <cell r="IN188"/>
          <cell r="IO188"/>
          <cell r="IP188"/>
          <cell r="IQ188"/>
          <cell r="IR188"/>
          <cell r="IS188"/>
          <cell r="IT188"/>
          <cell r="IU188"/>
          <cell r="IV188"/>
          <cell r="IW188"/>
          <cell r="IX188"/>
          <cell r="IY188"/>
          <cell r="IZ188"/>
          <cell r="JA188"/>
          <cell r="JB188"/>
          <cell r="JC188"/>
          <cell r="JD188"/>
          <cell r="JE188"/>
          <cell r="JF188"/>
          <cell r="JG188"/>
          <cell r="JH188"/>
          <cell r="JI188"/>
          <cell r="JJ188"/>
          <cell r="JK188"/>
          <cell r="JL188"/>
          <cell r="JM188"/>
          <cell r="JN188"/>
          <cell r="JO188"/>
          <cell r="JP188"/>
          <cell r="JQ188"/>
          <cell r="JR188"/>
          <cell r="JS188"/>
          <cell r="JT188"/>
          <cell r="JU188"/>
          <cell r="JV188"/>
          <cell r="JW188"/>
          <cell r="JX188"/>
          <cell r="JY188"/>
          <cell r="JZ188"/>
          <cell r="KA188"/>
          <cell r="KB188"/>
          <cell r="KC188"/>
          <cell r="KD188"/>
          <cell r="KE188"/>
          <cell r="KF188"/>
          <cell r="KG188"/>
          <cell r="KH188"/>
          <cell r="KI188"/>
          <cell r="KJ188"/>
          <cell r="KK188"/>
          <cell r="KL188"/>
          <cell r="KM188"/>
          <cell r="KN188"/>
          <cell r="KO188"/>
          <cell r="KP188"/>
          <cell r="KQ188"/>
          <cell r="KR188"/>
          <cell r="KS188"/>
          <cell r="KT188"/>
          <cell r="KU188"/>
          <cell r="KV188"/>
          <cell r="KW188"/>
          <cell r="KX188"/>
          <cell r="KY188"/>
          <cell r="KZ188"/>
          <cell r="LA188"/>
          <cell r="LB188"/>
          <cell r="LC188"/>
          <cell r="LD188"/>
          <cell r="LE188"/>
          <cell r="LF188"/>
          <cell r="LG188"/>
          <cell r="LH188"/>
          <cell r="LI188"/>
        </row>
        <row r="189">
          <cell r="D189">
            <v>1005</v>
          </cell>
          <cell r="E189" t="str">
            <v>Neto povećanje obaveza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>
            <v>14438105.227299999</v>
          </cell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>
            <v>4091319.16</v>
          </cell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>
            <v>-15133946.66</v>
          </cell>
          <cell r="DZ189"/>
          <cell r="EC189"/>
          <cell r="ED189"/>
          <cell r="EE189"/>
          <cell r="EF189"/>
          <cell r="EG189">
            <v>-12686256.23</v>
          </cell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>
            <v>13993228.51</v>
          </cell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>
            <v>28097590.27</v>
          </cell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  <cell r="GF189"/>
          <cell r="GG189"/>
          <cell r="GH189"/>
          <cell r="GI189"/>
          <cell r="GJ189"/>
          <cell r="GK189"/>
          <cell r="GL189"/>
          <cell r="GM189"/>
          <cell r="GN189"/>
          <cell r="GO189"/>
          <cell r="GP189"/>
          <cell r="GQ189"/>
          <cell r="GR189"/>
          <cell r="GS189"/>
          <cell r="GT189"/>
          <cell r="GU189"/>
          <cell r="GV189"/>
          <cell r="GW189"/>
          <cell r="GX189"/>
          <cell r="GY189"/>
          <cell r="GZ189"/>
          <cell r="HA189"/>
          <cell r="HB189"/>
          <cell r="HC189"/>
          <cell r="HD189"/>
          <cell r="HE189"/>
          <cell r="HF189"/>
          <cell r="HG189"/>
          <cell r="HH189"/>
          <cell r="HI189"/>
          <cell r="HJ189"/>
          <cell r="HK189"/>
          <cell r="HL189"/>
          <cell r="HM189"/>
          <cell r="HN189"/>
          <cell r="HO189"/>
          <cell r="HP189"/>
          <cell r="HQ189"/>
          <cell r="HR189"/>
          <cell r="HS189"/>
          <cell r="HT189"/>
          <cell r="HU189"/>
          <cell r="HV189"/>
          <cell r="HW189"/>
          <cell r="HX189"/>
          <cell r="HY189"/>
          <cell r="HZ189"/>
          <cell r="IA189"/>
          <cell r="IB189"/>
          <cell r="IC189"/>
          <cell r="ID189"/>
          <cell r="IE189"/>
          <cell r="IF189"/>
          <cell r="IG189"/>
          <cell r="IH189"/>
          <cell r="II189"/>
          <cell r="IJ189"/>
          <cell r="IK189"/>
          <cell r="IL189"/>
          <cell r="IM189"/>
          <cell r="IN189"/>
          <cell r="IO189"/>
          <cell r="IP189"/>
          <cell r="IQ189"/>
          <cell r="IR189"/>
          <cell r="IS189"/>
          <cell r="IT189"/>
          <cell r="IU189"/>
          <cell r="IV189"/>
          <cell r="IW189"/>
          <cell r="IX189"/>
          <cell r="IY189"/>
          <cell r="IZ189"/>
          <cell r="JA189"/>
          <cell r="JB189"/>
          <cell r="JC189"/>
          <cell r="JD189"/>
          <cell r="JE189"/>
          <cell r="JF189"/>
          <cell r="JG189"/>
          <cell r="JH189"/>
          <cell r="JI189"/>
          <cell r="JJ189"/>
          <cell r="JK189"/>
          <cell r="JL189"/>
          <cell r="JM189"/>
          <cell r="JN189"/>
          <cell r="JO189"/>
          <cell r="JP189"/>
          <cell r="JQ189"/>
          <cell r="JR189"/>
          <cell r="JS189"/>
          <cell r="JT189"/>
          <cell r="JU189"/>
          <cell r="JV189"/>
          <cell r="JW189"/>
          <cell r="JX189"/>
          <cell r="JY189"/>
          <cell r="JZ189"/>
          <cell r="KA189"/>
          <cell r="KB189"/>
          <cell r="KC189"/>
          <cell r="KD189"/>
          <cell r="KE189"/>
          <cell r="KF189"/>
          <cell r="KG189"/>
          <cell r="KH189"/>
          <cell r="KI189"/>
          <cell r="KJ189"/>
          <cell r="KK189"/>
          <cell r="KL189"/>
          <cell r="KM189"/>
          <cell r="KN189"/>
          <cell r="KO189"/>
          <cell r="KP189"/>
          <cell r="KQ189"/>
          <cell r="KR189"/>
          <cell r="KS189"/>
          <cell r="KT189"/>
          <cell r="KU189"/>
          <cell r="KV189"/>
          <cell r="KW189"/>
          <cell r="KX189"/>
          <cell r="KY189"/>
          <cell r="KZ189"/>
          <cell r="LA189"/>
          <cell r="LB189"/>
          <cell r="LC189"/>
          <cell r="LD189"/>
          <cell r="LE189"/>
          <cell r="LF189"/>
          <cell r="LG189"/>
          <cell r="LH189"/>
          <cell r="LI189"/>
        </row>
        <row r="190"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  <cell r="GF190"/>
          <cell r="GG190"/>
          <cell r="GH190"/>
          <cell r="GI190"/>
          <cell r="GJ190"/>
          <cell r="GK190"/>
          <cell r="GL190"/>
          <cell r="GM190"/>
          <cell r="GN190"/>
          <cell r="GO190"/>
          <cell r="GP190"/>
          <cell r="GQ190"/>
          <cell r="GR190"/>
          <cell r="GS190"/>
          <cell r="GT190"/>
          <cell r="GU190"/>
          <cell r="GV190"/>
          <cell r="GW190"/>
          <cell r="GX190"/>
          <cell r="GY190"/>
          <cell r="GZ190"/>
          <cell r="HA190"/>
          <cell r="HB190"/>
          <cell r="HC190"/>
          <cell r="HD190"/>
          <cell r="HE190"/>
          <cell r="HF190"/>
          <cell r="HG190"/>
          <cell r="HH190"/>
          <cell r="HI190"/>
          <cell r="HJ190"/>
          <cell r="HK190"/>
          <cell r="HL190"/>
          <cell r="HM190"/>
          <cell r="HN190"/>
          <cell r="HO190"/>
          <cell r="HP190"/>
          <cell r="HQ190"/>
          <cell r="HR190"/>
          <cell r="HS190"/>
          <cell r="HT190"/>
          <cell r="HU190"/>
          <cell r="HV190"/>
          <cell r="HW190"/>
          <cell r="HX190"/>
          <cell r="HY190"/>
          <cell r="HZ190"/>
          <cell r="IA190"/>
          <cell r="IB190"/>
          <cell r="IC190"/>
          <cell r="ID190"/>
          <cell r="IE190"/>
          <cell r="IF190"/>
          <cell r="IG190"/>
          <cell r="IH190"/>
          <cell r="II190"/>
          <cell r="IJ190"/>
          <cell r="IK190"/>
          <cell r="IL190"/>
          <cell r="IM190"/>
          <cell r="IN190"/>
          <cell r="IO190"/>
          <cell r="IP190"/>
          <cell r="IQ190"/>
          <cell r="IR190"/>
          <cell r="IS190"/>
          <cell r="IT190"/>
          <cell r="IU190"/>
          <cell r="IV190"/>
          <cell r="IW190"/>
          <cell r="IX190"/>
          <cell r="IY190"/>
          <cell r="IZ190"/>
          <cell r="JA190"/>
          <cell r="JB190"/>
          <cell r="JC190"/>
          <cell r="JD190"/>
          <cell r="JE190"/>
          <cell r="JF190"/>
          <cell r="JG190"/>
          <cell r="JH190"/>
          <cell r="JI190"/>
          <cell r="JJ190"/>
          <cell r="JK190"/>
          <cell r="JL190"/>
          <cell r="JM190"/>
          <cell r="JN190"/>
          <cell r="JO190"/>
          <cell r="JP190"/>
          <cell r="JQ190"/>
          <cell r="JR190"/>
          <cell r="JS190"/>
          <cell r="JT190"/>
          <cell r="JU190"/>
          <cell r="JV190"/>
          <cell r="JW190"/>
          <cell r="JX190"/>
          <cell r="JY190"/>
          <cell r="JZ190"/>
          <cell r="KA190"/>
          <cell r="KB190"/>
          <cell r="KC190"/>
          <cell r="KD190"/>
          <cell r="KE190"/>
          <cell r="KF190"/>
          <cell r="KG190"/>
          <cell r="KH190"/>
          <cell r="KI190"/>
          <cell r="KJ190"/>
          <cell r="KK190"/>
          <cell r="KL190"/>
          <cell r="KM190"/>
          <cell r="KN190"/>
          <cell r="KO190"/>
          <cell r="KP190"/>
          <cell r="KQ190"/>
          <cell r="KR190"/>
          <cell r="KS190"/>
          <cell r="KT190"/>
          <cell r="KU190"/>
          <cell r="KV190"/>
          <cell r="KW190"/>
          <cell r="KX190"/>
          <cell r="KY190"/>
          <cell r="KZ190"/>
          <cell r="LA190"/>
          <cell r="LB190"/>
          <cell r="LC190"/>
          <cell r="LD190"/>
          <cell r="LE190"/>
          <cell r="LF190"/>
          <cell r="LG190"/>
          <cell r="LH190"/>
          <cell r="LI190"/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  <cell r="GF191"/>
          <cell r="GG191"/>
          <cell r="GH191"/>
          <cell r="GI191"/>
          <cell r="GJ191"/>
          <cell r="GK191"/>
          <cell r="GL191"/>
          <cell r="GM191"/>
          <cell r="GN191"/>
          <cell r="GO191"/>
          <cell r="GP191"/>
          <cell r="GQ191"/>
          <cell r="GR191"/>
          <cell r="GS191"/>
          <cell r="GT191"/>
          <cell r="GU191"/>
          <cell r="GV191"/>
          <cell r="GW191"/>
          <cell r="GX191"/>
          <cell r="GY191"/>
          <cell r="GZ191"/>
          <cell r="HA191"/>
          <cell r="HB191"/>
          <cell r="HC191"/>
          <cell r="HD191"/>
          <cell r="HE191"/>
          <cell r="HF191"/>
          <cell r="HG191"/>
          <cell r="HH191"/>
          <cell r="HI191"/>
          <cell r="HJ191"/>
          <cell r="HK191"/>
          <cell r="HL191"/>
          <cell r="HM191"/>
          <cell r="HN191"/>
          <cell r="HO191"/>
          <cell r="HP191"/>
          <cell r="HQ191"/>
          <cell r="HR191"/>
          <cell r="HS191"/>
          <cell r="HT191"/>
          <cell r="HU191"/>
          <cell r="HV191"/>
          <cell r="HW191"/>
          <cell r="HX191"/>
          <cell r="HY191"/>
          <cell r="HZ191"/>
          <cell r="IA191"/>
          <cell r="IB191"/>
          <cell r="IC191"/>
          <cell r="ID191"/>
          <cell r="IE191"/>
          <cell r="IF191"/>
          <cell r="IG191"/>
          <cell r="IH191"/>
          <cell r="II191"/>
          <cell r="IJ191"/>
          <cell r="IK191"/>
          <cell r="IL191"/>
          <cell r="IM191"/>
          <cell r="IN191"/>
          <cell r="IO191"/>
          <cell r="IP191"/>
          <cell r="IQ191"/>
          <cell r="IR191"/>
          <cell r="IS191"/>
          <cell r="IT191"/>
          <cell r="IU191"/>
          <cell r="IV191"/>
          <cell r="IW191"/>
          <cell r="IX191"/>
          <cell r="IY191"/>
          <cell r="IZ191"/>
          <cell r="JA191"/>
          <cell r="JB191"/>
          <cell r="JC191"/>
          <cell r="JD191"/>
          <cell r="JE191"/>
          <cell r="JF191"/>
          <cell r="JG191"/>
          <cell r="JH191"/>
          <cell r="JI191"/>
          <cell r="JJ191"/>
          <cell r="JK191"/>
          <cell r="JL191"/>
          <cell r="JM191"/>
          <cell r="JN191"/>
          <cell r="JO191"/>
          <cell r="JP191"/>
          <cell r="JQ191"/>
          <cell r="JR191"/>
          <cell r="JS191"/>
          <cell r="JT191"/>
          <cell r="JU191"/>
          <cell r="JV191"/>
          <cell r="JW191"/>
          <cell r="JX191"/>
          <cell r="JY191"/>
          <cell r="JZ191"/>
          <cell r="KA191"/>
          <cell r="KB191"/>
          <cell r="KC191"/>
          <cell r="KD191"/>
          <cell r="KE191"/>
          <cell r="KF191"/>
          <cell r="KG191"/>
          <cell r="KH191"/>
          <cell r="KI191"/>
          <cell r="KJ191"/>
          <cell r="KK191"/>
          <cell r="KL191"/>
          <cell r="KM191"/>
          <cell r="KN191"/>
          <cell r="KO191"/>
          <cell r="KP191"/>
          <cell r="KQ191"/>
          <cell r="KR191"/>
          <cell r="KS191"/>
          <cell r="KT191"/>
          <cell r="KU191"/>
          <cell r="KV191"/>
          <cell r="KW191"/>
          <cell r="KX191"/>
          <cell r="KY191"/>
          <cell r="KZ191"/>
          <cell r="LA191"/>
          <cell r="LB191"/>
          <cell r="LC191"/>
          <cell r="LD191"/>
          <cell r="LE191"/>
          <cell r="LF191"/>
          <cell r="LG191"/>
          <cell r="LH191"/>
          <cell r="LI191"/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  <cell r="GF192"/>
          <cell r="GG192"/>
          <cell r="GH192"/>
          <cell r="GI192"/>
          <cell r="GJ192"/>
          <cell r="GK192"/>
          <cell r="GL192"/>
          <cell r="GM192"/>
          <cell r="GN192"/>
          <cell r="GO192"/>
          <cell r="GP192"/>
          <cell r="GQ192"/>
          <cell r="GR192"/>
          <cell r="GS192"/>
          <cell r="GT192"/>
          <cell r="GU192"/>
          <cell r="GV192"/>
          <cell r="GW192"/>
          <cell r="GX192"/>
          <cell r="GY192"/>
          <cell r="GZ192"/>
          <cell r="HA192"/>
          <cell r="HB192"/>
          <cell r="HC192"/>
          <cell r="HD192"/>
          <cell r="HE192"/>
          <cell r="HF192"/>
          <cell r="HG192"/>
          <cell r="HH192"/>
          <cell r="HI192"/>
          <cell r="HJ192"/>
          <cell r="HK192"/>
          <cell r="HL192"/>
          <cell r="HM192"/>
          <cell r="HN192"/>
          <cell r="HO192"/>
          <cell r="HP192"/>
          <cell r="HQ192"/>
          <cell r="HR192"/>
          <cell r="HS192"/>
          <cell r="HT192"/>
          <cell r="HU192"/>
          <cell r="HV192"/>
          <cell r="HW192"/>
          <cell r="HX192"/>
          <cell r="HY192"/>
          <cell r="HZ192"/>
          <cell r="IA192"/>
          <cell r="IB192"/>
          <cell r="IC192"/>
          <cell r="ID192"/>
          <cell r="IE192"/>
          <cell r="IF192"/>
          <cell r="IG192"/>
          <cell r="IH192"/>
          <cell r="II192"/>
          <cell r="IJ192"/>
          <cell r="IK192"/>
          <cell r="IL192"/>
          <cell r="IM192"/>
          <cell r="IN192"/>
          <cell r="IO192"/>
          <cell r="IP192"/>
          <cell r="IQ192"/>
          <cell r="IR192"/>
          <cell r="IS192"/>
          <cell r="IT192"/>
          <cell r="IU192"/>
          <cell r="IV192"/>
          <cell r="IW192"/>
          <cell r="IX192"/>
          <cell r="IY192"/>
          <cell r="IZ192"/>
          <cell r="JA192"/>
          <cell r="JB192"/>
          <cell r="JC192"/>
          <cell r="JD192"/>
          <cell r="JE192"/>
          <cell r="JF192"/>
          <cell r="JG192"/>
          <cell r="JH192"/>
          <cell r="JI192"/>
          <cell r="JJ192"/>
          <cell r="JK192"/>
          <cell r="JL192"/>
          <cell r="JM192"/>
          <cell r="JN192"/>
          <cell r="JO192"/>
          <cell r="JP192"/>
          <cell r="JQ192"/>
          <cell r="JR192"/>
          <cell r="JS192"/>
          <cell r="JT192"/>
          <cell r="JU192"/>
          <cell r="JV192"/>
          <cell r="JW192"/>
          <cell r="JX192"/>
          <cell r="JY192"/>
          <cell r="JZ192"/>
          <cell r="KA192"/>
          <cell r="KB192"/>
          <cell r="KC192"/>
          <cell r="KD192"/>
          <cell r="KE192"/>
          <cell r="KF192"/>
          <cell r="KG192"/>
          <cell r="KH192"/>
          <cell r="KI192"/>
          <cell r="KJ192"/>
          <cell r="KK192"/>
          <cell r="KL192"/>
          <cell r="KM192"/>
          <cell r="KN192"/>
          <cell r="KO192"/>
          <cell r="KP192"/>
          <cell r="KQ192"/>
          <cell r="KR192"/>
          <cell r="KS192"/>
          <cell r="KT192"/>
          <cell r="KU192"/>
          <cell r="KV192"/>
          <cell r="KW192"/>
          <cell r="KX192"/>
          <cell r="KY192"/>
          <cell r="KZ192"/>
          <cell r="LA192"/>
          <cell r="LB192"/>
          <cell r="LC192"/>
          <cell r="LD192"/>
          <cell r="LE192"/>
          <cell r="LF192"/>
          <cell r="LG192"/>
          <cell r="LH192"/>
          <cell r="LI192"/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  <cell r="GF193"/>
          <cell r="GG193"/>
          <cell r="GH193"/>
          <cell r="GI193"/>
          <cell r="GJ193"/>
          <cell r="GK193"/>
          <cell r="GL193"/>
          <cell r="GM193"/>
          <cell r="GN193"/>
          <cell r="GO193"/>
          <cell r="GP193"/>
          <cell r="GQ193"/>
          <cell r="GR193"/>
          <cell r="GS193"/>
          <cell r="GT193"/>
          <cell r="GU193"/>
          <cell r="GV193"/>
          <cell r="GW193"/>
          <cell r="GX193"/>
          <cell r="GY193"/>
          <cell r="GZ193"/>
          <cell r="HA193"/>
          <cell r="HB193"/>
          <cell r="HC193"/>
          <cell r="HD193"/>
          <cell r="HE193"/>
          <cell r="HF193"/>
          <cell r="HG193"/>
          <cell r="HH193"/>
          <cell r="HI193"/>
          <cell r="HJ193"/>
          <cell r="HK193"/>
          <cell r="HL193"/>
          <cell r="HM193"/>
          <cell r="HN193"/>
          <cell r="HO193"/>
          <cell r="HP193"/>
          <cell r="HQ193"/>
          <cell r="HR193"/>
          <cell r="HS193"/>
          <cell r="HT193"/>
          <cell r="HU193"/>
          <cell r="HV193"/>
          <cell r="HW193"/>
          <cell r="HX193"/>
          <cell r="HY193"/>
          <cell r="HZ193"/>
          <cell r="IA193"/>
          <cell r="IB193"/>
          <cell r="IC193"/>
          <cell r="ID193"/>
          <cell r="IE193"/>
          <cell r="IF193"/>
          <cell r="IG193"/>
          <cell r="IH193"/>
          <cell r="II193"/>
          <cell r="IJ193"/>
          <cell r="IK193"/>
          <cell r="IL193"/>
          <cell r="IM193"/>
          <cell r="IN193"/>
          <cell r="IO193"/>
          <cell r="IP193"/>
          <cell r="IQ193"/>
          <cell r="IR193"/>
          <cell r="IS193"/>
          <cell r="IT193"/>
          <cell r="IU193"/>
          <cell r="IV193"/>
          <cell r="IW193"/>
          <cell r="IX193"/>
          <cell r="IY193"/>
          <cell r="IZ193"/>
          <cell r="JA193"/>
          <cell r="JB193"/>
          <cell r="JC193"/>
          <cell r="JD193"/>
          <cell r="JE193"/>
          <cell r="JF193"/>
          <cell r="JG193"/>
          <cell r="JH193"/>
          <cell r="JI193"/>
          <cell r="JJ193"/>
          <cell r="JK193"/>
          <cell r="JL193"/>
          <cell r="JM193"/>
          <cell r="JN193"/>
          <cell r="JO193"/>
          <cell r="JP193"/>
          <cell r="JQ193"/>
          <cell r="JR193"/>
          <cell r="JS193"/>
          <cell r="JT193"/>
          <cell r="JU193"/>
          <cell r="JV193"/>
          <cell r="JW193"/>
          <cell r="JX193"/>
          <cell r="JY193"/>
          <cell r="JZ193"/>
          <cell r="KA193"/>
          <cell r="KB193"/>
          <cell r="KC193"/>
          <cell r="KD193"/>
          <cell r="KE193"/>
          <cell r="KF193"/>
          <cell r="KG193"/>
          <cell r="KH193"/>
          <cell r="KI193"/>
          <cell r="KJ193"/>
          <cell r="KK193"/>
          <cell r="KL193"/>
          <cell r="KM193"/>
          <cell r="KN193"/>
          <cell r="KO193"/>
          <cell r="KP193"/>
          <cell r="KQ193"/>
          <cell r="KR193"/>
          <cell r="KS193"/>
          <cell r="KT193"/>
          <cell r="KU193"/>
          <cell r="KV193"/>
          <cell r="KW193"/>
          <cell r="KX193"/>
          <cell r="KY193"/>
          <cell r="KZ193"/>
          <cell r="LA193"/>
          <cell r="LB193"/>
          <cell r="LC193"/>
          <cell r="LD193"/>
          <cell r="LE193"/>
          <cell r="LF193"/>
          <cell r="LG193"/>
          <cell r="LH193"/>
          <cell r="LI193"/>
        </row>
        <row r="194"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  <cell r="FM194"/>
          <cell r="FN194"/>
          <cell r="FO194"/>
          <cell r="FP194"/>
          <cell r="FQ194"/>
          <cell r="FR194"/>
          <cell r="FS194"/>
          <cell r="FT194"/>
          <cell r="FU194"/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  <cell r="GF194"/>
          <cell r="GG194"/>
          <cell r="GH194"/>
          <cell r="GI194"/>
          <cell r="GJ194"/>
          <cell r="GK194"/>
          <cell r="GL194"/>
          <cell r="GM194"/>
          <cell r="GN194"/>
          <cell r="GO194"/>
          <cell r="GP194"/>
          <cell r="GQ194"/>
          <cell r="GR194"/>
          <cell r="GS194"/>
          <cell r="GT194"/>
          <cell r="GU194"/>
          <cell r="GV194"/>
          <cell r="GW194"/>
          <cell r="GX194"/>
          <cell r="GY194"/>
          <cell r="GZ194"/>
          <cell r="HA194"/>
          <cell r="HB194"/>
          <cell r="HC194"/>
          <cell r="HD194"/>
          <cell r="HE194"/>
          <cell r="HF194"/>
          <cell r="HG194"/>
          <cell r="HH194"/>
          <cell r="HI194"/>
          <cell r="HJ194"/>
          <cell r="HK194"/>
          <cell r="HL194"/>
          <cell r="HM194"/>
          <cell r="HN194"/>
          <cell r="HO194"/>
          <cell r="HP194"/>
          <cell r="HQ194"/>
          <cell r="HR194"/>
          <cell r="HS194"/>
          <cell r="HT194"/>
          <cell r="HU194"/>
          <cell r="HV194"/>
          <cell r="HW194"/>
          <cell r="HX194"/>
          <cell r="HY194"/>
          <cell r="HZ194"/>
          <cell r="IA194"/>
          <cell r="IB194"/>
          <cell r="IC194"/>
          <cell r="ID194"/>
          <cell r="IE194"/>
          <cell r="IF194"/>
          <cell r="IG194"/>
          <cell r="IH194"/>
          <cell r="II194"/>
          <cell r="IJ194"/>
          <cell r="IK194"/>
          <cell r="IL194"/>
          <cell r="IM194"/>
          <cell r="IN194"/>
          <cell r="IO194"/>
          <cell r="IP194"/>
          <cell r="IQ194"/>
          <cell r="IR194"/>
          <cell r="IS194"/>
          <cell r="IT194"/>
          <cell r="IU194"/>
          <cell r="IV194"/>
          <cell r="IW194"/>
          <cell r="IX194"/>
          <cell r="IY194"/>
          <cell r="IZ194"/>
          <cell r="JA194"/>
          <cell r="JB194"/>
          <cell r="JC194"/>
          <cell r="JD194"/>
          <cell r="JE194"/>
          <cell r="JF194"/>
          <cell r="JG194"/>
          <cell r="JH194"/>
          <cell r="JI194"/>
          <cell r="JJ194"/>
          <cell r="JK194"/>
          <cell r="JL194"/>
          <cell r="JM194"/>
          <cell r="JN194"/>
          <cell r="JO194"/>
          <cell r="JP194"/>
          <cell r="JQ194"/>
          <cell r="JR194"/>
          <cell r="JS194"/>
          <cell r="JT194"/>
          <cell r="JU194"/>
          <cell r="JV194"/>
          <cell r="JW194"/>
          <cell r="JX194"/>
          <cell r="JY194"/>
          <cell r="JZ194"/>
          <cell r="KA194"/>
          <cell r="KB194"/>
          <cell r="KC194"/>
          <cell r="KD194"/>
          <cell r="KE194"/>
          <cell r="KF194"/>
          <cell r="KG194"/>
          <cell r="KH194"/>
          <cell r="KI194"/>
          <cell r="KJ194"/>
          <cell r="KK194"/>
          <cell r="KL194"/>
          <cell r="KM194"/>
          <cell r="KN194"/>
          <cell r="KO194"/>
          <cell r="KP194"/>
          <cell r="KQ194"/>
          <cell r="KR194"/>
          <cell r="KS194"/>
          <cell r="KT194"/>
          <cell r="KU194"/>
          <cell r="KV194"/>
          <cell r="KW194"/>
          <cell r="KX194"/>
          <cell r="KY194"/>
          <cell r="KZ194"/>
          <cell r="LA194"/>
          <cell r="LB194"/>
          <cell r="LC194"/>
          <cell r="LD194"/>
          <cell r="LE194"/>
          <cell r="LF194"/>
          <cell r="LG194"/>
          <cell r="LH194"/>
          <cell r="LI194"/>
        </row>
        <row r="195"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  <cell r="GF195"/>
          <cell r="GG195"/>
          <cell r="GH195"/>
          <cell r="GI195"/>
          <cell r="GJ195"/>
          <cell r="GK195"/>
          <cell r="GL195"/>
          <cell r="GM195"/>
          <cell r="GN195"/>
          <cell r="GO195"/>
          <cell r="GP195"/>
          <cell r="GQ195"/>
          <cell r="GR195"/>
          <cell r="GS195"/>
          <cell r="GT195"/>
          <cell r="GU195"/>
          <cell r="GV195"/>
          <cell r="GW195"/>
          <cell r="GX195"/>
          <cell r="GY195"/>
          <cell r="GZ195"/>
          <cell r="HA195"/>
          <cell r="HB195"/>
          <cell r="HC195"/>
          <cell r="HD195"/>
          <cell r="HE195"/>
          <cell r="HF195"/>
          <cell r="HG195"/>
          <cell r="HH195"/>
          <cell r="HI195"/>
          <cell r="HJ195"/>
          <cell r="HK195"/>
          <cell r="HL195"/>
          <cell r="HM195"/>
          <cell r="HN195"/>
          <cell r="HO195"/>
          <cell r="HP195"/>
          <cell r="HQ195"/>
          <cell r="HR195"/>
          <cell r="HS195"/>
          <cell r="HT195"/>
          <cell r="HU195"/>
          <cell r="HV195"/>
          <cell r="HW195"/>
          <cell r="HX195"/>
          <cell r="HY195"/>
          <cell r="HZ195"/>
          <cell r="IA195"/>
          <cell r="IB195"/>
          <cell r="IC195"/>
          <cell r="ID195"/>
          <cell r="IE195"/>
          <cell r="IF195"/>
          <cell r="IG195"/>
          <cell r="IH195"/>
          <cell r="II195"/>
          <cell r="IJ195"/>
          <cell r="IK195"/>
          <cell r="IL195"/>
          <cell r="IM195"/>
          <cell r="IN195"/>
          <cell r="IO195"/>
          <cell r="IP195"/>
          <cell r="IQ195"/>
          <cell r="IR195"/>
          <cell r="IS195"/>
          <cell r="IT195"/>
          <cell r="IU195"/>
          <cell r="IV195"/>
          <cell r="IW195"/>
          <cell r="IX195"/>
          <cell r="IY195"/>
          <cell r="IZ195"/>
          <cell r="JA195"/>
          <cell r="JB195"/>
          <cell r="JC195"/>
          <cell r="JD195"/>
          <cell r="JE195"/>
          <cell r="JF195"/>
          <cell r="JG195"/>
          <cell r="JH195"/>
          <cell r="JI195"/>
          <cell r="JJ195"/>
          <cell r="JK195"/>
          <cell r="JL195"/>
          <cell r="JM195"/>
          <cell r="JN195"/>
          <cell r="JO195"/>
          <cell r="JP195"/>
          <cell r="JQ195"/>
          <cell r="JR195"/>
          <cell r="JS195"/>
          <cell r="JT195"/>
          <cell r="JU195"/>
          <cell r="JV195"/>
          <cell r="JW195"/>
          <cell r="JX195"/>
          <cell r="JY195"/>
          <cell r="JZ195"/>
          <cell r="KA195"/>
          <cell r="KB195"/>
          <cell r="KC195"/>
          <cell r="KD195"/>
          <cell r="KE195"/>
          <cell r="KF195"/>
          <cell r="KG195"/>
          <cell r="KH195"/>
          <cell r="KI195"/>
          <cell r="KJ195"/>
          <cell r="KK195"/>
          <cell r="KL195"/>
          <cell r="KM195"/>
          <cell r="KN195"/>
          <cell r="KO195"/>
          <cell r="KP195"/>
          <cell r="KQ195"/>
          <cell r="KR195"/>
          <cell r="KS195"/>
          <cell r="KT195"/>
          <cell r="KU195"/>
          <cell r="KV195"/>
          <cell r="KW195"/>
          <cell r="KX195"/>
          <cell r="KY195"/>
          <cell r="KZ195"/>
          <cell r="LA195"/>
          <cell r="LB195"/>
          <cell r="LC195"/>
          <cell r="LD195"/>
          <cell r="LE195"/>
          <cell r="LF195"/>
          <cell r="LG195"/>
          <cell r="LH195"/>
          <cell r="LI195"/>
        </row>
        <row r="196"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  <cell r="GF196"/>
          <cell r="GG196"/>
          <cell r="GH196"/>
          <cell r="GI196"/>
          <cell r="GJ196"/>
          <cell r="GK196"/>
          <cell r="GL196"/>
          <cell r="GM196"/>
          <cell r="GN196"/>
          <cell r="GO196"/>
          <cell r="GP196"/>
          <cell r="GQ196"/>
          <cell r="GR196"/>
          <cell r="GS196"/>
          <cell r="GT196"/>
          <cell r="GU196"/>
          <cell r="GV196"/>
          <cell r="GW196"/>
          <cell r="GX196"/>
          <cell r="GY196"/>
          <cell r="GZ196"/>
          <cell r="HA196"/>
          <cell r="HB196"/>
          <cell r="HC196"/>
          <cell r="HD196"/>
          <cell r="HE196"/>
          <cell r="HF196"/>
          <cell r="HG196"/>
          <cell r="HH196"/>
          <cell r="HI196"/>
          <cell r="HJ196"/>
          <cell r="HK196"/>
          <cell r="HL196"/>
          <cell r="HM196"/>
          <cell r="HN196"/>
          <cell r="HO196"/>
          <cell r="HP196"/>
          <cell r="HQ196"/>
          <cell r="HR196"/>
          <cell r="HS196"/>
          <cell r="HT196"/>
          <cell r="HU196"/>
          <cell r="HV196"/>
          <cell r="HW196"/>
          <cell r="HX196"/>
          <cell r="HY196"/>
          <cell r="HZ196"/>
          <cell r="IA196"/>
          <cell r="IB196"/>
          <cell r="IC196"/>
          <cell r="ID196"/>
          <cell r="IE196"/>
          <cell r="IF196"/>
          <cell r="IG196"/>
          <cell r="IH196"/>
          <cell r="II196"/>
          <cell r="IJ196"/>
          <cell r="IK196"/>
          <cell r="IL196"/>
          <cell r="IM196"/>
          <cell r="IN196"/>
          <cell r="IO196"/>
          <cell r="IP196"/>
          <cell r="IQ196"/>
          <cell r="IR196"/>
          <cell r="IS196"/>
          <cell r="IT196"/>
          <cell r="IU196"/>
          <cell r="IV196"/>
          <cell r="IW196"/>
          <cell r="IX196"/>
          <cell r="IY196"/>
          <cell r="IZ196"/>
          <cell r="JA196"/>
          <cell r="JB196"/>
          <cell r="JC196"/>
          <cell r="JD196"/>
          <cell r="JE196"/>
          <cell r="JF196"/>
          <cell r="JG196"/>
          <cell r="JH196"/>
          <cell r="JI196"/>
          <cell r="JJ196"/>
          <cell r="JK196"/>
          <cell r="JL196"/>
          <cell r="JM196"/>
          <cell r="JN196"/>
          <cell r="JO196"/>
          <cell r="JP196"/>
          <cell r="JQ196"/>
          <cell r="JR196"/>
          <cell r="JS196"/>
          <cell r="JT196"/>
          <cell r="JU196"/>
          <cell r="JV196"/>
          <cell r="JW196"/>
          <cell r="JX196"/>
          <cell r="JY196"/>
          <cell r="JZ196"/>
          <cell r="KA196"/>
          <cell r="KB196"/>
          <cell r="KC196"/>
          <cell r="KD196"/>
          <cell r="KE196"/>
          <cell r="KF196"/>
          <cell r="KG196"/>
          <cell r="KH196"/>
          <cell r="KI196"/>
          <cell r="KJ196"/>
          <cell r="KK196"/>
          <cell r="KL196"/>
          <cell r="KM196"/>
          <cell r="KN196"/>
          <cell r="KO196"/>
          <cell r="KP196"/>
          <cell r="KQ196"/>
          <cell r="KR196"/>
          <cell r="KS196"/>
          <cell r="KT196"/>
          <cell r="KU196"/>
          <cell r="KV196"/>
          <cell r="KW196"/>
          <cell r="KX196"/>
          <cell r="KY196"/>
          <cell r="KZ196"/>
          <cell r="LA196"/>
          <cell r="LB196"/>
          <cell r="LC196"/>
          <cell r="LD196"/>
          <cell r="LE196"/>
          <cell r="LF196"/>
          <cell r="LG196"/>
          <cell r="LH196"/>
          <cell r="LI196"/>
        </row>
        <row r="212">
          <cell r="EH212"/>
        </row>
        <row r="215">
          <cell r="E215" t="str">
            <v>PLAN OSTVARENJA BUDŽETA</v>
          </cell>
          <cell r="F215">
            <v>2006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>
            <v>2007</v>
          </cell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2008</v>
          </cell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>
            <v>2009</v>
          </cell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>
            <v>2010</v>
          </cell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>
            <v>2011</v>
          </cell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>
            <v>2012</v>
          </cell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>
            <v>2013</v>
          </cell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>
            <v>2014</v>
          </cell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>
            <v>2015</v>
          </cell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</row>
        <row r="216">
          <cell r="E216"/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/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/>
          <cell r="B219"/>
          <cell r="C219">
            <v>711</v>
          </cell>
          <cell r="D219" t="str">
            <v>711p</v>
          </cell>
          <cell r="E219" t="str">
            <v>Porezi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/>
          <cell r="B228"/>
          <cell r="C228">
            <v>712</v>
          </cell>
          <cell r="D228" t="str">
            <v>712p</v>
          </cell>
          <cell r="E228" t="str">
            <v>Doprinosi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/>
          <cell r="B233"/>
          <cell r="C233">
            <v>713</v>
          </cell>
          <cell r="D233" t="str">
            <v>713p</v>
          </cell>
          <cell r="E233" t="str">
            <v>Takse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/>
          <cell r="B238"/>
          <cell r="C238">
            <v>714</v>
          </cell>
          <cell r="D238" t="str">
            <v>714p</v>
          </cell>
          <cell r="E238" t="str">
            <v>Naknade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/>
        </row>
        <row r="239">
          <cell r="D239" t="str">
            <v>7141p</v>
          </cell>
          <cell r="E239" t="str">
            <v>Naknade za korišćenje dobara od opšteg interesa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/>
          <cell r="B245"/>
          <cell r="C245">
            <v>715</v>
          </cell>
          <cell r="D245" t="str">
            <v>715p</v>
          </cell>
          <cell r="E245" t="str">
            <v>Ostali prihodi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/>
        </row>
        <row r="246">
          <cell r="D246" t="str">
            <v>7151p</v>
          </cell>
          <cell r="E246" t="str">
            <v>Prihodi od kapitala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/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>
            <v>0</v>
          </cell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/>
          <cell r="CS251"/>
          <cell r="CT251"/>
          <cell r="CU251"/>
          <cell r="CV251"/>
          <cell r="CW251"/>
          <cell r="CX251"/>
          <cell r="CY251"/>
          <cell r="CZ251"/>
          <cell r="DA251"/>
          <cell r="DB251"/>
          <cell r="DC251"/>
          <cell r="DD251"/>
          <cell r="DE251"/>
          <cell r="DF251"/>
          <cell r="DG251"/>
          <cell r="DH251"/>
          <cell r="DI251"/>
          <cell r="DJ251"/>
          <cell r="DK251"/>
          <cell r="DL251"/>
          <cell r="DM251"/>
          <cell r="DN251"/>
          <cell r="DO251"/>
          <cell r="DP251"/>
          <cell r="DQ251"/>
          <cell r="DR251"/>
          <cell r="DS251"/>
          <cell r="DT251"/>
          <cell r="DU251"/>
          <cell r="DV251"/>
          <cell r="DW251"/>
          <cell r="DX251"/>
          <cell r="DY251"/>
          <cell r="DZ251"/>
          <cell r="EA251"/>
          <cell r="EB251"/>
          <cell r="EC251"/>
          <cell r="ED251"/>
          <cell r="EE251"/>
          <cell r="EF251"/>
          <cell r="EG251"/>
          <cell r="EH251"/>
          <cell r="EI251"/>
          <cell r="EJ251"/>
          <cell r="EK251"/>
          <cell r="EL251"/>
          <cell r="EM251"/>
          <cell r="EN251"/>
          <cell r="EO251"/>
          <cell r="EP251"/>
          <cell r="EQ251"/>
          <cell r="ER251"/>
          <cell r="ES251"/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/>
          <cell r="CS252"/>
          <cell r="CT252"/>
          <cell r="CU252"/>
          <cell r="CV252"/>
          <cell r="CW252"/>
          <cell r="CX252"/>
          <cell r="CY252"/>
          <cell r="CZ252"/>
          <cell r="DA252"/>
          <cell r="DB252"/>
          <cell r="DC252"/>
          <cell r="DD252"/>
          <cell r="DE252"/>
          <cell r="DF252"/>
          <cell r="DG252"/>
          <cell r="DH252"/>
          <cell r="DI252"/>
          <cell r="DJ252"/>
          <cell r="DK252"/>
          <cell r="DL252"/>
          <cell r="DM252"/>
          <cell r="DN252"/>
          <cell r="DO252"/>
          <cell r="DP252"/>
          <cell r="DQ252"/>
          <cell r="DR252"/>
          <cell r="DS252"/>
          <cell r="DT252"/>
          <cell r="DU252"/>
          <cell r="DV252"/>
          <cell r="DW252"/>
          <cell r="DX252"/>
          <cell r="DY252"/>
          <cell r="DZ252"/>
          <cell r="EA252"/>
          <cell r="EB252"/>
          <cell r="EC252"/>
          <cell r="ED252"/>
          <cell r="EE252"/>
          <cell r="EF252"/>
          <cell r="EG252"/>
          <cell r="EH252"/>
          <cell r="EI252"/>
          <cell r="EJ252"/>
          <cell r="EK252"/>
          <cell r="EL252"/>
          <cell r="EM252"/>
          <cell r="EN252"/>
          <cell r="EO252"/>
          <cell r="EP252"/>
          <cell r="EQ252"/>
          <cell r="ER252"/>
          <cell r="ES252"/>
        </row>
        <row r="253">
          <cell r="A253"/>
          <cell r="B253">
            <v>73</v>
          </cell>
          <cell r="C253"/>
          <cell r="D253" t="str">
            <v>73p</v>
          </cell>
          <cell r="E253" t="str">
            <v>Primici od otplate kredita i sredstva prenesena iz prethodne godine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/>
          <cell r="CS255"/>
          <cell r="CT255"/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</row>
        <row r="256">
          <cell r="A256"/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/>
          <cell r="CS259"/>
          <cell r="CT259"/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</row>
        <row r="260">
          <cell r="A260"/>
          <cell r="B260"/>
          <cell r="C260">
            <v>751</v>
          </cell>
          <cell r="D260" t="str">
            <v>751p</v>
          </cell>
          <cell r="E260" t="str">
            <v>Pozajmice i krediti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>
            <v>133231658.01000001</v>
          </cell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/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>
            <v>52652196.172500007</v>
          </cell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/>
        </row>
        <row r="265">
          <cell r="A265"/>
          <cell r="B265"/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/>
          <cell r="DW266"/>
          <cell r="DX266"/>
          <cell r="DY266"/>
          <cell r="DZ266"/>
          <cell r="EA266"/>
          <cell r="EB266"/>
          <cell r="EC266"/>
          <cell r="ED266"/>
          <cell r="EE266"/>
          <cell r="EF266"/>
          <cell r="EG266"/>
          <cell r="EH266"/>
          <cell r="EI266"/>
          <cell r="EJ266"/>
          <cell r="EK266"/>
          <cell r="EL266"/>
          <cell r="EM266"/>
          <cell r="EN266"/>
          <cell r="EO266"/>
          <cell r="EP266"/>
          <cell r="EQ266"/>
          <cell r="ER266"/>
          <cell r="ES266"/>
        </row>
        <row r="267">
          <cell r="D267" t="str">
            <v>4112p</v>
          </cell>
          <cell r="E267" t="str">
            <v>Porez na zarade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/>
          <cell r="DW267"/>
          <cell r="DX267"/>
          <cell r="DY267"/>
          <cell r="DZ267"/>
          <cell r="EA267"/>
          <cell r="EB267"/>
          <cell r="EC267"/>
          <cell r="ED267"/>
          <cell r="EE267"/>
          <cell r="EF267"/>
          <cell r="EG267"/>
          <cell r="EH267"/>
          <cell r="EI267"/>
          <cell r="EJ267"/>
          <cell r="EK267"/>
          <cell r="EL267"/>
          <cell r="EM267"/>
          <cell r="EN267"/>
          <cell r="EO267"/>
          <cell r="EP267"/>
          <cell r="EQ267"/>
          <cell r="ER267"/>
          <cell r="ES267"/>
        </row>
        <row r="268">
          <cell r="D268" t="str">
            <v>4113p</v>
          </cell>
          <cell r="E268" t="str">
            <v>Doprinosi na teret zaposlenog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/>
          <cell r="DW268"/>
          <cell r="DX268"/>
          <cell r="DY268"/>
          <cell r="DZ268"/>
          <cell r="EA268"/>
          <cell r="EB268"/>
          <cell r="EC268"/>
          <cell r="ED268"/>
          <cell r="EE268"/>
          <cell r="EF268"/>
          <cell r="EG268"/>
          <cell r="EH268"/>
          <cell r="EI268"/>
          <cell r="EJ268"/>
          <cell r="EK268"/>
          <cell r="EL268"/>
          <cell r="EM268"/>
          <cell r="EN268"/>
          <cell r="EO268"/>
          <cell r="EP268"/>
          <cell r="EQ268"/>
          <cell r="ER268"/>
          <cell r="ES268"/>
        </row>
        <row r="269">
          <cell r="D269" t="str">
            <v>4114p</v>
          </cell>
          <cell r="E269" t="str">
            <v>Doprinosi na teret poslodavca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/>
          <cell r="DW269"/>
          <cell r="DX269"/>
          <cell r="DY269"/>
          <cell r="DZ269"/>
          <cell r="EA269"/>
          <cell r="EB269"/>
          <cell r="EC269"/>
          <cell r="ED269"/>
          <cell r="EE269"/>
          <cell r="EF269"/>
          <cell r="EG269"/>
          <cell r="EH269"/>
          <cell r="EI269"/>
          <cell r="EJ269"/>
          <cell r="EK269"/>
          <cell r="EL269"/>
          <cell r="EM269"/>
          <cell r="EN269"/>
          <cell r="EO269"/>
          <cell r="EP269"/>
          <cell r="EQ269"/>
          <cell r="ER269"/>
          <cell r="ES269"/>
        </row>
        <row r="270">
          <cell r="D270" t="str">
            <v>4115p</v>
          </cell>
          <cell r="E270" t="str">
            <v>Opštinski prirez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/>
          <cell r="DW270"/>
          <cell r="DX270"/>
          <cell r="DY270"/>
          <cell r="DZ270"/>
          <cell r="EA270"/>
          <cell r="EB270"/>
          <cell r="EC270"/>
          <cell r="ED270"/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</row>
        <row r="271">
          <cell r="A271"/>
          <cell r="B271"/>
          <cell r="C271">
            <v>412</v>
          </cell>
          <cell r="D271" t="str">
            <v>412p</v>
          </cell>
          <cell r="E271" t="str">
            <v>Ostala lična primanja</v>
          </cell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</row>
        <row r="273">
          <cell r="D273" t="str">
            <v>4122p</v>
          </cell>
          <cell r="E273" t="str">
            <v>Naknada za stanovanje i odvojen život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</row>
        <row r="274">
          <cell r="D274" t="str">
            <v>4123p</v>
          </cell>
          <cell r="E274" t="str">
            <v>Naknada za prevoz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</row>
        <row r="275">
          <cell r="D275" t="str">
            <v>4124p</v>
          </cell>
          <cell r="E275" t="str">
            <v>Jubilarne nagrade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</row>
        <row r="276">
          <cell r="D276" t="str">
            <v>4125p</v>
          </cell>
          <cell r="E276" t="str">
            <v>Otpremnine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</row>
        <row r="277">
          <cell r="D277" t="str">
            <v>4126p</v>
          </cell>
          <cell r="E277" t="str">
            <v>Naknada skupstinskim poslanicima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/>
          <cell r="DW277"/>
          <cell r="DX277"/>
          <cell r="DY277"/>
          <cell r="DZ277"/>
          <cell r="EA277"/>
          <cell r="EB277"/>
          <cell r="EC277"/>
          <cell r="ED277"/>
          <cell r="EE277"/>
          <cell r="EF277"/>
          <cell r="EG277"/>
          <cell r="EH277"/>
          <cell r="EI277"/>
          <cell r="EJ277"/>
          <cell r="EK277"/>
          <cell r="EL277"/>
          <cell r="EM277"/>
          <cell r="EN277"/>
          <cell r="EO277"/>
          <cell r="EP277"/>
          <cell r="EQ277"/>
          <cell r="ER277"/>
          <cell r="ES277"/>
        </row>
        <row r="278">
          <cell r="D278" t="str">
            <v>4127p</v>
          </cell>
          <cell r="E278" t="str">
            <v>Ostale naknade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</row>
        <row r="279">
          <cell r="A279"/>
          <cell r="B279"/>
          <cell r="C279">
            <v>413</v>
          </cell>
          <cell r="D279" t="str">
            <v>413p</v>
          </cell>
          <cell r="E279" t="str">
            <v>Rashodi za materijal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</row>
        <row r="281">
          <cell r="D281" t="str">
            <v>4132p</v>
          </cell>
          <cell r="E281" t="str">
            <v>Materijal za zdravstvenu zaštitu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</row>
        <row r="282">
          <cell r="D282" t="str">
            <v>4133p</v>
          </cell>
          <cell r="E282" t="str">
            <v>Materijal za posebne namjene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</row>
        <row r="283">
          <cell r="D283" t="str">
            <v>4134p</v>
          </cell>
          <cell r="E283" t="str">
            <v>Rashodi za energiju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</row>
        <row r="284">
          <cell r="D284" t="str">
            <v>4135p</v>
          </cell>
          <cell r="E284" t="str">
            <v>Rashodi za gorivo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</row>
        <row r="285">
          <cell r="D285" t="str">
            <v>4139p</v>
          </cell>
          <cell r="E285" t="str">
            <v>Ostali rashodi za materijal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/>
          <cell r="CS285"/>
          <cell r="CT285"/>
          <cell r="CU285"/>
          <cell r="CV285"/>
          <cell r="CW285"/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/>
          <cell r="DW285"/>
          <cell r="DX285"/>
          <cell r="DY285"/>
          <cell r="DZ285"/>
          <cell r="EA285"/>
          <cell r="EB285"/>
          <cell r="EC285"/>
          <cell r="ED285"/>
          <cell r="EE285"/>
          <cell r="EF285"/>
          <cell r="EG285"/>
          <cell r="EH285"/>
          <cell r="EI285"/>
          <cell r="EJ285"/>
          <cell r="EK285"/>
          <cell r="EL285"/>
          <cell r="EM285"/>
          <cell r="EN285"/>
          <cell r="EO285"/>
          <cell r="EP285"/>
          <cell r="EQ285"/>
          <cell r="ER285"/>
          <cell r="ES285"/>
        </row>
        <row r="286">
          <cell r="A286"/>
          <cell r="B286"/>
          <cell r="C286">
            <v>414</v>
          </cell>
          <cell r="D286" t="str">
            <v>414p</v>
          </cell>
          <cell r="E286" t="str">
            <v>Rashodi za usluge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</row>
        <row r="288">
          <cell r="D288" t="str">
            <v>4142p</v>
          </cell>
          <cell r="E288" t="str">
            <v>Reprezentacija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</row>
        <row r="289">
          <cell r="D289" t="str">
            <v>4143p</v>
          </cell>
          <cell r="E289" t="str">
            <v>Komunikacione usluge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</row>
        <row r="290">
          <cell r="D290" t="str">
            <v>4144p</v>
          </cell>
          <cell r="E290" t="str">
            <v>Bankarske usluge i negativne kursne razlike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</row>
        <row r="291">
          <cell r="D291" t="str">
            <v>4145p</v>
          </cell>
          <cell r="E291" t="str">
            <v>Usluge prevoza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</row>
        <row r="292">
          <cell r="D292" t="str">
            <v>4146p</v>
          </cell>
          <cell r="E292" t="str">
            <v>Advokatske, notarske i pravne usluge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/>
          <cell r="DW292"/>
          <cell r="DX292"/>
          <cell r="DY292"/>
          <cell r="DZ292"/>
          <cell r="EA292"/>
          <cell r="EB292"/>
          <cell r="EC292"/>
          <cell r="ED292"/>
          <cell r="EE292"/>
          <cell r="EF292"/>
          <cell r="EG292"/>
          <cell r="EH292"/>
          <cell r="EI292"/>
          <cell r="EJ292"/>
          <cell r="EK292"/>
          <cell r="EL292"/>
          <cell r="EM292"/>
          <cell r="EN292"/>
          <cell r="EO292"/>
          <cell r="EP292"/>
          <cell r="EQ292"/>
          <cell r="ER292"/>
          <cell r="ES292"/>
        </row>
        <row r="293">
          <cell r="D293" t="str">
            <v>4147p</v>
          </cell>
          <cell r="E293" t="str">
            <v>Konsultantske usluge, projekti i studije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</row>
        <row r="294">
          <cell r="D294" t="str">
            <v>4148p</v>
          </cell>
          <cell r="E294" t="str">
            <v>Usluge stručnog usavršavanja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</row>
        <row r="295">
          <cell r="D295" t="str">
            <v>4149p</v>
          </cell>
          <cell r="E295" t="str">
            <v>Ostale usluge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</row>
        <row r="296">
          <cell r="A296"/>
          <cell r="B296"/>
          <cell r="C296">
            <v>415</v>
          </cell>
          <cell r="D296" t="str">
            <v>415p</v>
          </cell>
          <cell r="E296" t="str">
            <v>Rashodi za tekuće održavanje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</row>
        <row r="298">
          <cell r="D298" t="str">
            <v>4152p</v>
          </cell>
          <cell r="E298" t="str">
            <v>Tekuće održavanje građevinskih objekata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</row>
        <row r="299">
          <cell r="D299" t="str">
            <v>4153p</v>
          </cell>
          <cell r="E299" t="str">
            <v>Tekuće održavanje opreme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</row>
        <row r="300">
          <cell r="A300"/>
          <cell r="B300"/>
          <cell r="C300">
            <v>416</v>
          </cell>
          <cell r="D300" t="str">
            <v>416p</v>
          </cell>
          <cell r="E300" t="str">
            <v>Kamate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</row>
        <row r="302">
          <cell r="D302" t="str">
            <v>4162p</v>
          </cell>
          <cell r="E302" t="str">
            <v>Kamate nerezidentima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/>
          <cell r="DW302"/>
          <cell r="DX302"/>
          <cell r="DY302"/>
          <cell r="DZ302"/>
          <cell r="EA302"/>
          <cell r="EB302"/>
          <cell r="EC302"/>
          <cell r="ED302"/>
          <cell r="EE302"/>
          <cell r="EF302"/>
          <cell r="EG302"/>
          <cell r="EH302"/>
          <cell r="EI302"/>
          <cell r="EJ302"/>
          <cell r="EK302"/>
          <cell r="EL302"/>
          <cell r="EM302"/>
          <cell r="EN302"/>
          <cell r="EO302"/>
          <cell r="EP302"/>
          <cell r="EQ302"/>
          <cell r="ER302"/>
          <cell r="ES302"/>
        </row>
        <row r="303">
          <cell r="A303"/>
          <cell r="B303"/>
          <cell r="C303">
            <v>417</v>
          </cell>
          <cell r="D303" t="str">
            <v>417p</v>
          </cell>
          <cell r="E303" t="str">
            <v>Renta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</row>
        <row r="305">
          <cell r="D305" t="str">
            <v>4172p</v>
          </cell>
          <cell r="E305" t="str">
            <v>Zakup opreme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</row>
        <row r="306">
          <cell r="D306" t="str">
            <v>4173p</v>
          </cell>
          <cell r="E306" t="str">
            <v>Zakup zemljišta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/>
          <cell r="DW306"/>
          <cell r="DX306"/>
          <cell r="DY306"/>
          <cell r="DZ306"/>
          <cell r="EA306"/>
          <cell r="EB306"/>
          <cell r="EC306"/>
          <cell r="ED306"/>
          <cell r="EE306"/>
          <cell r="EF306"/>
          <cell r="EG306"/>
          <cell r="EH306"/>
          <cell r="EI306"/>
          <cell r="EJ306"/>
          <cell r="EK306"/>
          <cell r="EL306"/>
          <cell r="EM306"/>
          <cell r="EN306"/>
          <cell r="EO306"/>
          <cell r="EP306"/>
          <cell r="EQ306"/>
          <cell r="ER306"/>
          <cell r="ES306"/>
        </row>
        <row r="307">
          <cell r="A307"/>
          <cell r="B307"/>
          <cell r="C307">
            <v>418</v>
          </cell>
          <cell r="D307" t="str">
            <v>418p</v>
          </cell>
          <cell r="E307" t="str">
            <v>Subvencije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</row>
        <row r="309">
          <cell r="D309" t="str">
            <v>4182p</v>
          </cell>
          <cell r="E309" t="str">
            <v>Izvozne subvencije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/>
          <cell r="CS309"/>
          <cell r="CT309"/>
          <cell r="CU309"/>
          <cell r="CV309"/>
          <cell r="CW309"/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/>
          <cell r="DW309"/>
          <cell r="DX309"/>
          <cell r="DY309"/>
          <cell r="DZ309"/>
          <cell r="EA309"/>
          <cell r="EB309"/>
          <cell r="EC309"/>
          <cell r="ED309"/>
          <cell r="EE309"/>
          <cell r="EF309"/>
          <cell r="EG309"/>
          <cell r="EH309"/>
          <cell r="EI309"/>
          <cell r="EJ309"/>
          <cell r="EK309"/>
          <cell r="EL309"/>
          <cell r="EM309"/>
          <cell r="EN309"/>
          <cell r="EO309"/>
          <cell r="EP309"/>
          <cell r="EQ309"/>
          <cell r="ER309"/>
          <cell r="ES309"/>
        </row>
        <row r="310">
          <cell r="D310" t="str">
            <v>4183p</v>
          </cell>
          <cell r="E310" t="str">
            <v>Uvozne subvencije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/>
          <cell r="CS310"/>
          <cell r="CT310"/>
          <cell r="CU310"/>
          <cell r="CV310"/>
          <cell r="CW310"/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</row>
        <row r="311">
          <cell r="A311"/>
          <cell r="B311"/>
          <cell r="C311">
            <v>419</v>
          </cell>
          <cell r="D311" t="str">
            <v>419p</v>
          </cell>
          <cell r="E311" t="str">
            <v>Ostali izdaci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</row>
        <row r="313">
          <cell r="D313" t="str">
            <v>4192p</v>
          </cell>
          <cell r="E313" t="str">
            <v>Izdaci po osnovu troškova sudskih postupaka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/>
          <cell r="DW313"/>
          <cell r="DX313"/>
          <cell r="DY313"/>
          <cell r="DZ313"/>
          <cell r="EA313"/>
          <cell r="EB313"/>
          <cell r="EC313"/>
          <cell r="ED313"/>
          <cell r="EE313"/>
          <cell r="EF313"/>
          <cell r="EG313"/>
          <cell r="EH313"/>
          <cell r="EI313"/>
          <cell r="EJ313"/>
          <cell r="EK313"/>
          <cell r="EL313"/>
          <cell r="EM313"/>
          <cell r="EN313"/>
          <cell r="EO313"/>
          <cell r="EP313"/>
          <cell r="EQ313"/>
          <cell r="ER313"/>
          <cell r="ES313"/>
        </row>
        <row r="314">
          <cell r="D314" t="str">
            <v>4193p</v>
          </cell>
          <cell r="E314" t="str">
            <v>Izrada i održavanje softvera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</row>
        <row r="315">
          <cell r="D315" t="str">
            <v>4194p</v>
          </cell>
          <cell r="E315" t="str">
            <v>Osiguranje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</row>
        <row r="316">
          <cell r="D316" t="str">
            <v>4195p</v>
          </cell>
          <cell r="E316" t="str">
            <v>Kontribucije za članstvo u domaćim i međunarodnim organizacijama</v>
          </cell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</row>
        <row r="317">
          <cell r="D317" t="str">
            <v>4196p</v>
          </cell>
          <cell r="E317" t="str">
            <v>Komunalne naknade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/>
          <cell r="DW317"/>
          <cell r="DX317"/>
          <cell r="DY317"/>
          <cell r="DZ317"/>
          <cell r="EA317"/>
          <cell r="EB317"/>
          <cell r="EC317"/>
          <cell r="ED317"/>
          <cell r="EE317"/>
          <cell r="EF317"/>
          <cell r="EG317"/>
          <cell r="EH317"/>
          <cell r="EI317"/>
          <cell r="EJ317"/>
          <cell r="EK317"/>
          <cell r="EL317"/>
          <cell r="EM317"/>
          <cell r="EN317"/>
          <cell r="EO317"/>
          <cell r="EP317"/>
          <cell r="EQ317"/>
          <cell r="ER317"/>
          <cell r="ES317"/>
        </row>
        <row r="318">
          <cell r="D318" t="str">
            <v>4197p</v>
          </cell>
          <cell r="E318" t="str">
            <v>Kazne</v>
          </cell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</row>
        <row r="319">
          <cell r="D319" t="str">
            <v>4198p</v>
          </cell>
          <cell r="E319" t="str">
            <v>Takse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</row>
        <row r="320">
          <cell r="D320" t="str">
            <v>4199p</v>
          </cell>
          <cell r="E320" t="str">
            <v>Ostalo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</row>
        <row r="321">
          <cell r="A321"/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/>
          <cell r="B322"/>
          <cell r="C322">
            <v>421</v>
          </cell>
          <cell r="D322" t="str">
            <v>421p</v>
          </cell>
          <cell r="E322" t="str">
            <v>Prava iz oblasti socijalne zaštite</v>
          </cell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</row>
        <row r="324">
          <cell r="D324" t="str">
            <v>4212p</v>
          </cell>
          <cell r="E324" t="str">
            <v>Boračko invalidska zaštita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</row>
        <row r="325">
          <cell r="D325" t="str">
            <v>4213p</v>
          </cell>
          <cell r="E325" t="str">
            <v>Materijalno obezbjeđenje porodice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</row>
        <row r="326">
          <cell r="D326" t="str">
            <v>4214p</v>
          </cell>
          <cell r="E326" t="str">
            <v>Porodiljska odsustva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</row>
        <row r="327">
          <cell r="D327" t="str">
            <v>4215p</v>
          </cell>
          <cell r="E327" t="str">
            <v>Tuđa njega i pomoć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</row>
        <row r="328">
          <cell r="D328" t="str">
            <v>4216p</v>
          </cell>
          <cell r="E328" t="str">
            <v>Ishrana djece u predškolskim ustanovama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</row>
        <row r="329">
          <cell r="D329" t="str">
            <v>4217p</v>
          </cell>
          <cell r="E329" t="str">
            <v>Izdržavanje štićenika u domovima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</row>
        <row r="330">
          <cell r="A330"/>
          <cell r="B330"/>
          <cell r="C330">
            <v>422</v>
          </cell>
          <cell r="D330" t="str">
            <v>422p</v>
          </cell>
          <cell r="E330" t="str">
            <v>Sredstva za tehnološke viškove</v>
          </cell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</row>
        <row r="332">
          <cell r="D332" t="str">
            <v>4222p</v>
          </cell>
          <cell r="E332" t="str">
            <v>Otpremnine za tehnološke viškove</v>
          </cell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</row>
        <row r="333">
          <cell r="D333" t="str">
            <v>4223p</v>
          </cell>
          <cell r="E333" t="str">
            <v>Dokup staža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/>
          <cell r="CM333"/>
          <cell r="CN333"/>
          <cell r="CO333"/>
          <cell r="CP333"/>
          <cell r="CQ333"/>
          <cell r="CR333"/>
          <cell r="CS333"/>
          <cell r="CT333"/>
          <cell r="CU333"/>
          <cell r="CV333"/>
          <cell r="CW333"/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</row>
        <row r="334">
          <cell r="D334" t="str">
            <v>4224p</v>
          </cell>
          <cell r="E334" t="str">
            <v>Naknade nezaposlenim licima</v>
          </cell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</row>
        <row r="335">
          <cell r="D335" t="str">
            <v>4225p</v>
          </cell>
          <cell r="E335" t="str">
            <v>Ostalo</v>
          </cell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/>
          <cell r="CM335"/>
          <cell r="CN335"/>
          <cell r="CO335"/>
          <cell r="CP335"/>
          <cell r="CQ335"/>
          <cell r="CR335"/>
          <cell r="CS335"/>
          <cell r="CT335"/>
          <cell r="CU335"/>
          <cell r="CV335"/>
          <cell r="CW335"/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</row>
        <row r="336">
          <cell r="A336"/>
          <cell r="B336"/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</row>
        <row r="338">
          <cell r="D338" t="str">
            <v>4232p</v>
          </cell>
          <cell r="E338" t="str">
            <v>Invalidska penzija</v>
          </cell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</row>
        <row r="339">
          <cell r="D339" t="str">
            <v>4233p</v>
          </cell>
          <cell r="E339" t="str">
            <v>Porodična penzija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</row>
        <row r="340">
          <cell r="D340" t="str">
            <v>4234p</v>
          </cell>
          <cell r="E340" t="str">
            <v>Naknade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</row>
        <row r="341">
          <cell r="D341" t="str">
            <v>4235p</v>
          </cell>
          <cell r="E341" t="str">
            <v>Dodaci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</row>
        <row r="342">
          <cell r="D342" t="str">
            <v>4236p</v>
          </cell>
          <cell r="E342" t="str">
            <v>Ostala prava</v>
          </cell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</row>
        <row r="343">
          <cell r="D343" t="str">
            <v>4237p</v>
          </cell>
          <cell r="E343" t="str">
            <v>Doprinos za zdravstvenu zaštitu penzionera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</row>
        <row r="344">
          <cell r="A344"/>
          <cell r="B344"/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</row>
        <row r="346">
          <cell r="A346"/>
          <cell r="B346"/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</row>
        <row r="348">
          <cell r="D348" t="str">
            <v>4252p</v>
          </cell>
          <cell r="E348" t="str">
            <v>Naknade za bolovanje preko 60 dana</v>
          </cell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</row>
        <row r="349">
          <cell r="D349" t="str">
            <v>4253p</v>
          </cell>
          <cell r="E349" t="str">
            <v>Naknade za putne troškove osiguranika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FF349"/>
        </row>
        <row r="350">
          <cell r="A350" t="str">
            <v xml:space="preserve"> </v>
          </cell>
          <cell r="B350">
            <v>43</v>
          </cell>
          <cell r="C350"/>
          <cell r="D350" t="str">
            <v>43p</v>
          </cell>
          <cell r="E350" t="str">
            <v xml:space="preserve">Transferi institucijama, pojedincima, nevladinom i javnom sektoru </v>
          </cell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</row>
        <row r="353">
          <cell r="D353" t="str">
            <v>4312p</v>
          </cell>
          <cell r="E353" t="str">
            <v>Transferi obrazovanju</v>
          </cell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</row>
        <row r="354">
          <cell r="D354" t="str">
            <v>4313p</v>
          </cell>
          <cell r="E354" t="str">
            <v>Transferi institucijama kulture i sporta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</row>
        <row r="355">
          <cell r="D355" t="str">
            <v>4314p</v>
          </cell>
          <cell r="E355" t="str">
            <v>Transferi nevladinim organizacijama</v>
          </cell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</row>
        <row r="356">
          <cell r="D356" t="str">
            <v>4315p</v>
          </cell>
          <cell r="E356" t="str">
            <v>Transferi političkim partijama, strankama i udruženjima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</row>
        <row r="357">
          <cell r="D357" t="str">
            <v>4316p</v>
          </cell>
          <cell r="E357" t="str">
            <v>Transferi za jednokratne socijalne pomoći</v>
          </cell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</row>
        <row r="358">
          <cell r="D358" t="str">
            <v>4317p</v>
          </cell>
          <cell r="E358" t="str">
            <v>Transferi za lična primanja pripravnika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</row>
        <row r="359">
          <cell r="D359" t="str">
            <v>4318p</v>
          </cell>
          <cell r="E359" t="str">
            <v>Ostali transferi pojedincima</v>
          </cell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</row>
        <row r="360">
          <cell r="D360" t="str">
            <v>4319p</v>
          </cell>
          <cell r="E360" t="str">
            <v>Ostali transferi institucijama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</row>
        <row r="363">
          <cell r="D363" t="str">
            <v>4322p</v>
          </cell>
          <cell r="E363" t="str">
            <v>Transferi Fondu zdravstva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</row>
        <row r="364">
          <cell r="D364" t="str">
            <v>4323p</v>
          </cell>
          <cell r="E364" t="str">
            <v>Transferi zavodu za zapošljavanje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</row>
        <row r="365">
          <cell r="D365" t="str">
            <v>4324p</v>
          </cell>
          <cell r="E365" t="str">
            <v>Transferi opštinama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</row>
        <row r="366">
          <cell r="D366" t="str">
            <v>4325p</v>
          </cell>
          <cell r="E366" t="str">
            <v>Transferi budžetu države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</row>
        <row r="367">
          <cell r="D367" t="str">
            <v>4326p</v>
          </cell>
          <cell r="E367" t="str">
            <v>Transferi javnim preduzećima</v>
          </cell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</row>
        <row r="368">
          <cell r="A368"/>
          <cell r="B368"/>
          <cell r="C368">
            <v>441</v>
          </cell>
          <cell r="D368" t="str">
            <v>44p</v>
          </cell>
          <cell r="E368" t="str">
            <v>Kapitalni budžet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/>
          <cell r="B369"/>
          <cell r="C369">
            <v>441</v>
          </cell>
          <cell r="D369" t="str">
            <v>440p</v>
          </cell>
          <cell r="E369" t="str">
            <v>Kapitalni izdaci u tekućem budžetu</v>
          </cell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</row>
        <row r="371">
          <cell r="D371" t="str">
            <v>4412p</v>
          </cell>
          <cell r="E371" t="str">
            <v>Izdaci za lokalnu infrastrukturu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</row>
        <row r="372">
          <cell r="D372" t="str">
            <v>4413p</v>
          </cell>
          <cell r="E372" t="str">
            <v>Izdaci za građevinske objekte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</row>
        <row r="373">
          <cell r="D373" t="str">
            <v>4414p</v>
          </cell>
          <cell r="E373" t="str">
            <v>Izdaci za uređenje zemljišta</v>
          </cell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</row>
        <row r="374">
          <cell r="D374" t="str">
            <v>4415p</v>
          </cell>
          <cell r="E374" t="str">
            <v>Izdaci za opremu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/>
          <cell r="DW374"/>
          <cell r="DX374"/>
          <cell r="DY374"/>
          <cell r="DZ374"/>
          <cell r="EA374"/>
          <cell r="EB374"/>
          <cell r="EC374"/>
          <cell r="ED374"/>
          <cell r="EE374"/>
          <cell r="EF374"/>
          <cell r="EG374"/>
          <cell r="EH374"/>
          <cell r="EI374"/>
          <cell r="EJ374"/>
          <cell r="EK374"/>
          <cell r="EL374"/>
          <cell r="EM374"/>
          <cell r="EN374"/>
          <cell r="EO374"/>
          <cell r="EP374"/>
          <cell r="EQ374"/>
          <cell r="ER374"/>
          <cell r="ES374"/>
        </row>
        <row r="375">
          <cell r="D375" t="str">
            <v>4416p</v>
          </cell>
          <cell r="E375" t="str">
            <v>Izdaci za investiciono održavanje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/>
          <cell r="DW375"/>
          <cell r="DX375"/>
          <cell r="DY375"/>
          <cell r="DZ375"/>
          <cell r="EA375"/>
          <cell r="EB375"/>
          <cell r="EC375"/>
          <cell r="ED375"/>
          <cell r="EE375"/>
          <cell r="EF375"/>
          <cell r="EG375"/>
          <cell r="EH375"/>
          <cell r="EI375"/>
          <cell r="EJ375"/>
          <cell r="EK375"/>
          <cell r="EL375"/>
          <cell r="EM375"/>
          <cell r="EN375"/>
          <cell r="EO375"/>
          <cell r="EP375"/>
          <cell r="EQ375"/>
          <cell r="ER375"/>
          <cell r="ES375"/>
        </row>
        <row r="376">
          <cell r="D376" t="str">
            <v>4417p</v>
          </cell>
          <cell r="E376" t="str">
            <v>Izdaci za zalihe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</row>
        <row r="377">
          <cell r="D377" t="str">
            <v>4418p</v>
          </cell>
          <cell r="E377" t="str">
            <v>Izdaci za kupovinu hartija od vrijednosti</v>
          </cell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/>
          <cell r="CM377"/>
          <cell r="CN377"/>
          <cell r="CO377"/>
          <cell r="CP377"/>
          <cell r="CQ377"/>
          <cell r="CR377"/>
          <cell r="CS377"/>
          <cell r="CT377"/>
          <cell r="CU377"/>
          <cell r="CV377"/>
          <cell r="CW377"/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/>
          <cell r="CM378"/>
          <cell r="CN378"/>
          <cell r="CO378"/>
          <cell r="CP378"/>
          <cell r="CQ378"/>
          <cell r="CR378"/>
          <cell r="CS378"/>
          <cell r="CT378"/>
          <cell r="CU378"/>
          <cell r="CV378"/>
          <cell r="CW378"/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/>
          <cell r="DK378"/>
          <cell r="DL378"/>
          <cell r="DM378"/>
          <cell r="DN378"/>
          <cell r="DO378"/>
          <cell r="DP378"/>
          <cell r="DQ378"/>
          <cell r="DR378"/>
          <cell r="DS378"/>
          <cell r="DT378"/>
          <cell r="DU378"/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</row>
        <row r="379">
          <cell r="A379" t="str">
            <v xml:space="preserve"> </v>
          </cell>
          <cell r="B379">
            <v>45</v>
          </cell>
          <cell r="C379"/>
          <cell r="D379" t="str">
            <v>p</v>
          </cell>
          <cell r="E379" t="str">
            <v>Krediti i pozajmice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</row>
        <row r="381">
          <cell r="D381" t="str">
            <v>4511p</v>
          </cell>
          <cell r="E381" t="str">
            <v>Pozajmice i krediti nefinansijskim institucijama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/>
          <cell r="CM381"/>
          <cell r="CN381"/>
          <cell r="CO381"/>
          <cell r="CP381"/>
          <cell r="CQ381"/>
          <cell r="CR381"/>
          <cell r="CS381"/>
          <cell r="CT381"/>
          <cell r="CU381"/>
          <cell r="CV381"/>
          <cell r="CW381"/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</row>
        <row r="382">
          <cell r="D382" t="str">
            <v>4512p</v>
          </cell>
          <cell r="E382" t="str">
            <v>Pozajmice i krediti finansijskim institucijama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/>
          <cell r="CM382"/>
          <cell r="CN382"/>
          <cell r="CO382"/>
          <cell r="CP382"/>
          <cell r="CQ382"/>
          <cell r="CR382"/>
          <cell r="CS382"/>
          <cell r="CT382"/>
          <cell r="CU382"/>
          <cell r="CV382"/>
          <cell r="CW382"/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</row>
        <row r="383">
          <cell r="D383" t="str">
            <v>4513p</v>
          </cell>
          <cell r="E383" t="str">
            <v>Pozajmice i krediti pojedincima</v>
          </cell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</row>
        <row r="384">
          <cell r="D384" t="str">
            <v>4514p</v>
          </cell>
          <cell r="E384" t="str">
            <v>Pozajmice i krediti vanbudžetskim fondovima i opštinama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</row>
        <row r="385">
          <cell r="D385" t="str">
            <v>4515p</v>
          </cell>
          <cell r="E385" t="str">
            <v>Ostale pozajmice i krediti</v>
          </cell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/>
          <cell r="DW385"/>
          <cell r="DX385"/>
          <cell r="DY385"/>
          <cell r="DZ385"/>
          <cell r="EA385"/>
          <cell r="EB385"/>
          <cell r="EC385"/>
          <cell r="ED385"/>
          <cell r="EE385"/>
          <cell r="EF385"/>
          <cell r="EG385"/>
          <cell r="EH385"/>
          <cell r="EI385"/>
          <cell r="EJ385"/>
          <cell r="EK385"/>
          <cell r="EL385"/>
          <cell r="EM385"/>
          <cell r="EN385"/>
          <cell r="EO385"/>
          <cell r="EP385"/>
          <cell r="EQ385"/>
          <cell r="ER385"/>
          <cell r="ES385"/>
        </row>
        <row r="386">
          <cell r="A386" t="str">
            <v xml:space="preserve"> </v>
          </cell>
          <cell r="B386">
            <v>46</v>
          </cell>
          <cell r="C386"/>
          <cell r="D386" t="str">
            <v>p</v>
          </cell>
          <cell r="E386" t="str">
            <v>Otplata dugova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/>
          <cell r="B387"/>
          <cell r="C387">
            <v>461</v>
          </cell>
          <cell r="D387" t="str">
            <v>461p</v>
          </cell>
          <cell r="E387" t="str">
            <v>Otplata duga</v>
          </cell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/>
          <cell r="B390"/>
          <cell r="C390">
            <v>462</v>
          </cell>
          <cell r="D390" t="str">
            <v>462p</v>
          </cell>
          <cell r="E390" t="str">
            <v>Otplata garancija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/>
          <cell r="CM391"/>
          <cell r="CN391"/>
          <cell r="CO391"/>
          <cell r="CP391"/>
          <cell r="CQ391"/>
          <cell r="CR391"/>
          <cell r="CS391"/>
          <cell r="CT391"/>
          <cell r="CU391"/>
          <cell r="CV391"/>
          <cell r="CW391"/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/>
          <cell r="DK391"/>
          <cell r="DL391"/>
          <cell r="DM391"/>
          <cell r="DN391"/>
          <cell r="DO391"/>
          <cell r="DP391"/>
          <cell r="DQ391"/>
          <cell r="DR391"/>
          <cell r="DS391"/>
          <cell r="DT391"/>
          <cell r="DU391"/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</row>
        <row r="392">
          <cell r="D392" t="str">
            <v>4622p</v>
          </cell>
          <cell r="E392" t="str">
            <v>Otplata garancija u inostranstvu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/>
          <cell r="CM392"/>
          <cell r="CN392"/>
          <cell r="CO392"/>
          <cell r="CP392"/>
          <cell r="CQ392"/>
          <cell r="CR392"/>
          <cell r="CS392"/>
          <cell r="CT392"/>
          <cell r="CU392"/>
          <cell r="CV392"/>
          <cell r="CW392"/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/>
          <cell r="DK392"/>
          <cell r="DL392"/>
          <cell r="DM392"/>
          <cell r="DN392"/>
          <cell r="DO392"/>
          <cell r="DP392"/>
          <cell r="DQ392"/>
          <cell r="DR392"/>
          <cell r="DS392"/>
          <cell r="DT392"/>
          <cell r="DU392"/>
          <cell r="DV392"/>
          <cell r="DW392"/>
          <cell r="DX392"/>
          <cell r="DY392"/>
          <cell r="DZ392"/>
          <cell r="EA392"/>
          <cell r="EB392"/>
          <cell r="EC392"/>
          <cell r="ED392"/>
          <cell r="EE392"/>
          <cell r="EF392"/>
          <cell r="EG392"/>
          <cell r="EH392"/>
          <cell r="EI392"/>
          <cell r="EJ392"/>
          <cell r="EK392"/>
          <cell r="EL392"/>
          <cell r="EM392"/>
          <cell r="EN392"/>
          <cell r="EO392"/>
          <cell r="EP392"/>
          <cell r="EQ392"/>
          <cell r="ER392"/>
          <cell r="ES392"/>
        </row>
        <row r="393">
          <cell r="A393"/>
          <cell r="B393"/>
          <cell r="C393">
            <v>463</v>
          </cell>
          <cell r="D393" t="str">
            <v>4630p</v>
          </cell>
          <cell r="E393" t="str">
            <v>Otplata obaveza iz prethodnih godina</v>
          </cell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/>
          <cell r="D394" t="str">
            <v>47p</v>
          </cell>
          <cell r="E394" t="str">
            <v>Rezerve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/>
          <cell r="DW395"/>
          <cell r="DX395"/>
          <cell r="DY395"/>
          <cell r="DZ395"/>
          <cell r="EA395"/>
          <cell r="EB395"/>
          <cell r="EC395"/>
          <cell r="ED395"/>
          <cell r="EE395"/>
          <cell r="EF395"/>
          <cell r="EG395"/>
          <cell r="EH395"/>
          <cell r="EI395"/>
          <cell r="EJ395"/>
          <cell r="EK395"/>
          <cell r="EL395"/>
          <cell r="EM395"/>
          <cell r="EN395"/>
          <cell r="EO395"/>
          <cell r="EP395"/>
          <cell r="EQ395"/>
          <cell r="ER395"/>
          <cell r="ES395"/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/>
          <cell r="DW396"/>
          <cell r="DX396"/>
          <cell r="DY396"/>
          <cell r="DZ396"/>
          <cell r="EA396"/>
          <cell r="EB396"/>
          <cell r="EC396"/>
          <cell r="ED396"/>
          <cell r="EE396"/>
          <cell r="EF396"/>
          <cell r="EG396"/>
          <cell r="EH396"/>
          <cell r="EI396"/>
          <cell r="EJ396"/>
          <cell r="EK396"/>
          <cell r="EL396"/>
          <cell r="EM396"/>
          <cell r="EN396"/>
          <cell r="EO396"/>
          <cell r="EP396"/>
          <cell r="EQ396"/>
          <cell r="ER396"/>
          <cell r="ES396"/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/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</row>
        <row r="398">
          <cell r="D398">
            <v>1005</v>
          </cell>
          <cell r="E398" t="str">
            <v>Neto povećanje obaveza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/>
          <cell r="CY398"/>
          <cell r="CZ398"/>
          <cell r="DA398"/>
          <cell r="DB398"/>
          <cell r="DC398"/>
          <cell r="DD398"/>
          <cell r="DE398"/>
          <cell r="DF398"/>
          <cell r="DG398"/>
          <cell r="DH398"/>
          <cell r="DI398"/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</row>
        <row r="399"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/>
          <cell r="CM399"/>
          <cell r="CN399"/>
          <cell r="CO399"/>
          <cell r="CP399"/>
          <cell r="CQ399"/>
          <cell r="CR399"/>
          <cell r="CS399"/>
          <cell r="CT399"/>
          <cell r="CU399"/>
          <cell r="CV399"/>
          <cell r="CW399"/>
          <cell r="CX399"/>
          <cell r="CY399"/>
          <cell r="CZ399"/>
          <cell r="DA399"/>
          <cell r="DB399"/>
          <cell r="DC399"/>
          <cell r="DD399"/>
          <cell r="DE399"/>
          <cell r="DF399"/>
          <cell r="DG399"/>
          <cell r="DH399"/>
          <cell r="DI399"/>
          <cell r="DJ399"/>
          <cell r="DK399"/>
          <cell r="DL399"/>
          <cell r="DM399"/>
          <cell r="DN399"/>
          <cell r="DO399"/>
          <cell r="DP399"/>
          <cell r="DQ399"/>
          <cell r="DR399"/>
          <cell r="DS399"/>
          <cell r="DT399"/>
          <cell r="DU399"/>
          <cell r="EH399"/>
          <cell r="EI399"/>
          <cell r="EJ399"/>
          <cell r="EK399"/>
          <cell r="EL399"/>
          <cell r="EM399"/>
          <cell r="EN399"/>
          <cell r="EO399"/>
          <cell r="EP399"/>
          <cell r="EQ399"/>
          <cell r="ER399"/>
          <cell r="ES399"/>
        </row>
        <row r="400">
          <cell r="FF400"/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/>
          <cell r="E36"/>
          <cell r="F36"/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/>
          <cell r="E218"/>
          <cell r="F218"/>
          <cell r="G218"/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/>
          <cell r="E221"/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/>
          <cell r="E224"/>
          <cell r="F224"/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26">
          <cell r="D226"/>
          <cell r="E226"/>
          <cell r="F226"/>
        </row>
        <row r="227">
          <cell r="D227">
            <v>1005</v>
          </cell>
          <cell r="E227" t="str">
            <v>Neto povećanje obaveza</v>
          </cell>
          <cell r="F227" t="str">
            <v>Net increase of liabilities</v>
          </cell>
          <cell r="G227" t="str">
            <v>Neto povećanje obaveza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1">
          <cell r="G251" t="str">
            <v>Ostvarenje budžeta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2020-02</v>
      </c>
      <c r="O6" s="145" t="str">
        <f>+CONCATENATE(N6,"p")</f>
        <v>2020-02p</v>
      </c>
      <c r="P6" s="130"/>
      <c r="Q6" s="130"/>
      <c r="R6" s="145" t="str">
        <f>+IF(Master!B3-10&gt;=0,CONCATENATE(Master!B4-1,"-",Master!B3),CONCATENATE(Master!B4-1,"-0",Master!B3))</f>
        <v>2019-02</v>
      </c>
      <c r="S6" s="130"/>
      <c r="T6" s="130"/>
    </row>
    <row r="7" spans="1:20">
      <c r="A7" s="146"/>
      <c r="B7" s="508" t="s">
        <v>694</v>
      </c>
      <c r="C7" s="509"/>
      <c r="D7" s="509"/>
      <c r="E7" s="509"/>
      <c r="F7" s="509"/>
      <c r="G7" s="517" t="s">
        <v>693</v>
      </c>
      <c r="H7" s="518"/>
      <c r="I7" s="518"/>
      <c r="J7" s="518"/>
      <c r="K7" s="518"/>
      <c r="L7" s="518"/>
      <c r="M7" s="519"/>
      <c r="N7" s="520" t="str">
        <f>+Master!G241</f>
        <v>Decembar</v>
      </c>
      <c r="O7" s="518"/>
      <c r="P7" s="518"/>
      <c r="Q7" s="518"/>
      <c r="R7" s="518"/>
      <c r="S7" s="518"/>
      <c r="T7" s="521"/>
    </row>
    <row r="8" spans="1:20">
      <c r="A8" s="146"/>
      <c r="B8" s="510"/>
      <c r="C8" s="511"/>
      <c r="D8" s="511"/>
      <c r="E8" s="511"/>
      <c r="F8" s="512"/>
      <c r="G8" s="147" t="str">
        <f>+Master!G24</f>
        <v>Ostvarenje</v>
      </c>
      <c r="H8" s="147" t="str">
        <f>+Master!G23</f>
        <v>Plan</v>
      </c>
      <c r="I8" s="506" t="str">
        <f>+Master!G259</f>
        <v>Odstupanje</v>
      </c>
      <c r="J8" s="506"/>
      <c r="K8" s="147" t="str">
        <f>+CONCATENATE(Master!G244," ",Master!B4-1)</f>
        <v>Jan - Feb 2019</v>
      </c>
      <c r="L8" s="506" t="str">
        <f>+I8</f>
        <v>Odstupanje</v>
      </c>
      <c r="M8" s="516"/>
      <c r="N8" s="148" t="str">
        <f>+G8</f>
        <v>Ostvarenje</v>
      </c>
      <c r="O8" s="147" t="str">
        <f>+H8</f>
        <v>Plan</v>
      </c>
      <c r="P8" s="506" t="str">
        <f>+I8</f>
        <v>Odstupanje</v>
      </c>
      <c r="Q8" s="506"/>
      <c r="R8" s="147" t="str">
        <f>+CONCATENATE(Master!G243," ",Master!B4-1)</f>
        <v>Februar 2019</v>
      </c>
      <c r="S8" s="506" t="str">
        <f>+P8</f>
        <v>Odstupanje</v>
      </c>
      <c r="T8" s="507"/>
    </row>
    <row r="9" spans="1:20" ht="15.7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476" t="str">
        <f>+VLOOKUP($A10,Master!$D$28:$G$224,4,FALSE)</f>
        <v>Prihodi budžeta</v>
      </c>
      <c r="C10" s="477"/>
      <c r="D10" s="477"/>
      <c r="E10" s="477"/>
      <c r="F10" s="477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478" t="str">
        <f>+VLOOKUP($A11,Master!$D$28:$G$224,4,FALSE)</f>
        <v>Porezi</v>
      </c>
      <c r="C11" s="479"/>
      <c r="D11" s="479"/>
      <c r="E11" s="479"/>
      <c r="F11" s="479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480" t="str">
        <f>+VLOOKUP($A12,Master!$D$28:$G$224,4,FALSE)</f>
        <v>Porez na dohodak fizičkih lica</v>
      </c>
      <c r="C12" s="481"/>
      <c r="D12" s="481"/>
      <c r="E12" s="481"/>
      <c r="F12" s="481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480" t="str">
        <f>+VLOOKUP($A13,Master!$D$28:$G$224,4,FALSE)</f>
        <v>Porez na dobit pravnih lica</v>
      </c>
      <c r="C13" s="481"/>
      <c r="D13" s="481"/>
      <c r="E13" s="481"/>
      <c r="F13" s="481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480" t="str">
        <f>+VLOOKUP($A14,Master!$D$28:$G$224,4,FALSE)</f>
        <v>Porez na promet nepokretnosti</v>
      </c>
      <c r="C14" s="481"/>
      <c r="D14" s="481"/>
      <c r="E14" s="481"/>
      <c r="F14" s="481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480" t="str">
        <f>+VLOOKUP($A15,Master!$D$28:$G$224,4,FALSE)</f>
        <v>Porez na dodatu vrijednost</v>
      </c>
      <c r="C15" s="481"/>
      <c r="D15" s="481"/>
      <c r="E15" s="481"/>
      <c r="F15" s="481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480" t="str">
        <f>+VLOOKUP($A16,Master!$D$28:$G$224,4,FALSE)</f>
        <v>Akcize</v>
      </c>
      <c r="C16" s="481"/>
      <c r="D16" s="481"/>
      <c r="E16" s="481"/>
      <c r="F16" s="481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480" t="str">
        <f>+VLOOKUP($A17,Master!$D$28:$G$224,4,FALSE)</f>
        <v>Porez na međunarodnu trgovinu i transakcije</v>
      </c>
      <c r="C17" s="481"/>
      <c r="D17" s="481"/>
      <c r="E17" s="481"/>
      <c r="F17" s="481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480" t="e">
        <f>+VLOOKUP($A18,Master!$D$28:$G$224,4,FALSE)</f>
        <v>#N/A</v>
      </c>
      <c r="C18" s="481"/>
      <c r="D18" s="481"/>
      <c r="E18" s="481"/>
      <c r="F18" s="481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480" t="str">
        <f>+VLOOKUP($A19,Master!$D$28:$G$224,4,FALSE)</f>
        <v>Ostali državni porezi</v>
      </c>
      <c r="C19" s="481"/>
      <c r="D19" s="481"/>
      <c r="E19" s="481"/>
      <c r="F19" s="481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484" t="str">
        <f>+VLOOKUP($A20,Master!$D$28:$G$224,4,FALSE)</f>
        <v>Doprinosi</v>
      </c>
      <c r="C20" s="485"/>
      <c r="D20" s="485"/>
      <c r="E20" s="485"/>
      <c r="F20" s="485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480" t="str">
        <f>+VLOOKUP($A21,Master!$D$28:$G$224,4,FALSE)</f>
        <v>Doprinosi za penzijsko i invalidsko osiguranje</v>
      </c>
      <c r="C21" s="481"/>
      <c r="D21" s="481"/>
      <c r="E21" s="481"/>
      <c r="F21" s="481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480" t="str">
        <f>+VLOOKUP($A22,Master!$D$28:$G$224,4,FALSE)</f>
        <v>Doprinosi za zdravstveno osiguranje</v>
      </c>
      <c r="C22" s="481"/>
      <c r="D22" s="481"/>
      <c r="E22" s="481"/>
      <c r="F22" s="481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480" t="str">
        <f>+VLOOKUP($A23,Master!$D$28:$G$224,4,FALSE)</f>
        <v>Doprinosi za osiguranje od nezaposlenosti</v>
      </c>
      <c r="C23" s="481"/>
      <c r="D23" s="481"/>
      <c r="E23" s="481"/>
      <c r="F23" s="481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480" t="str">
        <f>+VLOOKUP($A24,Master!$D$28:$G$224,4,FALSE)</f>
        <v>Ostali doprinosi</v>
      </c>
      <c r="C24" s="481"/>
      <c r="D24" s="481"/>
      <c r="E24" s="481"/>
      <c r="F24" s="481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482" t="str">
        <f>+VLOOKUP($A25,Master!$D$28:$G$224,4,FALSE)</f>
        <v>Takse</v>
      </c>
      <c r="C25" s="483"/>
      <c r="D25" s="483"/>
      <c r="E25" s="483"/>
      <c r="F25" s="483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482" t="str">
        <f>+VLOOKUP($A26,Master!$D$28:$G$224,4,FALSE)</f>
        <v>Naknade</v>
      </c>
      <c r="C26" s="483"/>
      <c r="D26" s="483"/>
      <c r="E26" s="483"/>
      <c r="F26" s="483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482" t="str">
        <f>+VLOOKUP($A27,Master!$D$28:$G$224,4,FALSE)</f>
        <v>Ostali prihodi</v>
      </c>
      <c r="C27" s="483"/>
      <c r="D27" s="483"/>
      <c r="E27" s="483"/>
      <c r="F27" s="483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482" t="str">
        <f>+VLOOKUP($A28,Master!$D$28:$G$224,4,FALSE)</f>
        <v>Primici od otplate kredita i sredstva prenesena iz prethodne godine</v>
      </c>
      <c r="C28" s="483"/>
      <c r="D28" s="483"/>
      <c r="E28" s="483"/>
      <c r="F28" s="483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486" t="str">
        <f>+VLOOKUP($A29,Master!$D$28:$G$224,4,FALSE)</f>
        <v>Donacije i transferi</v>
      </c>
      <c r="C29" s="487"/>
      <c r="D29" s="487"/>
      <c r="E29" s="487"/>
      <c r="F29" s="487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488" t="str">
        <f>+VLOOKUP($A30,Master!$D$28:$G$224,4,FALSE)</f>
        <v>Izdaci</v>
      </c>
      <c r="C30" s="489"/>
      <c r="D30" s="489"/>
      <c r="E30" s="489"/>
      <c r="F30" s="489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490" t="str">
        <f>+VLOOKUP($A31,Master!$D$28:$G$224,4,FALSE)</f>
        <v>Tekući izdaci</v>
      </c>
      <c r="C31" s="491"/>
      <c r="D31" s="491"/>
      <c r="E31" s="491"/>
      <c r="F31" s="491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492" t="str">
        <f>+VLOOKUP($A32,Master!$D$28:$G$224,4,FALSE)</f>
        <v>Tekuća budžetska potrošnja</v>
      </c>
      <c r="C32" s="493"/>
      <c r="D32" s="493"/>
      <c r="E32" s="493"/>
      <c r="F32" s="493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480" t="str">
        <f>+VLOOKUP($A33,Master!$D$28:$G$224,4,FALSE)</f>
        <v>Bruto zarade i doprinosi na teret poslodavca</v>
      </c>
      <c r="C33" s="481"/>
      <c r="D33" s="481"/>
      <c r="E33" s="481"/>
      <c r="F33" s="481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480" t="str">
        <f>+VLOOKUP($A34,Master!$D$28:$G$224,4,FALSE)</f>
        <v>Ostala lična primanja</v>
      </c>
      <c r="C34" s="481"/>
      <c r="D34" s="481"/>
      <c r="E34" s="481"/>
      <c r="F34" s="481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480" t="str">
        <f>+VLOOKUP($A35,Master!$D$28:$G$224,4,FALSE)</f>
        <v>Rashodi za materijal</v>
      </c>
      <c r="C35" s="481"/>
      <c r="D35" s="481"/>
      <c r="E35" s="481"/>
      <c r="F35" s="481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480" t="str">
        <f>+VLOOKUP($A36,Master!$D$28:$G$224,4,FALSE)</f>
        <v>Rashodi za usluge</v>
      </c>
      <c r="C36" s="481"/>
      <c r="D36" s="481"/>
      <c r="E36" s="481"/>
      <c r="F36" s="481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480" t="str">
        <f>+VLOOKUP($A37,Master!$D$28:$G$224,4,FALSE)</f>
        <v>Rashodi za tekuće održavanje</v>
      </c>
      <c r="C37" s="481"/>
      <c r="D37" s="481"/>
      <c r="E37" s="481"/>
      <c r="F37" s="481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480" t="str">
        <f>+VLOOKUP($A38,Master!$D$28:$G$224,4,FALSE)</f>
        <v>Kamate</v>
      </c>
      <c r="C38" s="481"/>
      <c r="D38" s="481"/>
      <c r="E38" s="481"/>
      <c r="F38" s="481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480" t="str">
        <f>+VLOOKUP($A39,Master!$D$28:$G$224,4,FALSE)</f>
        <v>Renta</v>
      </c>
      <c r="C39" s="481"/>
      <c r="D39" s="481"/>
      <c r="E39" s="481"/>
      <c r="F39" s="481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480" t="str">
        <f>+VLOOKUP($A40,Master!$D$28:$G$224,4,FALSE)</f>
        <v>Subvencije</v>
      </c>
      <c r="C40" s="481"/>
      <c r="D40" s="481"/>
      <c r="E40" s="481"/>
      <c r="F40" s="481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480" t="str">
        <f>+VLOOKUP($A41,Master!$D$28:$G$224,4,FALSE)</f>
        <v>Ostali izdaci</v>
      </c>
      <c r="C41" s="481"/>
      <c r="D41" s="481"/>
      <c r="E41" s="481"/>
      <c r="F41" s="481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480" t="e">
        <f>+VLOOKUP($A42,Master!$D$28:$G$224,4,FALSE)</f>
        <v>#N/A</v>
      </c>
      <c r="C42" s="481"/>
      <c r="D42" s="481"/>
      <c r="E42" s="481"/>
      <c r="F42" s="481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496" t="str">
        <f>+VLOOKUP($A43,Master!$D$28:$G$224,4,FALSE)</f>
        <v>Transferi za socijalnu zaštitu</v>
      </c>
      <c r="C43" s="497"/>
      <c r="D43" s="497"/>
      <c r="E43" s="497"/>
      <c r="F43" s="497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480" t="str">
        <f>+VLOOKUP($A44,Master!$D$28:$G$224,4,FALSE)</f>
        <v>Prava iz oblasti socijalne zaštite</v>
      </c>
      <c r="C44" s="481"/>
      <c r="D44" s="481"/>
      <c r="E44" s="481"/>
      <c r="F44" s="481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480" t="str">
        <f>+VLOOKUP($A45,Master!$D$28:$G$224,4,FALSE)</f>
        <v>Sredstva za tehnološke viškove</v>
      </c>
      <c r="C45" s="481"/>
      <c r="D45" s="481"/>
      <c r="E45" s="481"/>
      <c r="F45" s="481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480" t="str">
        <f>+VLOOKUP($A46,Master!$D$28:$G$224,4,FALSE)</f>
        <v>Prava iz oblasti penzijskog i invalidskog osiguranja</v>
      </c>
      <c r="C46" s="481"/>
      <c r="D46" s="481"/>
      <c r="E46" s="481"/>
      <c r="F46" s="481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480" t="str">
        <f>+VLOOKUP($A47,Master!$D$28:$G$224,4,FALSE)</f>
        <v>Ostala prava iz oblasti zdravstvene zaštite</v>
      </c>
      <c r="C47" s="481"/>
      <c r="D47" s="481"/>
      <c r="E47" s="481"/>
      <c r="F47" s="481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480" t="str">
        <f>+VLOOKUP($A48,Master!$D$28:$G$224,4,FALSE)</f>
        <v>Ostala prava iz zdravstvenog osiguranja</v>
      </c>
      <c r="C48" s="481"/>
      <c r="D48" s="481"/>
      <c r="E48" s="481"/>
      <c r="F48" s="481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494" t="str">
        <f>+VLOOKUP($A49,Master!$D$28:$G$224,4,FALSE)</f>
        <v xml:space="preserve">Transferi institucijama, pojedincima, nevladinom i javnom sektoru </v>
      </c>
      <c r="C49" s="495"/>
      <c r="D49" s="495"/>
      <c r="E49" s="495"/>
      <c r="F49" s="495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494" t="str">
        <f>+VLOOKUP($A50,Master!$D$28:$G$224,4,FALSE)</f>
        <v>Kapitalni izdaci</v>
      </c>
      <c r="C50" s="495"/>
      <c r="D50" s="495"/>
      <c r="E50" s="495"/>
      <c r="F50" s="495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98" t="str">
        <f>+VLOOKUP($A51,Master!$D$28:$G$224,4,FALSE)</f>
        <v>Pozajmice i krediti</v>
      </c>
      <c r="C51" s="499"/>
      <c r="D51" s="499"/>
      <c r="E51" s="499"/>
      <c r="F51" s="499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98" t="str">
        <f>+VLOOKUP($A52,Master!$D$28:$G$224,4,FALSE)</f>
        <v>Rezerve</v>
      </c>
      <c r="C52" s="499"/>
      <c r="D52" s="499"/>
      <c r="E52" s="499"/>
      <c r="F52" s="499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500" t="str">
        <f>+VLOOKUP($A53,Master!$D$28:$G$224,4,FALSE)</f>
        <v>Otplata garancija</v>
      </c>
      <c r="C53" s="501"/>
      <c r="D53" s="501"/>
      <c r="E53" s="501"/>
      <c r="F53" s="501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500" t="str">
        <f>+VLOOKUP($A54,Master!$D$28:$G$224,4,FALSE)</f>
        <v>Otplata obaveza iz prethodnog perioda</v>
      </c>
      <c r="C54" s="501"/>
      <c r="D54" s="501"/>
      <c r="E54" s="501"/>
      <c r="F54" s="501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500" t="str">
        <f>+VLOOKUP($A55,Master!$D$28:$G$226,4,FALSE)</f>
        <v>Neto povećanje obaveza</v>
      </c>
      <c r="C55" s="501"/>
      <c r="D55" s="501"/>
      <c r="E55" s="501"/>
      <c r="F55" s="501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2" t="str">
        <f>+VLOOKUP($A56,Master!$D$28:$G$224,4,FALSE)</f>
        <v>Suficit / deficit</v>
      </c>
      <c r="C56" s="503"/>
      <c r="D56" s="503"/>
      <c r="E56" s="503"/>
      <c r="F56" s="503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4" t="str">
        <f>+VLOOKUP($A57,Master!$D$28:$G$224,4,FALSE)</f>
        <v>Primarni suficit/deficit</v>
      </c>
      <c r="C57" s="505"/>
      <c r="D57" s="505"/>
      <c r="E57" s="505"/>
      <c r="F57" s="505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496" t="str">
        <f>+VLOOKUP($A58,Master!$D$28:$G$224,4,FALSE)</f>
        <v>Otplata dugova</v>
      </c>
      <c r="C58" s="497"/>
      <c r="D58" s="497"/>
      <c r="E58" s="497"/>
      <c r="F58" s="497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522" t="str">
        <f>+VLOOKUP($A59,Master!$D$28:$G$224,4,FALSE)</f>
        <v>Otplata hartija od vrijednosti i kredita rezidentima</v>
      </c>
      <c r="C59" s="523"/>
      <c r="D59" s="523"/>
      <c r="E59" s="523"/>
      <c r="F59" s="523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98" t="str">
        <f>+VLOOKUP($A60,Master!$D$28:$G$224,4,FALSE)</f>
        <v>Otplata hartija od vrijednosti i kredita nerezidentima</v>
      </c>
      <c r="C60" s="499"/>
      <c r="D60" s="499"/>
      <c r="E60" s="499"/>
      <c r="F60" s="499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686</v>
      </c>
      <c r="B61" s="256" t="str">
        <f>+B54</f>
        <v>Otplata obaveza iz prethodnog perioda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524" t="str">
        <f>+VLOOKUP($A62,Master!$D$28:$G$224,4,FALSE)</f>
        <v>Nedostajuća sredstva</v>
      </c>
      <c r="C62" s="525"/>
      <c r="D62" s="525"/>
      <c r="E62" s="525"/>
      <c r="F62" s="525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488" t="str">
        <f>+VLOOKUP($A63,Master!$D$28:$G$224,4,FALSE)</f>
        <v>Finansiranje</v>
      </c>
      <c r="C63" s="489"/>
      <c r="D63" s="489"/>
      <c r="E63" s="489"/>
      <c r="F63" s="489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522" t="str">
        <f>+VLOOKUP($A64,Master!$D$28:$G$224,4,FALSE)</f>
        <v>Pozajmice i krediti od domaćih izvora</v>
      </c>
      <c r="C64" s="523"/>
      <c r="D64" s="523"/>
      <c r="E64" s="523"/>
      <c r="F64" s="523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98" t="str">
        <f>+VLOOKUP($A65,Master!$D$28:$G$224,4,FALSE)</f>
        <v>Pozajmice i krediti od inostranih izvora</v>
      </c>
      <c r="C65" s="499"/>
      <c r="D65" s="499"/>
      <c r="E65" s="499"/>
      <c r="F65" s="499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98" t="str">
        <f>+VLOOKUP($A66,Master!$D$28:$G$224,4,FALSE)</f>
        <v>Primici od prodaje imovine</v>
      </c>
      <c r="C66" s="499"/>
      <c r="D66" s="499"/>
      <c r="E66" s="499"/>
      <c r="F66" s="499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E37" sqref="E37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Februar</v>
      </c>
      <c r="E11" s="135"/>
      <c r="F11" s="135"/>
      <c r="G11" s="135"/>
      <c r="H11" s="275" t="str">
        <f>+Master!G272</f>
        <v>Prihodi za period Januar - Februar</v>
      </c>
      <c r="I11" s="276"/>
      <c r="J11" s="264"/>
      <c r="K11" s="136"/>
    </row>
    <row r="12" spans="3:11">
      <c r="C12" s="134"/>
      <c r="D12" s="138">
        <f>+'Analitika - 2020'!N10</f>
        <v>119854724.30999999</v>
      </c>
      <c r="E12" s="444">
        <f>+D12/'2020'!T7</f>
        <v>2.3840774234678654E-2</v>
      </c>
      <c r="F12" s="135"/>
      <c r="G12" s="135"/>
      <c r="H12" s="277">
        <f>+'Analitika - 2020'!G10</f>
        <v>214140559.95999998</v>
      </c>
      <c r="I12" s="443">
        <f>+H12/'2020'!T7</f>
        <v>4.2595540341734128E-2</v>
      </c>
      <c r="J12" s="264"/>
      <c r="K12" s="136"/>
    </row>
    <row r="13" spans="3:11">
      <c r="C13" s="134"/>
      <c r="D13" s="139" t="s">
        <v>419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Februar</v>
      </c>
      <c r="E15" s="135"/>
      <c r="F15" s="135"/>
      <c r="G15" s="135"/>
      <c r="H15" s="275" t="str">
        <f>+Master!G273</f>
        <v>Rashodi za period Januar - Februar</v>
      </c>
      <c r="I15" s="276"/>
      <c r="J15" s="264"/>
      <c r="K15" s="136"/>
    </row>
    <row r="16" spans="3:11">
      <c r="C16" s="134"/>
      <c r="D16" s="138">
        <f>+'Analitika - 2020'!N29</f>
        <v>145830038.18000001</v>
      </c>
      <c r="E16" s="444">
        <f>+D16/'2020'!T7</f>
        <v>2.9007625998050644E-2</v>
      </c>
      <c r="F16" s="135"/>
      <c r="G16" s="135"/>
      <c r="H16" s="277">
        <f>+'Analitika - 2020'!G29</f>
        <v>274123741.02999997</v>
      </c>
      <c r="I16" s="443">
        <f>+H16/'2020'!T7</f>
        <v>5.4527030618821228E-2</v>
      </c>
      <c r="J16" s="264"/>
      <c r="K16" s="136"/>
    </row>
    <row r="17" spans="3:11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1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1">
      <c r="C19" s="134"/>
      <c r="D19" s="137" t="str">
        <f>+Master!G270</f>
        <v>Suficit/Deficit za mjesec Februar</v>
      </c>
      <c r="E19" s="135"/>
      <c r="F19" s="135"/>
      <c r="G19" s="135"/>
      <c r="H19" s="275" t="str">
        <f>+Master!G274</f>
        <v>Suficit/Deficit za period Januar - Februar</v>
      </c>
      <c r="I19" s="276"/>
      <c r="J19" s="264"/>
      <c r="K19" s="136"/>
    </row>
    <row r="20" spans="3:11">
      <c r="C20" s="134"/>
      <c r="D20" s="138">
        <f>+'Analitika - 2020'!N53</f>
        <v>-25975313.87000002</v>
      </c>
      <c r="E20" s="444">
        <f>+D20/'2020'!T7</f>
        <v>-5.1668517633719924E-3</v>
      </c>
      <c r="F20" s="135"/>
      <c r="G20" s="135"/>
      <c r="H20" s="277">
        <f>+'Analitika - 2020'!G53</f>
        <v>-59983181.070000023</v>
      </c>
      <c r="I20" s="443">
        <f>+H20/'2020'!T7</f>
        <v>-1.193149027708711E-2</v>
      </c>
      <c r="J20" s="264"/>
      <c r="K20" s="136"/>
    </row>
    <row r="21" spans="3:11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1">
      <c r="C22" s="134"/>
      <c r="D22" s="526"/>
      <c r="E22" s="527"/>
      <c r="F22" s="527"/>
      <c r="G22" s="140"/>
      <c r="H22" s="141"/>
      <c r="I22" s="135"/>
      <c r="J22" s="135"/>
      <c r="K22" s="136"/>
    </row>
    <row r="23" spans="3:11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1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1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1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1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1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1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1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1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4" spans="8:8">
      <c r="H34" s="235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zoomScale="110" zoomScaleNormal="110" workbookViewId="0">
      <pane ySplit="5" topLeftCell="A46" activePane="bottomLeft" state="frozen"/>
      <selection activeCell="DK219" sqref="DK219"/>
      <selection pane="bottomLeft" activeCell="G3" sqref="G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2020-02</v>
      </c>
      <c r="O6" s="145" t="str">
        <f>+CONCATENATE(N6,"p")</f>
        <v>2020-02p</v>
      </c>
      <c r="P6" s="130"/>
      <c r="Q6" s="130"/>
      <c r="R6" s="145" t="str">
        <f>+IF(Master!B3-10&gt;=0,CONCATENATE(Master!B4-1,"-",Master!B3),CONCATENATE(Master!B4-1,"-0",Master!B3))</f>
        <v>2019-02</v>
      </c>
      <c r="S6" s="130"/>
      <c r="T6" s="130"/>
    </row>
    <row r="7" spans="1:20">
      <c r="A7" s="146"/>
      <c r="B7" s="508" t="str">
        <f>+Master!G253</f>
        <v>Analitika za period Jan - Feb</v>
      </c>
      <c r="C7" s="509"/>
      <c r="D7" s="509"/>
      <c r="E7" s="509"/>
      <c r="F7" s="509"/>
      <c r="G7" s="517" t="str">
        <f>+Master!G244</f>
        <v>Jan - Feb</v>
      </c>
      <c r="H7" s="518"/>
      <c r="I7" s="518"/>
      <c r="J7" s="518"/>
      <c r="K7" s="518"/>
      <c r="L7" s="518"/>
      <c r="M7" s="519"/>
      <c r="N7" s="520" t="str">
        <f>+Master!G243</f>
        <v>Februar</v>
      </c>
      <c r="O7" s="518"/>
      <c r="P7" s="518"/>
      <c r="Q7" s="518"/>
      <c r="R7" s="518"/>
      <c r="S7" s="518"/>
      <c r="T7" s="521"/>
    </row>
    <row r="8" spans="1:20">
      <c r="A8" s="146"/>
      <c r="B8" s="510"/>
      <c r="C8" s="511"/>
      <c r="D8" s="511"/>
      <c r="E8" s="511"/>
      <c r="F8" s="512"/>
      <c r="G8" s="375" t="str">
        <f>+Master!G24</f>
        <v>Ostvarenje</v>
      </c>
      <c r="H8" s="147" t="str">
        <f>+Master!G23</f>
        <v>Plan</v>
      </c>
      <c r="I8" s="506" t="str">
        <f>+Master!G259</f>
        <v>Odstupanje</v>
      </c>
      <c r="J8" s="506"/>
      <c r="K8" s="147" t="str">
        <f>+CONCATENATE(Master!G244," ",Master!B4-1)</f>
        <v>Jan - Feb 2019</v>
      </c>
      <c r="L8" s="506" t="str">
        <f>+I8</f>
        <v>Odstupanje</v>
      </c>
      <c r="M8" s="516"/>
      <c r="N8" s="148" t="str">
        <f>+G8</f>
        <v>Ostvarenje</v>
      </c>
      <c r="O8" s="147" t="str">
        <f>+H8</f>
        <v>Plan</v>
      </c>
      <c r="P8" s="506" t="str">
        <f>+I8</f>
        <v>Odstupanje</v>
      </c>
      <c r="Q8" s="506"/>
      <c r="R8" s="147" t="str">
        <f>+CONCATENATE(Master!G243," ",Master!B4-1)</f>
        <v>Februar 2019</v>
      </c>
      <c r="S8" s="506" t="str">
        <f>+P8</f>
        <v>Odstupanje</v>
      </c>
      <c r="T8" s="507"/>
    </row>
    <row r="9" spans="1:20" ht="15.75" thickBot="1">
      <c r="A9" s="146"/>
      <c r="B9" s="513"/>
      <c r="C9" s="514"/>
      <c r="D9" s="514"/>
      <c r="E9" s="514"/>
      <c r="F9" s="515"/>
      <c r="G9" s="376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476" t="str">
        <f>+VLOOKUP($A10,Master!$D$28:$G$224,4,FALSE)</f>
        <v>Prihodi budžeta</v>
      </c>
      <c r="C10" s="477"/>
      <c r="D10" s="477"/>
      <c r="E10" s="477"/>
      <c r="F10" s="477"/>
      <c r="G10" s="153">
        <f>'2020'!S10</f>
        <v>214140559.95999998</v>
      </c>
      <c r="H10" s="153">
        <f>SUM('2020'!G103:H103)</f>
        <v>212740742.02142456</v>
      </c>
      <c r="I10" s="154">
        <f>+G10-H10</f>
        <v>1399817.9385754168</v>
      </c>
      <c r="J10" s="155">
        <f>+IF(ISNUMBER(G10/H10-1),G10/H10-1,"…")</f>
        <v>6.5799241145565457E-3</v>
      </c>
      <c r="K10" s="153">
        <f>SUM('2019'!G10:H10)</f>
        <v>223801184.46000001</v>
      </c>
      <c r="L10" s="154">
        <f>+G10-K10</f>
        <v>-9660624.5000000298</v>
      </c>
      <c r="M10" s="156">
        <f>+IF(ISNUMBER(G10/K10-1),G10/K10-1,"…")</f>
        <v>-4.3166100855586254E-2</v>
      </c>
      <c r="N10" s="153">
        <f>'2020'!H10</f>
        <v>119854724.30999999</v>
      </c>
      <c r="O10" s="153">
        <f>'2020'!H103</f>
        <v>118645409.17681186</v>
      </c>
      <c r="P10" s="154">
        <f>+N10-O10</f>
        <v>1209315.1331881285</v>
      </c>
      <c r="Q10" s="155">
        <f>+IF(ISNUMBER(N10/O10-1),N10/O10-1,"…")</f>
        <v>1.0192683742073383E-2</v>
      </c>
      <c r="R10" s="153">
        <f>'2019'!H10</f>
        <v>116543983.53</v>
      </c>
      <c r="S10" s="154">
        <f>+N10-R10</f>
        <v>3310740.7799999863</v>
      </c>
      <c r="T10" s="156">
        <f>+IF(ISNUMBER(N10/R10-1),N10/R10-1,"…")</f>
        <v>2.8407650740269741E-2</v>
      </c>
    </row>
    <row r="11" spans="1:20">
      <c r="A11" s="152">
        <v>711</v>
      </c>
      <c r="B11" s="478" t="str">
        <f>+VLOOKUP($A11,Master!$D$28:$G$224,4,FALSE)</f>
        <v>Porezi</v>
      </c>
      <c r="C11" s="479"/>
      <c r="D11" s="479"/>
      <c r="E11" s="479"/>
      <c r="F11" s="479"/>
      <c r="G11" s="286">
        <f>'2020'!S11</f>
        <v>143003292.60999998</v>
      </c>
      <c r="H11" s="286">
        <f>SUM('2020'!G104:H104)</f>
        <v>141169416.07538605</v>
      </c>
      <c r="I11" s="160">
        <f t="shared" ref="I11:I57" si="0">+G11-H11</f>
        <v>1833876.5346139371</v>
      </c>
      <c r="J11" s="161">
        <f t="shared" ref="J11:J57" si="1">+IF(ISNUMBER(G11/H11-1),G11/H11-1,"…")</f>
        <v>1.2990607920589703E-2</v>
      </c>
      <c r="K11" s="286">
        <f>SUM('2019'!G11:H11)</f>
        <v>140900638.86000001</v>
      </c>
      <c r="L11" s="160">
        <f>+G11-K11</f>
        <v>2102653.7499999702</v>
      </c>
      <c r="M11" s="162">
        <f t="shared" ref="M11:M57" si="2">+IF(ISNUMBER(G11/K11-1),G11/K11-1,"…")</f>
        <v>1.492295398382959E-2</v>
      </c>
      <c r="N11" s="286">
        <f>'2020'!H11</f>
        <v>69683087.399999991</v>
      </c>
      <c r="O11" s="286">
        <f>'2020'!H104</f>
        <v>68300892.484016389</v>
      </c>
      <c r="P11" s="160">
        <f t="shared" ref="P11:P57" si="3">+N11-O11</f>
        <v>1382194.9159836024</v>
      </c>
      <c r="Q11" s="161">
        <f t="shared" ref="Q11:Q57" si="4">+IF(ISNUMBER(N11/O11-1),N11/O11-1,"…")</f>
        <v>2.0236849998805706E-2</v>
      </c>
      <c r="R11" s="286">
        <f>'2019'!H11</f>
        <v>68470908.439999998</v>
      </c>
      <c r="S11" s="160">
        <f t="shared" ref="S11:S57" si="5">+N11-R11</f>
        <v>1212178.9599999934</v>
      </c>
      <c r="T11" s="162">
        <f t="shared" ref="T11:T57" si="6">+IF(ISNUMBER(N11/R11-1),N11/R11-1,"…")</f>
        <v>1.770356181358701E-2</v>
      </c>
    </row>
    <row r="12" spans="1:20">
      <c r="A12" s="152">
        <v>7111</v>
      </c>
      <c r="B12" s="480" t="str">
        <f>+VLOOKUP($A12,Master!$D$28:$G$224,4,FALSE)</f>
        <v>Porez na dohodak fizičkih lica</v>
      </c>
      <c r="C12" s="481"/>
      <c r="D12" s="481"/>
      <c r="E12" s="481"/>
      <c r="F12" s="481"/>
      <c r="G12" s="165">
        <f>'2020'!S12</f>
        <v>13832689.16</v>
      </c>
      <c r="H12" s="165">
        <f>SUM('2020'!G105:H105)</f>
        <v>13624575.252578801</v>
      </c>
      <c r="I12" s="166">
        <f t="shared" si="0"/>
        <v>208113.9074211996</v>
      </c>
      <c r="J12" s="167">
        <f t="shared" si="1"/>
        <v>1.5274891404912561E-2</v>
      </c>
      <c r="K12" s="165">
        <f>SUM('2019'!G12:H12)</f>
        <v>13602574.960000001</v>
      </c>
      <c r="L12" s="166">
        <f>+G12-K12</f>
        <v>230114.19999999925</v>
      </c>
      <c r="M12" s="168">
        <f t="shared" si="2"/>
        <v>1.6916958787338343E-2</v>
      </c>
      <c r="N12" s="165">
        <f>'2020'!H12</f>
        <v>9514934.0399999991</v>
      </c>
      <c r="O12" s="165">
        <f>'2020'!H105</f>
        <v>9376802.3482605685</v>
      </c>
      <c r="P12" s="166">
        <f t="shared" si="3"/>
        <v>138131.69173943065</v>
      </c>
      <c r="Q12" s="167">
        <f t="shared" si="4"/>
        <v>1.4731215035694412E-2</v>
      </c>
      <c r="R12" s="165">
        <f>'2019'!H12</f>
        <v>9361661.1500000004</v>
      </c>
      <c r="S12" s="166">
        <f t="shared" si="5"/>
        <v>153272.88999999873</v>
      </c>
      <c r="T12" s="168">
        <f t="shared" si="6"/>
        <v>1.6372403096431176E-2</v>
      </c>
    </row>
    <row r="13" spans="1:20">
      <c r="A13" s="152">
        <v>7112</v>
      </c>
      <c r="B13" s="480" t="str">
        <f>+VLOOKUP($A13,Master!$D$28:$G$224,4,FALSE)</f>
        <v>Porez na dobit pravnih lica</v>
      </c>
      <c r="C13" s="481"/>
      <c r="D13" s="481"/>
      <c r="E13" s="481"/>
      <c r="F13" s="481"/>
      <c r="G13" s="165">
        <f>'2020'!S13</f>
        <v>3076142.62</v>
      </c>
      <c r="H13" s="165">
        <f>SUM('2020'!G106:H106)</f>
        <v>2676094.7088808455</v>
      </c>
      <c r="I13" s="166">
        <f t="shared" si="0"/>
        <v>400047.91111915465</v>
      </c>
      <c r="J13" s="167">
        <f t="shared" si="1"/>
        <v>0.14948944437263822</v>
      </c>
      <c r="K13" s="165">
        <f>SUM('2019'!G13:H13)</f>
        <v>2899393.45</v>
      </c>
      <c r="L13" s="166">
        <f t="shared" ref="L13:L57" si="7">+G13-K13</f>
        <v>176749.16999999993</v>
      </c>
      <c r="M13" s="168">
        <f t="shared" si="2"/>
        <v>6.096073990923867E-2</v>
      </c>
      <c r="N13" s="165">
        <f>'2020'!H13</f>
        <v>2402403.02</v>
      </c>
      <c r="O13" s="165">
        <f>'2020'!H106</f>
        <v>2048312.2562287676</v>
      </c>
      <c r="P13" s="166">
        <f t="shared" si="3"/>
        <v>354090.76377123245</v>
      </c>
      <c r="Q13" s="167">
        <f t="shared" si="4"/>
        <v>0.17286952352819673</v>
      </c>
      <c r="R13" s="165">
        <f>'2019'!H13</f>
        <v>1962550.32</v>
      </c>
      <c r="S13" s="166">
        <f t="shared" si="5"/>
        <v>439852.69999999995</v>
      </c>
      <c r="T13" s="168">
        <f t="shared" si="6"/>
        <v>0.22412301764573361</v>
      </c>
    </row>
    <row r="14" spans="1:20">
      <c r="A14" s="152">
        <v>7113</v>
      </c>
      <c r="B14" s="480" t="str">
        <f>+VLOOKUP($A14,Master!$D$28:$G$224,4,FALSE)</f>
        <v>Porez na promet nepokretnosti</v>
      </c>
      <c r="C14" s="481"/>
      <c r="D14" s="481"/>
      <c r="E14" s="481"/>
      <c r="F14" s="481"/>
      <c r="G14" s="165">
        <f>'2020'!S14</f>
        <v>353107.17</v>
      </c>
      <c r="H14" s="165">
        <f>SUM('2020'!G107:H107)</f>
        <v>267545.04830112593</v>
      </c>
      <c r="I14" s="166">
        <f t="shared" si="0"/>
        <v>85562.121698874049</v>
      </c>
      <c r="J14" s="167">
        <f t="shared" si="1"/>
        <v>0.31980454223384691</v>
      </c>
      <c r="K14" s="165">
        <f>SUM('2019'!G14:H14)</f>
        <v>287811.61</v>
      </c>
      <c r="L14" s="166">
        <f t="shared" si="7"/>
        <v>65295.56</v>
      </c>
      <c r="M14" s="168">
        <f t="shared" si="2"/>
        <v>0.2268690967678475</v>
      </c>
      <c r="N14" s="165">
        <f>'2020'!H14</f>
        <v>168097.86</v>
      </c>
      <c r="O14" s="165">
        <f>'2020'!H107</f>
        <v>157627.83703386062</v>
      </c>
      <c r="P14" s="166">
        <f t="shared" si="3"/>
        <v>10470.022966139368</v>
      </c>
      <c r="Q14" s="167">
        <f t="shared" si="4"/>
        <v>6.6422423622359617E-2</v>
      </c>
      <c r="R14" s="165">
        <f>'2019'!H14</f>
        <v>169568.16</v>
      </c>
      <c r="S14" s="166">
        <f t="shared" si="5"/>
        <v>-1470.3000000000175</v>
      </c>
      <c r="T14" s="168">
        <f t="shared" si="6"/>
        <v>-8.6708495274113728E-3</v>
      </c>
    </row>
    <row r="15" spans="1:20">
      <c r="A15" s="152">
        <v>7114</v>
      </c>
      <c r="B15" s="480" t="str">
        <f>+VLOOKUP($A15,Master!$D$28:$G$224,4,FALSE)</f>
        <v>Porez na dodatu vrijednost</v>
      </c>
      <c r="C15" s="481"/>
      <c r="D15" s="481"/>
      <c r="E15" s="481"/>
      <c r="F15" s="481"/>
      <c r="G15" s="165">
        <f>'2020'!S15</f>
        <v>87878752.00999999</v>
      </c>
      <c r="H15" s="165">
        <f>SUM('2020'!G108:H108)</f>
        <v>90257063.478975922</v>
      </c>
      <c r="I15" s="166">
        <f t="shared" si="0"/>
        <v>-2378311.4689759314</v>
      </c>
      <c r="J15" s="167">
        <f t="shared" si="1"/>
        <v>-2.6350419316820806E-2</v>
      </c>
      <c r="K15" s="165">
        <f>SUM('2019'!G15:H15)</f>
        <v>88805588.579999998</v>
      </c>
      <c r="L15" s="166">
        <f t="shared" si="7"/>
        <v>-926836.57000000775</v>
      </c>
      <c r="M15" s="168">
        <f t="shared" si="2"/>
        <v>-1.0436691933696007E-2</v>
      </c>
      <c r="N15" s="165">
        <f>'2020'!H15</f>
        <v>40097544.82</v>
      </c>
      <c r="O15" s="165">
        <f>'2020'!H108</f>
        <v>40226724.69128225</v>
      </c>
      <c r="P15" s="166">
        <f t="shared" si="3"/>
        <v>-129179.87128224969</v>
      </c>
      <c r="Q15" s="167">
        <f t="shared" si="4"/>
        <v>-3.2112947865786667E-3</v>
      </c>
      <c r="R15" s="165">
        <f>'2019'!H15</f>
        <v>38958365.399999999</v>
      </c>
      <c r="S15" s="166">
        <f t="shared" si="5"/>
        <v>1139179.4200000018</v>
      </c>
      <c r="T15" s="168">
        <f t="shared" si="6"/>
        <v>2.9240945001250074E-2</v>
      </c>
    </row>
    <row r="16" spans="1:20">
      <c r="A16" s="152">
        <v>7115</v>
      </c>
      <c r="B16" s="480" t="str">
        <f>+VLOOKUP($A16,Master!$D$28:$G$224,4,FALSE)</f>
        <v>Akcize</v>
      </c>
      <c r="C16" s="481"/>
      <c r="D16" s="481"/>
      <c r="E16" s="481"/>
      <c r="F16" s="481"/>
      <c r="G16" s="165">
        <f>'2020'!S16</f>
        <v>32901897.650000002</v>
      </c>
      <c r="H16" s="165">
        <f>SUM('2020'!G109:H109)</f>
        <v>29369344.643558457</v>
      </c>
      <c r="I16" s="166">
        <f t="shared" si="0"/>
        <v>3532553.0064415447</v>
      </c>
      <c r="J16" s="167">
        <f t="shared" si="1"/>
        <v>0.120280280316583</v>
      </c>
      <c r="K16" s="165">
        <f>SUM('2019'!G16:H16)</f>
        <v>28327343.440000001</v>
      </c>
      <c r="L16" s="166">
        <f t="shared" si="7"/>
        <v>4574554.2100000009</v>
      </c>
      <c r="M16" s="168">
        <f t="shared" si="2"/>
        <v>0.16148899453594501</v>
      </c>
      <c r="N16" s="165">
        <f>'2020'!H16</f>
        <v>14831752.550000001</v>
      </c>
      <c r="O16" s="165">
        <f>'2020'!H109</f>
        <v>13786728.708412785</v>
      </c>
      <c r="P16" s="166">
        <f t="shared" si="3"/>
        <v>1045023.8415872157</v>
      </c>
      <c r="Q16" s="167">
        <f t="shared" si="4"/>
        <v>7.5799260556242976E-2</v>
      </c>
      <c r="R16" s="165">
        <f>'2019'!H16</f>
        <v>13186126.23</v>
      </c>
      <c r="S16" s="166">
        <f t="shared" si="5"/>
        <v>1645626.3200000003</v>
      </c>
      <c r="T16" s="168">
        <f t="shared" si="6"/>
        <v>0.12479983061712274</v>
      </c>
    </row>
    <row r="17" spans="1:20">
      <c r="A17" s="152">
        <v>7116</v>
      </c>
      <c r="B17" s="480" t="str">
        <f>+VLOOKUP($A17,Master!$D$28:$G$224,4,FALSE)</f>
        <v>Porez na međunarodnu trgovinu i transakcije</v>
      </c>
      <c r="C17" s="481"/>
      <c r="D17" s="481"/>
      <c r="E17" s="481"/>
      <c r="F17" s="481"/>
      <c r="G17" s="165">
        <f>'2020'!S17</f>
        <v>3460017.1799999997</v>
      </c>
      <c r="H17" s="165">
        <f>SUM('2020'!G110:H110)</f>
        <v>3074461.9035682809</v>
      </c>
      <c r="I17" s="166">
        <f t="shared" si="0"/>
        <v>385555.27643171884</v>
      </c>
      <c r="J17" s="167">
        <f t="shared" si="1"/>
        <v>0.12540577457936153</v>
      </c>
      <c r="K17" s="165">
        <f>SUM('2019'!G17:H17)</f>
        <v>3158757.01</v>
      </c>
      <c r="L17" s="166">
        <f t="shared" si="7"/>
        <v>301260.16999999993</v>
      </c>
      <c r="M17" s="168">
        <f t="shared" si="2"/>
        <v>9.5373011930411256E-2</v>
      </c>
      <c r="N17" s="165">
        <f>'2020'!H17</f>
        <v>1922810.55</v>
      </c>
      <c r="O17" s="165">
        <f>'2020'!H110</f>
        <v>1687520.1709283332</v>
      </c>
      <c r="P17" s="166">
        <f t="shared" si="3"/>
        <v>235290.37907166686</v>
      </c>
      <c r="Q17" s="167">
        <f t="shared" si="4"/>
        <v>0.13942966912343913</v>
      </c>
      <c r="R17" s="165">
        <f>'2019'!H17</f>
        <v>1733788.33</v>
      </c>
      <c r="S17" s="166">
        <f t="shared" si="5"/>
        <v>189022.21999999997</v>
      </c>
      <c r="T17" s="168">
        <f t="shared" si="6"/>
        <v>0.1090226625299755</v>
      </c>
    </row>
    <row r="18" spans="1:20">
      <c r="A18" s="152">
        <v>7118</v>
      </c>
      <c r="B18" s="480" t="str">
        <f>+VLOOKUP($A18,Master!$D$28:$G$224,4,FALSE)</f>
        <v>Ostali državni porezi</v>
      </c>
      <c r="C18" s="481"/>
      <c r="D18" s="481"/>
      <c r="E18" s="481"/>
      <c r="F18" s="481"/>
      <c r="G18" s="165">
        <f>'2020'!S18</f>
        <v>1500686.82</v>
      </c>
      <c r="H18" s="165">
        <f>SUM('2020'!G111:H111)</f>
        <v>1900331.0395226034</v>
      </c>
      <c r="I18" s="166">
        <f t="shared" si="0"/>
        <v>-399644.21952260332</v>
      </c>
      <c r="J18" s="167">
        <f t="shared" si="1"/>
        <v>-0.21030242163649604</v>
      </c>
      <c r="K18" s="165">
        <f>SUM('2019'!G18:H18)</f>
        <v>3819169.81</v>
      </c>
      <c r="L18" s="166">
        <f t="shared" si="7"/>
        <v>-2318482.9900000002</v>
      </c>
      <c r="M18" s="168">
        <f t="shared" si="2"/>
        <v>-0.60706465157148903</v>
      </c>
      <c r="N18" s="165">
        <f>'2020'!H18</f>
        <v>745544.56</v>
      </c>
      <c r="O18" s="165">
        <f>'2020'!H111</f>
        <v>1017176.4718698277</v>
      </c>
      <c r="P18" s="166">
        <f t="shared" si="3"/>
        <v>-271631.91186982766</v>
      </c>
      <c r="Q18" s="167">
        <f t="shared" si="4"/>
        <v>-0.26704502058575885</v>
      </c>
      <c r="R18" s="165">
        <f>'2019'!H18</f>
        <v>3098848.85</v>
      </c>
      <c r="S18" s="166">
        <f t="shared" si="5"/>
        <v>-2353304.29</v>
      </c>
      <c r="T18" s="168">
        <f t="shared" si="6"/>
        <v>-0.75941241535546333</v>
      </c>
    </row>
    <row r="19" spans="1:20">
      <c r="A19" s="152">
        <v>712</v>
      </c>
      <c r="B19" s="484" t="str">
        <f>+VLOOKUP($A19,Master!$D$28:$G$224,4,FALSE)</f>
        <v>Doprinosi</v>
      </c>
      <c r="C19" s="485"/>
      <c r="D19" s="485"/>
      <c r="E19" s="485"/>
      <c r="F19" s="485"/>
      <c r="G19" s="171">
        <f>'2020'!S19</f>
        <v>58324056.109999999</v>
      </c>
      <c r="H19" s="171">
        <f>SUM('2020'!G112:H112)</f>
        <v>57886625.071521148</v>
      </c>
      <c r="I19" s="172">
        <f t="shared" si="0"/>
        <v>437431.03847885132</v>
      </c>
      <c r="J19" s="173">
        <f t="shared" si="1"/>
        <v>7.556685813663977E-3</v>
      </c>
      <c r="K19" s="171">
        <f>SUM('2019'!G19:H19)</f>
        <v>58411150.860000014</v>
      </c>
      <c r="L19" s="172">
        <f t="shared" si="7"/>
        <v>-87094.750000014901</v>
      </c>
      <c r="M19" s="174">
        <f t="shared" si="2"/>
        <v>-1.4910637561099671E-3</v>
      </c>
      <c r="N19" s="171">
        <f>'2020'!H19</f>
        <v>42574769.890000001</v>
      </c>
      <c r="O19" s="171">
        <f>'2020'!H112</f>
        <v>42050901.902156882</v>
      </c>
      <c r="P19" s="172">
        <f t="shared" si="3"/>
        <v>523867.98784311861</v>
      </c>
      <c r="Q19" s="173">
        <f t="shared" si="4"/>
        <v>1.2457948917767414E-2</v>
      </c>
      <c r="R19" s="171">
        <f>'2019'!H19</f>
        <v>41912269.38000001</v>
      </c>
      <c r="S19" s="172">
        <f t="shared" si="5"/>
        <v>662500.50999999046</v>
      </c>
      <c r="T19" s="174">
        <f t="shared" si="6"/>
        <v>1.580683937663685E-2</v>
      </c>
    </row>
    <row r="20" spans="1:20">
      <c r="A20" s="152">
        <v>7121</v>
      </c>
      <c r="B20" s="480" t="str">
        <f>+VLOOKUP($A20,Master!$D$28:$G$224,4,FALSE)</f>
        <v>Doprinosi za penzijsko i invalidsko osiguranje</v>
      </c>
      <c r="C20" s="481"/>
      <c r="D20" s="481"/>
      <c r="E20" s="481"/>
      <c r="F20" s="481"/>
      <c r="G20" s="165">
        <f>'2020'!S20</f>
        <v>36572526.460000001</v>
      </c>
      <c r="H20" s="165">
        <f>SUM('2020'!G113:H113)</f>
        <v>35001672.74526298</v>
      </c>
      <c r="I20" s="166">
        <f t="shared" si="0"/>
        <v>1570853.7147370204</v>
      </c>
      <c r="J20" s="167">
        <f t="shared" si="1"/>
        <v>4.487938979858086E-2</v>
      </c>
      <c r="K20" s="165">
        <f>SUM('2019'!G20:H20)</f>
        <v>34289555.840000004</v>
      </c>
      <c r="L20" s="166">
        <f t="shared" si="7"/>
        <v>2282970.6199999973</v>
      </c>
      <c r="M20" s="168">
        <f t="shared" si="2"/>
        <v>6.6579183196558978E-2</v>
      </c>
      <c r="N20" s="165">
        <f>'2020'!H20</f>
        <v>26782162.98</v>
      </c>
      <c r="O20" s="165">
        <f>'2020'!H113</f>
        <v>25247995.638608895</v>
      </c>
      <c r="P20" s="166">
        <f t="shared" si="3"/>
        <v>1534167.3413911052</v>
      </c>
      <c r="Q20" s="167">
        <f t="shared" si="4"/>
        <v>6.0763926109250299E-2</v>
      </c>
      <c r="R20" s="165">
        <f>'2019'!H20</f>
        <v>24593790.260000002</v>
      </c>
      <c r="S20" s="166">
        <f t="shared" si="5"/>
        <v>2188372.7199999988</v>
      </c>
      <c r="T20" s="168">
        <f t="shared" si="6"/>
        <v>8.8980701911540061E-2</v>
      </c>
    </row>
    <row r="21" spans="1:20">
      <c r="A21" s="152">
        <v>7122</v>
      </c>
      <c r="B21" s="480" t="str">
        <f>+VLOOKUP($A21,Master!$D$28:$G$224,4,FALSE)</f>
        <v>Doprinosi za zdravstveno osiguranje</v>
      </c>
      <c r="C21" s="481"/>
      <c r="D21" s="481"/>
      <c r="E21" s="481"/>
      <c r="F21" s="481"/>
      <c r="G21" s="165">
        <f>'2020'!S21</f>
        <v>18681304.850000001</v>
      </c>
      <c r="H21" s="165">
        <f>SUM('2020'!G114:H114)</f>
        <v>19853913.189377435</v>
      </c>
      <c r="I21" s="166">
        <f t="shared" si="0"/>
        <v>-1172608.3393774331</v>
      </c>
      <c r="J21" s="167">
        <f t="shared" si="1"/>
        <v>-5.9061824648494077E-2</v>
      </c>
      <c r="K21" s="165">
        <f>SUM('2019'!G21:H21)</f>
        <v>21085526.09</v>
      </c>
      <c r="L21" s="166">
        <f t="shared" si="7"/>
        <v>-2404221.2399999984</v>
      </c>
      <c r="M21" s="168">
        <f t="shared" si="2"/>
        <v>-0.11402235020070106</v>
      </c>
      <c r="N21" s="165">
        <f>'2020'!H21</f>
        <v>13521231.24</v>
      </c>
      <c r="O21" s="165">
        <f>'2020'!H114</f>
        <v>14597766.28354576</v>
      </c>
      <c r="P21" s="166">
        <f t="shared" si="3"/>
        <v>-1076535.0435457602</v>
      </c>
      <c r="Q21" s="167">
        <f t="shared" si="4"/>
        <v>-7.3746559756830976E-2</v>
      </c>
      <c r="R21" s="165">
        <f>'2019'!H21</f>
        <v>15122476.890000001</v>
      </c>
      <c r="S21" s="166">
        <f t="shared" si="5"/>
        <v>-1601245.6500000004</v>
      </c>
      <c r="T21" s="168">
        <f t="shared" si="6"/>
        <v>-0.10588514445400488</v>
      </c>
    </row>
    <row r="22" spans="1:20">
      <c r="A22" s="152">
        <v>7123</v>
      </c>
      <c r="B22" s="480" t="str">
        <f>+VLOOKUP($A22,Master!$D$28:$G$224,4,FALSE)</f>
        <v>Doprinosi za osiguranje od nezaposlenosti</v>
      </c>
      <c r="C22" s="481"/>
      <c r="D22" s="481"/>
      <c r="E22" s="481"/>
      <c r="F22" s="481"/>
      <c r="G22" s="165">
        <f>'2020'!S22</f>
        <v>1692469.6600000001</v>
      </c>
      <c r="H22" s="165">
        <f>SUM('2020'!G115:H115)</f>
        <v>1718473.0616131283</v>
      </c>
      <c r="I22" s="166">
        <f t="shared" si="0"/>
        <v>-26003.401613128139</v>
      </c>
      <c r="J22" s="167">
        <f t="shared" si="1"/>
        <v>-1.5131689983384877E-2</v>
      </c>
      <c r="K22" s="165">
        <f>SUM('2019'!G22:H22)</f>
        <v>1620197.27</v>
      </c>
      <c r="L22" s="166">
        <f t="shared" si="7"/>
        <v>72272.39000000013</v>
      </c>
      <c r="M22" s="168">
        <f t="shared" si="2"/>
        <v>4.4607154534953786E-2</v>
      </c>
      <c r="N22" s="165">
        <f>'2020'!H22</f>
        <v>1236727.53</v>
      </c>
      <c r="O22" s="165">
        <f>'2020'!H115</f>
        <v>1245019.9031552123</v>
      </c>
      <c r="P22" s="166">
        <f t="shared" si="3"/>
        <v>-8292.3731552122626</v>
      </c>
      <c r="Q22" s="167">
        <f t="shared" si="4"/>
        <v>-6.6604342100854419E-3</v>
      </c>
      <c r="R22" s="165">
        <f>'2019'!H22</f>
        <v>1160315.8500000001</v>
      </c>
      <c r="S22" s="166">
        <f t="shared" si="5"/>
        <v>76411.679999999935</v>
      </c>
      <c r="T22" s="168">
        <f t="shared" si="6"/>
        <v>6.5854206852384189E-2</v>
      </c>
    </row>
    <row r="23" spans="1:20">
      <c r="A23" s="152">
        <v>7124</v>
      </c>
      <c r="B23" s="480" t="str">
        <f>+VLOOKUP($A23,Master!$D$28:$G$224,4,FALSE)</f>
        <v>Ostali doprinosi</v>
      </c>
      <c r="C23" s="481"/>
      <c r="D23" s="481"/>
      <c r="E23" s="481"/>
      <c r="F23" s="481"/>
      <c r="G23" s="165">
        <f>'2020'!S23</f>
        <v>1377755.1400000001</v>
      </c>
      <c r="H23" s="165">
        <f>SUM('2020'!G116:H116)</f>
        <v>1312566.075267599</v>
      </c>
      <c r="I23" s="166">
        <f t="shared" si="0"/>
        <v>65189.064732401166</v>
      </c>
      <c r="J23" s="167">
        <f t="shared" si="1"/>
        <v>4.9665358537558379E-2</v>
      </c>
      <c r="K23" s="165">
        <f>SUM('2019'!G23:H23)</f>
        <v>1415871.6600000001</v>
      </c>
      <c r="L23" s="166">
        <f t="shared" si="7"/>
        <v>-38116.520000000019</v>
      </c>
      <c r="M23" s="168">
        <f t="shared" si="2"/>
        <v>-2.6920886318185122E-2</v>
      </c>
      <c r="N23" s="165">
        <f>'2020'!H23</f>
        <v>1034648.14</v>
      </c>
      <c r="O23" s="165">
        <f>'2020'!H116</f>
        <v>960120.0768470125</v>
      </c>
      <c r="P23" s="166">
        <f t="shared" si="3"/>
        <v>74528.06315298751</v>
      </c>
      <c r="Q23" s="167">
        <f t="shared" si="4"/>
        <v>7.7623689942756036E-2</v>
      </c>
      <c r="R23" s="165">
        <f>'2019'!H23</f>
        <v>1035686.38</v>
      </c>
      <c r="S23" s="166">
        <f t="shared" si="5"/>
        <v>-1038.2399999999907</v>
      </c>
      <c r="T23" s="168">
        <f t="shared" si="6"/>
        <v>-1.0024656305704926E-3</v>
      </c>
    </row>
    <row r="24" spans="1:20">
      <c r="A24" s="152">
        <v>713</v>
      </c>
      <c r="B24" s="482" t="str">
        <f>+VLOOKUP($A24,Master!$D$28:$G$224,4,FALSE)</f>
        <v>Takse</v>
      </c>
      <c r="C24" s="483"/>
      <c r="D24" s="483"/>
      <c r="E24" s="483"/>
      <c r="F24" s="483"/>
      <c r="G24" s="177">
        <f>'2020'!S24</f>
        <v>1515575.9300000002</v>
      </c>
      <c r="H24" s="177">
        <f>SUM('2020'!G117:H117)</f>
        <v>1869433.9697302801</v>
      </c>
      <c r="I24" s="178">
        <f t="shared" si="0"/>
        <v>-353858.03973027994</v>
      </c>
      <c r="J24" s="179">
        <f t="shared" si="1"/>
        <v>-0.18928619328626739</v>
      </c>
      <c r="K24" s="177">
        <f>SUM('2019'!G24:H24)</f>
        <v>1892287.66</v>
      </c>
      <c r="L24" s="178">
        <f t="shared" si="7"/>
        <v>-376711.72999999975</v>
      </c>
      <c r="M24" s="180">
        <f t="shared" si="2"/>
        <v>-0.19907741194063477</v>
      </c>
      <c r="N24" s="177">
        <f>'2020'!H24</f>
        <v>845756.92</v>
      </c>
      <c r="O24" s="177">
        <f>'2020'!H117</f>
        <v>1031159.7172819173</v>
      </c>
      <c r="P24" s="178">
        <f t="shared" si="3"/>
        <v>-185402.7972819173</v>
      </c>
      <c r="Q24" s="179">
        <f t="shared" si="4"/>
        <v>-0.17980027165008861</v>
      </c>
      <c r="R24" s="177">
        <f>'2019'!H24</f>
        <v>1041125.3899999999</v>
      </c>
      <c r="S24" s="178">
        <f t="shared" si="5"/>
        <v>-195368.46999999986</v>
      </c>
      <c r="T24" s="180">
        <f t="shared" si="6"/>
        <v>-0.18765123958796148</v>
      </c>
    </row>
    <row r="25" spans="1:20">
      <c r="A25" s="152">
        <v>714</v>
      </c>
      <c r="B25" s="482" t="str">
        <f>+VLOOKUP($A25,Master!$D$28:$G$224,4,FALSE)</f>
        <v>Naknade</v>
      </c>
      <c r="C25" s="483"/>
      <c r="D25" s="483"/>
      <c r="E25" s="483"/>
      <c r="F25" s="483"/>
      <c r="G25" s="177">
        <f>'2020'!S25</f>
        <v>4427341.7200000007</v>
      </c>
      <c r="H25" s="177">
        <f>SUM('2020'!G118:H118)</f>
        <v>4943649.8462292617</v>
      </c>
      <c r="I25" s="178">
        <f t="shared" si="0"/>
        <v>-516308.12622926105</v>
      </c>
      <c r="J25" s="179">
        <f t="shared" si="1"/>
        <v>-0.10443865206656411</v>
      </c>
      <c r="K25" s="177">
        <f>SUM('2019'!G25:H25)</f>
        <v>3856401.1100000003</v>
      </c>
      <c r="L25" s="178">
        <f t="shared" si="7"/>
        <v>570940.61000000034</v>
      </c>
      <c r="M25" s="180">
        <f t="shared" si="2"/>
        <v>0.14805011037868931</v>
      </c>
      <c r="N25" s="177">
        <f>'2020'!H25</f>
        <v>2200614.79</v>
      </c>
      <c r="O25" s="177">
        <f>'2020'!H118</f>
        <v>2815664.7061615512</v>
      </c>
      <c r="P25" s="178">
        <f t="shared" si="3"/>
        <v>-615049.91616155114</v>
      </c>
      <c r="Q25" s="179">
        <f t="shared" si="4"/>
        <v>-0.21843862119506996</v>
      </c>
      <c r="R25" s="177">
        <f>'2019'!H25</f>
        <v>1541397.86</v>
      </c>
      <c r="S25" s="178">
        <f t="shared" si="5"/>
        <v>659216.92999999993</v>
      </c>
      <c r="T25" s="180">
        <f t="shared" si="6"/>
        <v>0.42767474064094002</v>
      </c>
    </row>
    <row r="26" spans="1:20">
      <c r="A26" s="152">
        <v>715</v>
      </c>
      <c r="B26" s="482" t="str">
        <f>+VLOOKUP($A26,Master!$D$28:$G$224,4,FALSE)</f>
        <v>Ostali prihodi</v>
      </c>
      <c r="C26" s="483"/>
      <c r="D26" s="483"/>
      <c r="E26" s="483"/>
      <c r="F26" s="483"/>
      <c r="G26" s="177">
        <f>'2020'!S26</f>
        <v>3584992.15</v>
      </c>
      <c r="H26" s="177">
        <f>SUM('2020'!G119:H119)</f>
        <v>3785775.9326164555</v>
      </c>
      <c r="I26" s="178">
        <f t="shared" si="0"/>
        <v>-200783.78261645557</v>
      </c>
      <c r="J26" s="179">
        <f t="shared" si="1"/>
        <v>-5.3036361948048061E-2</v>
      </c>
      <c r="K26" s="177">
        <f>SUM('2019'!G26:H26)</f>
        <v>3766678.51</v>
      </c>
      <c r="L26" s="178">
        <f t="shared" si="7"/>
        <v>-181686.35999999987</v>
      </c>
      <c r="M26" s="180">
        <f t="shared" si="2"/>
        <v>-4.8235165150847914E-2</v>
      </c>
      <c r="N26" s="177">
        <f>'2020'!H26</f>
        <v>2100277.88</v>
      </c>
      <c r="O26" s="177">
        <f>'2020'!H119</f>
        <v>2455519.2816252089</v>
      </c>
      <c r="P26" s="178">
        <f t="shared" si="3"/>
        <v>-355241.40162520902</v>
      </c>
      <c r="Q26" s="179">
        <f t="shared" si="4"/>
        <v>-0.14467058120190734</v>
      </c>
      <c r="R26" s="177">
        <f>'2019'!H26</f>
        <v>2199531.1</v>
      </c>
      <c r="S26" s="178">
        <f t="shared" si="5"/>
        <v>-99253.220000000205</v>
      </c>
      <c r="T26" s="180" t="s">
        <v>756</v>
      </c>
    </row>
    <row r="27" spans="1:20">
      <c r="A27" s="152">
        <v>73</v>
      </c>
      <c r="B27" s="482" t="str">
        <f>+VLOOKUP($A27,Master!$D$28:$G$224,4,FALSE)</f>
        <v>Primici od otplate kredita i sredstva prenesena iz prethodne godine</v>
      </c>
      <c r="C27" s="483"/>
      <c r="D27" s="483"/>
      <c r="E27" s="483"/>
      <c r="F27" s="483"/>
      <c r="G27" s="177">
        <f>'2020'!S27</f>
        <v>894547.07000000007</v>
      </c>
      <c r="H27" s="177">
        <f>SUM('2020'!G120:H120)</f>
        <v>478414.19654372137</v>
      </c>
      <c r="I27" s="178">
        <f t="shared" si="0"/>
        <v>416132.8734562787</v>
      </c>
      <c r="J27" s="179">
        <f t="shared" si="1"/>
        <v>0.86981715104319468</v>
      </c>
      <c r="K27" s="177">
        <f>SUM('2019'!G27:H27)</f>
        <v>447496.92</v>
      </c>
      <c r="L27" s="178">
        <f t="shared" si="7"/>
        <v>447050.15000000008</v>
      </c>
      <c r="M27" s="180">
        <f t="shared" si="2"/>
        <v>0.99900162441341522</v>
      </c>
      <c r="N27" s="177">
        <f>'2020'!H27</f>
        <v>813727.89</v>
      </c>
      <c r="O27" s="177">
        <f>'2020'!H120</f>
        <v>404477.17367200274</v>
      </c>
      <c r="P27" s="178">
        <f t="shared" si="3"/>
        <v>409250.71632799727</v>
      </c>
      <c r="Q27" s="179">
        <f t="shared" si="4"/>
        <v>1.0118017603135883</v>
      </c>
      <c r="R27" s="177">
        <f>'2019'!H27</f>
        <v>378338.04</v>
      </c>
      <c r="S27" s="178">
        <f t="shared" si="5"/>
        <v>435389.85000000003</v>
      </c>
      <c r="T27" s="180" t="s">
        <v>756</v>
      </c>
    </row>
    <row r="28" spans="1:20" ht="15.75" thickBot="1">
      <c r="A28" s="152">
        <v>74</v>
      </c>
      <c r="B28" s="486" t="str">
        <f>+VLOOKUP($A28,Master!$D$28:$G$224,4,FALSE)</f>
        <v>Donacije i transferi</v>
      </c>
      <c r="C28" s="487"/>
      <c r="D28" s="487"/>
      <c r="E28" s="487"/>
      <c r="F28" s="487"/>
      <c r="G28" s="177">
        <f>'2020'!S28</f>
        <v>2390754.37</v>
      </c>
      <c r="H28" s="177">
        <f>SUM('2020'!G121:H121)</f>
        <v>2607426.9293976622</v>
      </c>
      <c r="I28" s="178">
        <f t="shared" si="0"/>
        <v>-216672.55939766206</v>
      </c>
      <c r="J28" s="179">
        <f t="shared" si="1"/>
        <v>-8.309822873836592E-2</v>
      </c>
      <c r="K28" s="177">
        <f>SUM('2019'!G28:H28)</f>
        <v>14526530.540000001</v>
      </c>
      <c r="L28" s="178">
        <f t="shared" si="7"/>
        <v>-12135776.170000002</v>
      </c>
      <c r="M28" s="180">
        <f t="shared" si="2"/>
        <v>-0.83542151627899996</v>
      </c>
      <c r="N28" s="177">
        <f>'2020'!H28</f>
        <v>1636489.54</v>
      </c>
      <c r="O28" s="177">
        <f>'2020'!H121</f>
        <v>1586793.9118979024</v>
      </c>
      <c r="P28" s="178">
        <f t="shared" si="3"/>
        <v>49695.62810209766</v>
      </c>
      <c r="Q28" s="179">
        <f t="shared" si="4"/>
        <v>3.1318262396569541E-2</v>
      </c>
      <c r="R28" s="177">
        <f>'2019'!H28</f>
        <v>1000413.32</v>
      </c>
      <c r="S28" s="178">
        <f t="shared" si="5"/>
        <v>636076.22000000009</v>
      </c>
      <c r="T28" s="180">
        <f t="shared" si="6"/>
        <v>0.63581342559493326</v>
      </c>
    </row>
    <row r="29" spans="1:20" ht="15.75" thickBot="1">
      <c r="A29" s="152">
        <v>4</v>
      </c>
      <c r="B29" s="488" t="str">
        <f>+VLOOKUP($A29,Master!$D$28:$G$224,4,FALSE)</f>
        <v>Izdaci</v>
      </c>
      <c r="C29" s="489"/>
      <c r="D29" s="489"/>
      <c r="E29" s="489"/>
      <c r="F29" s="489"/>
      <c r="G29" s="153">
        <f>'2020'!S29</f>
        <v>274123741.02999997</v>
      </c>
      <c r="H29" s="153">
        <f>SUM('2020'!G122:H122)</f>
        <v>368764572.81</v>
      </c>
      <c r="I29" s="154">
        <f t="shared" si="0"/>
        <v>-94640831.780000031</v>
      </c>
      <c r="J29" s="155">
        <f t="shared" si="1"/>
        <v>-0.25664296073463166</v>
      </c>
      <c r="K29" s="153">
        <f>SUM('2019'!G29:H29)</f>
        <v>270492067.12</v>
      </c>
      <c r="L29" s="154">
        <f t="shared" si="7"/>
        <v>3631673.9099999666</v>
      </c>
      <c r="M29" s="156">
        <f t="shared" si="2"/>
        <v>1.3426175298475007E-2</v>
      </c>
      <c r="N29" s="153">
        <f>'2020'!H29</f>
        <v>145830038.18000001</v>
      </c>
      <c r="O29" s="153">
        <f>'2020'!H122</f>
        <v>185516550.24000001</v>
      </c>
      <c r="P29" s="154">
        <f t="shared" si="3"/>
        <v>-39686512.060000002</v>
      </c>
      <c r="Q29" s="155">
        <f t="shared" si="4"/>
        <v>-0.21392437498788197</v>
      </c>
      <c r="R29" s="153">
        <f>'2019'!H29</f>
        <v>130930029.51000001</v>
      </c>
      <c r="S29" s="154">
        <f t="shared" si="5"/>
        <v>14900008.670000002</v>
      </c>
      <c r="T29" s="156">
        <f t="shared" si="6"/>
        <v>0.11380130842223624</v>
      </c>
    </row>
    <row r="30" spans="1:20">
      <c r="A30" s="152">
        <v>41</v>
      </c>
      <c r="B30" s="492" t="str">
        <f>+VLOOKUP($A30,Master!$D$28:$G$224,4,FALSE)</f>
        <v>Tekući izdaci</v>
      </c>
      <c r="C30" s="493"/>
      <c r="D30" s="493"/>
      <c r="E30" s="493"/>
      <c r="F30" s="493"/>
      <c r="G30" s="327">
        <f>'2020'!S30</f>
        <v>116202672.79000001</v>
      </c>
      <c r="H30" s="327">
        <f>SUM('2020'!G123:H123)</f>
        <v>144992605.38</v>
      </c>
      <c r="I30" s="190">
        <f t="shared" si="0"/>
        <v>-28789932.589999989</v>
      </c>
      <c r="J30" s="191">
        <f t="shared" si="1"/>
        <v>-0.19856138535166445</v>
      </c>
      <c r="K30" s="327">
        <f>SUM('2019'!G31:H31)</f>
        <v>108510912.31999999</v>
      </c>
      <c r="L30" s="190">
        <f t="shared" si="7"/>
        <v>7691760.4700000137</v>
      </c>
      <c r="M30" s="192">
        <f t="shared" si="2"/>
        <v>7.0884672384994074E-2</v>
      </c>
      <c r="N30" s="327">
        <f>'2020'!H30</f>
        <v>62613332.680000007</v>
      </c>
      <c r="O30" s="327">
        <f>'2020'!H123</f>
        <v>71870828.99000001</v>
      </c>
      <c r="P30" s="190">
        <f t="shared" si="3"/>
        <v>-9257496.3100000024</v>
      </c>
      <c r="Q30" s="191">
        <f t="shared" si="4"/>
        <v>-0.12880742354158836</v>
      </c>
      <c r="R30" s="327">
        <f>'2019'!H31</f>
        <v>57511093.159999996</v>
      </c>
      <c r="S30" s="190">
        <f t="shared" si="5"/>
        <v>5102239.5200000107</v>
      </c>
      <c r="T30" s="192">
        <f t="shared" si="6"/>
        <v>8.8717484569545757E-2</v>
      </c>
    </row>
    <row r="31" spans="1:20">
      <c r="A31" s="152">
        <v>411</v>
      </c>
      <c r="B31" s="480" t="str">
        <f>+VLOOKUP($A31,Master!$D$28:$G$224,4,FALSE)</f>
        <v>Bruto zarade i doprinosi na teret poslodavca</v>
      </c>
      <c r="C31" s="481"/>
      <c r="D31" s="481"/>
      <c r="E31" s="481"/>
      <c r="F31" s="481"/>
      <c r="G31" s="165">
        <f>'2020'!S31</f>
        <v>82247732.550000012</v>
      </c>
      <c r="H31" s="165">
        <f>SUM('2020'!G124:H124)</f>
        <v>84282354.409999996</v>
      </c>
      <c r="I31" s="166">
        <f t="shared" si="0"/>
        <v>-2034621.8599999845</v>
      </c>
      <c r="J31" s="167">
        <f t="shared" si="1"/>
        <v>-2.4140543702687256E-2</v>
      </c>
      <c r="K31" s="165">
        <f>SUM('2019'!G32:H32)</f>
        <v>77501781.719999999</v>
      </c>
      <c r="L31" s="166">
        <f t="shared" si="7"/>
        <v>4745950.8300000131</v>
      </c>
      <c r="M31" s="168">
        <f t="shared" si="2"/>
        <v>6.123666739877387E-2</v>
      </c>
      <c r="N31" s="165">
        <f>'2020'!H31</f>
        <v>41362850.270000003</v>
      </c>
      <c r="O31" s="165">
        <f>'2020'!H124</f>
        <v>41847774.170000002</v>
      </c>
      <c r="P31" s="166">
        <f t="shared" si="3"/>
        <v>-484923.89999999851</v>
      </c>
      <c r="Q31" s="167">
        <f t="shared" si="4"/>
        <v>-1.1587806272086776E-2</v>
      </c>
      <c r="R31" s="165">
        <f>'2019'!H32</f>
        <v>38603036.109999999</v>
      </c>
      <c r="S31" s="166">
        <f t="shared" si="5"/>
        <v>2759814.1600000039</v>
      </c>
      <c r="T31" s="168">
        <f t="shared" si="6"/>
        <v>7.1492152900509254E-2</v>
      </c>
    </row>
    <row r="32" spans="1:20">
      <c r="A32" s="152">
        <v>412</v>
      </c>
      <c r="B32" s="480" t="str">
        <f>+VLOOKUP($A32,Master!$D$28:$G$224,4,FALSE)</f>
        <v>Ostala lična primanja</v>
      </c>
      <c r="C32" s="481"/>
      <c r="D32" s="481"/>
      <c r="E32" s="481"/>
      <c r="F32" s="481"/>
      <c r="G32" s="165">
        <f>'2020'!S32</f>
        <v>1558773.0699999998</v>
      </c>
      <c r="H32" s="165">
        <f>SUM('2020'!G125:H125)</f>
        <v>3009809.1</v>
      </c>
      <c r="I32" s="166">
        <f t="shared" si="0"/>
        <v>-1451036.0300000003</v>
      </c>
      <c r="J32" s="167">
        <f t="shared" si="1"/>
        <v>-0.48210234662391049</v>
      </c>
      <c r="K32" s="165">
        <f>SUM('2019'!G33:H33)</f>
        <v>1466274.28</v>
      </c>
      <c r="L32" s="166">
        <f t="shared" si="7"/>
        <v>92498.789999999804</v>
      </c>
      <c r="M32" s="168">
        <f t="shared" si="2"/>
        <v>6.3084234144787477E-2</v>
      </c>
      <c r="N32" s="165">
        <f>'2020'!H32</f>
        <v>1082169.6499999999</v>
      </c>
      <c r="O32" s="165">
        <f>'2020'!H125</f>
        <v>1561133.83</v>
      </c>
      <c r="P32" s="166">
        <f t="shared" si="3"/>
        <v>-478964.18000000017</v>
      </c>
      <c r="Q32" s="167">
        <f t="shared" si="4"/>
        <v>-0.30680533007218236</v>
      </c>
      <c r="R32" s="165">
        <f>'2019'!H33</f>
        <v>1033562.51</v>
      </c>
      <c r="S32" s="166">
        <f t="shared" si="5"/>
        <v>48607.139999999898</v>
      </c>
      <c r="T32" s="168">
        <f t="shared" si="6"/>
        <v>4.7028737526479958E-2</v>
      </c>
    </row>
    <row r="33" spans="1:20">
      <c r="A33" s="152">
        <v>413</v>
      </c>
      <c r="B33" s="480" t="str">
        <f>+VLOOKUP($A33,Master!$D$28:$G$224,4,FALSE)</f>
        <v>Rashodi za materijal</v>
      </c>
      <c r="C33" s="481"/>
      <c r="D33" s="481"/>
      <c r="E33" s="481"/>
      <c r="F33" s="481"/>
      <c r="G33" s="165">
        <f>'2020'!S33</f>
        <v>5117135.71</v>
      </c>
      <c r="H33" s="165">
        <f>SUM('2020'!G126:H126)</f>
        <v>7513419.2799999993</v>
      </c>
      <c r="I33" s="166">
        <f t="shared" si="0"/>
        <v>-2396283.5699999994</v>
      </c>
      <c r="J33" s="167">
        <f t="shared" si="1"/>
        <v>-0.31893382768863654</v>
      </c>
      <c r="K33" s="165">
        <f>SUM('2019'!G34:H34)</f>
        <v>3336109.3499999996</v>
      </c>
      <c r="L33" s="166">
        <f t="shared" si="7"/>
        <v>1781026.3600000003</v>
      </c>
      <c r="M33" s="168">
        <f t="shared" si="2"/>
        <v>0.53386330397113646</v>
      </c>
      <c r="N33" s="165">
        <f>'2020'!H33</f>
        <v>4271561.3099999996</v>
      </c>
      <c r="O33" s="165">
        <f>'2020'!H126</f>
        <v>4599941.68</v>
      </c>
      <c r="P33" s="166">
        <f t="shared" si="3"/>
        <v>-328380.37000000011</v>
      </c>
      <c r="Q33" s="167">
        <f t="shared" si="4"/>
        <v>-7.1387942031473806E-2</v>
      </c>
      <c r="R33" s="165">
        <f>'2019'!H34</f>
        <v>2487120.0499999998</v>
      </c>
      <c r="S33" s="166">
        <f t="shared" si="5"/>
        <v>1784441.2599999998</v>
      </c>
      <c r="T33" s="168">
        <f t="shared" si="6"/>
        <v>0.71747291008329084</v>
      </c>
    </row>
    <row r="34" spans="1:20">
      <c r="A34" s="152">
        <v>414</v>
      </c>
      <c r="B34" s="480" t="str">
        <f>+VLOOKUP($A34,Master!$D$28:$G$224,4,FALSE)</f>
        <v>Rashodi za usluge</v>
      </c>
      <c r="C34" s="481"/>
      <c r="D34" s="481"/>
      <c r="E34" s="481"/>
      <c r="F34" s="481"/>
      <c r="G34" s="165">
        <f>'2020'!S34</f>
        <v>7327731.4399999995</v>
      </c>
      <c r="H34" s="165">
        <f>SUM('2020'!G127:H127)</f>
        <v>16912671.25</v>
      </c>
      <c r="I34" s="166">
        <f t="shared" si="0"/>
        <v>-9584939.8100000005</v>
      </c>
      <c r="J34" s="167">
        <f t="shared" si="1"/>
        <v>-0.56673127906982756</v>
      </c>
      <c r="K34" s="165">
        <f>SUM('2019'!G35:H35)</f>
        <v>6373587.7400000002</v>
      </c>
      <c r="L34" s="166">
        <f t="shared" si="7"/>
        <v>954143.69999999925</v>
      </c>
      <c r="M34" s="168">
        <f t="shared" si="2"/>
        <v>0.14970276380003189</v>
      </c>
      <c r="N34" s="165">
        <f>'2020'!H34</f>
        <v>5801121.7699999996</v>
      </c>
      <c r="O34" s="165">
        <f>'2020'!H127</f>
        <v>8893323</v>
      </c>
      <c r="P34" s="166">
        <f t="shared" si="3"/>
        <v>-3092201.2300000004</v>
      </c>
      <c r="Q34" s="167">
        <f t="shared" si="4"/>
        <v>-0.34769919297882246</v>
      </c>
      <c r="R34" s="165">
        <f>'2019'!H35</f>
        <v>3614550.9200000004</v>
      </c>
      <c r="S34" s="166">
        <f t="shared" si="5"/>
        <v>2186570.8499999992</v>
      </c>
      <c r="T34" s="168">
        <f t="shared" si="6"/>
        <v>0.60493568866364145</v>
      </c>
    </row>
    <row r="35" spans="1:20">
      <c r="A35" s="152">
        <v>415</v>
      </c>
      <c r="B35" s="480" t="str">
        <f>+VLOOKUP($A35,Master!$D$28:$G$224,4,FALSE)</f>
        <v>Rashodi za tekuće održavanje</v>
      </c>
      <c r="C35" s="481"/>
      <c r="D35" s="481"/>
      <c r="E35" s="481"/>
      <c r="F35" s="481"/>
      <c r="G35" s="165">
        <f>'2020'!S35</f>
        <v>2374175.7200000002</v>
      </c>
      <c r="H35" s="165">
        <f>SUM('2020'!G128:H128)</f>
        <v>4982793.97</v>
      </c>
      <c r="I35" s="166">
        <f t="shared" si="0"/>
        <v>-2608618.2499999995</v>
      </c>
      <c r="J35" s="167">
        <f t="shared" si="1"/>
        <v>-0.52352520808722092</v>
      </c>
      <c r="K35" s="165">
        <f>SUM('2019'!G36:H36)</f>
        <v>1636455.6</v>
      </c>
      <c r="L35" s="166">
        <f t="shared" si="7"/>
        <v>737720.12000000011</v>
      </c>
      <c r="M35" s="168">
        <f t="shared" si="2"/>
        <v>0.45080362705838151</v>
      </c>
      <c r="N35" s="165">
        <f>'2020'!H35</f>
        <v>2265483.7400000002</v>
      </c>
      <c r="O35" s="165">
        <f>'2020'!H128</f>
        <v>2696315.32</v>
      </c>
      <c r="P35" s="166">
        <f t="shared" si="3"/>
        <v>-430831.57999999961</v>
      </c>
      <c r="Q35" s="167">
        <f t="shared" si="4"/>
        <v>-0.15978531027298382</v>
      </c>
      <c r="R35" s="165">
        <f>'2019'!H36</f>
        <v>1530055.86</v>
      </c>
      <c r="S35" s="166">
        <f t="shared" si="5"/>
        <v>735427.88000000012</v>
      </c>
      <c r="T35" s="168">
        <f t="shared" si="6"/>
        <v>0.48065426840037073</v>
      </c>
    </row>
    <row r="36" spans="1:20">
      <c r="A36" s="152">
        <v>416</v>
      </c>
      <c r="B36" s="480" t="str">
        <f>+VLOOKUP($A36,Master!$D$28:$G$224,4,FALSE)</f>
        <v>Kamate</v>
      </c>
      <c r="C36" s="481"/>
      <c r="D36" s="481"/>
      <c r="E36" s="481"/>
      <c r="F36" s="481"/>
      <c r="G36" s="165">
        <f>'2020'!S36</f>
        <v>9386043.0999999996</v>
      </c>
      <c r="H36" s="165">
        <f>SUM('2020'!G129:H129)</f>
        <v>8264503.2699999996</v>
      </c>
      <c r="I36" s="166">
        <f t="shared" si="0"/>
        <v>1121539.83</v>
      </c>
      <c r="J36" s="167">
        <f t="shared" si="1"/>
        <v>0.13570565505989562</v>
      </c>
      <c r="K36" s="165">
        <f>SUM('2019'!G37:H37)</f>
        <v>7154194.4400000004</v>
      </c>
      <c r="L36" s="166">
        <f t="shared" si="7"/>
        <v>2231848.6599999992</v>
      </c>
      <c r="M36" s="168">
        <f t="shared" si="2"/>
        <v>0.31196365694528128</v>
      </c>
      <c r="N36" s="165">
        <f>'2020'!H36</f>
        <v>1839801.88</v>
      </c>
      <c r="O36" s="165">
        <f>'2020'!H129</f>
        <v>928779.86</v>
      </c>
      <c r="P36" s="166">
        <f t="shared" si="3"/>
        <v>911022.0199999999</v>
      </c>
      <c r="Q36" s="167">
        <f t="shared" si="4"/>
        <v>0.98088046396699413</v>
      </c>
      <c r="R36" s="165">
        <f>'2019'!H37</f>
        <v>999341.54</v>
      </c>
      <c r="S36" s="166">
        <f t="shared" si="5"/>
        <v>840460.33999999985</v>
      </c>
      <c r="T36" s="168">
        <f t="shared" si="6"/>
        <v>0.84101411415360539</v>
      </c>
    </row>
    <row r="37" spans="1:20">
      <c r="A37" s="152">
        <v>417</v>
      </c>
      <c r="B37" s="480" t="str">
        <f>+VLOOKUP($A37,Master!$D$28:$G$224,4,FALSE)</f>
        <v>Renta</v>
      </c>
      <c r="C37" s="481"/>
      <c r="D37" s="481"/>
      <c r="E37" s="481"/>
      <c r="F37" s="481"/>
      <c r="G37" s="165">
        <f>'2020'!S37</f>
        <v>1546828.19</v>
      </c>
      <c r="H37" s="165">
        <f>SUM('2020'!G130:H130)</f>
        <v>1857200.5500000003</v>
      </c>
      <c r="I37" s="166">
        <f t="shared" si="0"/>
        <v>-310372.36000000034</v>
      </c>
      <c r="J37" s="167">
        <f t="shared" si="1"/>
        <v>-0.16711838686457436</v>
      </c>
      <c r="K37" s="165">
        <f>SUM('2019'!G38:H38)</f>
        <v>995260.11</v>
      </c>
      <c r="L37" s="166">
        <f t="shared" si="7"/>
        <v>551568.07999999996</v>
      </c>
      <c r="M37" s="168">
        <f t="shared" si="2"/>
        <v>0.55419490287820339</v>
      </c>
      <c r="N37" s="165">
        <f>'2020'!H37</f>
        <v>930050.26</v>
      </c>
      <c r="O37" s="165">
        <f>'2020'!H130</f>
        <v>912063.00000000012</v>
      </c>
      <c r="P37" s="166">
        <f t="shared" si="3"/>
        <v>17987.259999999893</v>
      </c>
      <c r="Q37" s="167">
        <f t="shared" si="4"/>
        <v>1.9721510465833925E-2</v>
      </c>
      <c r="R37" s="165">
        <f>'2019'!H38</f>
        <v>777233.65</v>
      </c>
      <c r="S37" s="166">
        <f t="shared" si="5"/>
        <v>152816.60999999999</v>
      </c>
      <c r="T37" s="168">
        <f t="shared" si="6"/>
        <v>0.19661604975543701</v>
      </c>
    </row>
    <row r="38" spans="1:20">
      <c r="A38" s="152">
        <v>418</v>
      </c>
      <c r="B38" s="480" t="str">
        <f>+VLOOKUP($A38,Master!$D$28:$G$224,4,FALSE)</f>
        <v>Subvencije</v>
      </c>
      <c r="C38" s="481"/>
      <c r="D38" s="481"/>
      <c r="E38" s="481"/>
      <c r="F38" s="481"/>
      <c r="G38" s="165">
        <f>'2020'!S38</f>
        <v>1398623.19</v>
      </c>
      <c r="H38" s="165">
        <f>SUM('2020'!G131:H131)</f>
        <v>7262223.2400000002</v>
      </c>
      <c r="I38" s="166">
        <f t="shared" si="0"/>
        <v>-5863600.0500000007</v>
      </c>
      <c r="J38" s="167">
        <f t="shared" si="1"/>
        <v>-0.80741115443870604</v>
      </c>
      <c r="K38" s="165">
        <f>SUM('2019'!G39:H39)</f>
        <v>1918638.81</v>
      </c>
      <c r="L38" s="166">
        <f t="shared" si="7"/>
        <v>-520015.62000000011</v>
      </c>
      <c r="M38" s="168">
        <f t="shared" si="2"/>
        <v>-0.2710336188810859</v>
      </c>
      <c r="N38" s="165">
        <f>'2020'!H38</f>
        <v>1211715.27</v>
      </c>
      <c r="O38" s="165">
        <f>'2020'!H131</f>
        <v>3639444.95</v>
      </c>
      <c r="P38" s="166">
        <f t="shared" si="3"/>
        <v>-2427729.6800000002</v>
      </c>
      <c r="Q38" s="167">
        <f t="shared" si="4"/>
        <v>-0.66706042084796469</v>
      </c>
      <c r="R38" s="165">
        <f>'2019'!H39</f>
        <v>1819632.21</v>
      </c>
      <c r="S38" s="166">
        <f t="shared" si="5"/>
        <v>-607916.93999999994</v>
      </c>
      <c r="T38" s="168">
        <f t="shared" si="6"/>
        <v>-0.33408780997562137</v>
      </c>
    </row>
    <row r="39" spans="1:20">
      <c r="A39" s="152">
        <v>419</v>
      </c>
      <c r="B39" s="480" t="str">
        <f>+VLOOKUP($A39,Master!$D$28:$G$224,4,FALSE)</f>
        <v>Ostali izdaci</v>
      </c>
      <c r="C39" s="481"/>
      <c r="D39" s="481"/>
      <c r="E39" s="481"/>
      <c r="F39" s="481"/>
      <c r="G39" s="165">
        <f>'2020'!S39</f>
        <v>5245629.82</v>
      </c>
      <c r="H39" s="165">
        <f>SUM('2020'!G132:H132)</f>
        <v>10907630.309999999</v>
      </c>
      <c r="I39" s="166">
        <f t="shared" si="0"/>
        <v>-5662000.4899999984</v>
      </c>
      <c r="J39" s="167">
        <f t="shared" si="1"/>
        <v>-0.51908621112774034</v>
      </c>
      <c r="K39" s="165">
        <f>SUM('2019'!G40:H40)</f>
        <v>3778083.5199999996</v>
      </c>
      <c r="L39" s="166">
        <f t="shared" si="7"/>
        <v>1467546.3000000007</v>
      </c>
      <c r="M39" s="168">
        <f t="shared" si="2"/>
        <v>0.38843670136757624</v>
      </c>
      <c r="N39" s="165">
        <f>'2020'!H39</f>
        <v>3848578.53</v>
      </c>
      <c r="O39" s="165">
        <f>'2020'!H132</f>
        <v>6792053.1799999997</v>
      </c>
      <c r="P39" s="166">
        <f t="shared" si="3"/>
        <v>-2943474.65</v>
      </c>
      <c r="Q39" s="167">
        <f t="shared" si="4"/>
        <v>-0.43337037740920636</v>
      </c>
      <c r="R39" s="165">
        <f>'2019'!H40</f>
        <v>3184422.4499999997</v>
      </c>
      <c r="S39" s="166">
        <f t="shared" si="5"/>
        <v>664156.08000000007</v>
      </c>
      <c r="T39" s="168">
        <f t="shared" si="6"/>
        <v>0.20856406159302132</v>
      </c>
    </row>
    <row r="40" spans="1:20">
      <c r="A40" s="152">
        <v>42</v>
      </c>
      <c r="B40" s="496" t="str">
        <f>+VLOOKUP($A40,Master!$D$28:$G$224,4,FALSE)</f>
        <v>Transferi za socijalnu zaštitu</v>
      </c>
      <c r="C40" s="497"/>
      <c r="D40" s="497"/>
      <c r="E40" s="497"/>
      <c r="F40" s="497"/>
      <c r="G40" s="177">
        <f>'2020'!S40</f>
        <v>91207251.61999999</v>
      </c>
      <c r="H40" s="177">
        <f>SUM('2020'!G133:H133)</f>
        <v>96720981.770000011</v>
      </c>
      <c r="I40" s="196">
        <f t="shared" si="0"/>
        <v>-5513730.1500000209</v>
      </c>
      <c r="J40" s="197">
        <f t="shared" si="1"/>
        <v>-5.7006556892810756E-2</v>
      </c>
      <c r="K40" s="177">
        <f>SUM('2019'!G42:H42)</f>
        <v>89157926.390000015</v>
      </c>
      <c r="L40" s="196">
        <f t="shared" si="7"/>
        <v>2049325.2299999744</v>
      </c>
      <c r="M40" s="198">
        <f t="shared" si="2"/>
        <v>2.2985339755836165E-2</v>
      </c>
      <c r="N40" s="177">
        <f>'2020'!H40</f>
        <v>47462833.379999995</v>
      </c>
      <c r="O40" s="177">
        <f>'2020'!H133</f>
        <v>48997792.730000004</v>
      </c>
      <c r="P40" s="196">
        <f t="shared" si="3"/>
        <v>-1534959.3500000089</v>
      </c>
      <c r="Q40" s="197">
        <f t="shared" si="4"/>
        <v>-3.1327112191733342E-2</v>
      </c>
      <c r="R40" s="177">
        <f>'2019'!H42</f>
        <v>46594745.439999998</v>
      </c>
      <c r="S40" s="196">
        <f t="shared" si="5"/>
        <v>868087.93999999762</v>
      </c>
      <c r="T40" s="198">
        <f t="shared" si="6"/>
        <v>1.8630597330289822E-2</v>
      </c>
    </row>
    <row r="41" spans="1:20">
      <c r="A41" s="152">
        <v>421</v>
      </c>
      <c r="B41" s="480" t="str">
        <f>+VLOOKUP($A41,Master!$D$28:$G$224,4,FALSE)</f>
        <v>Prava iz oblasti socijalne zaštite</v>
      </c>
      <c r="C41" s="481"/>
      <c r="D41" s="481"/>
      <c r="E41" s="481"/>
      <c r="F41" s="481"/>
      <c r="G41" s="165">
        <f>'2020'!S41</f>
        <v>13622859.85</v>
      </c>
      <c r="H41" s="165">
        <f>SUM('2020'!G134:H134)</f>
        <v>14174211.690000001</v>
      </c>
      <c r="I41" s="166">
        <f t="shared" si="0"/>
        <v>-551351.84000000171</v>
      </c>
      <c r="J41" s="167">
        <f t="shared" si="1"/>
        <v>-3.8898236604507863E-2</v>
      </c>
      <c r="K41" s="165">
        <f>SUM('2019'!G43:H43)</f>
        <v>12913110.01</v>
      </c>
      <c r="L41" s="166">
        <f t="shared" si="7"/>
        <v>709749.83999999985</v>
      </c>
      <c r="M41" s="168">
        <f t="shared" si="2"/>
        <v>5.4963509135317778E-2</v>
      </c>
      <c r="N41" s="165">
        <f>'2020'!H41</f>
        <v>7174722.5199999996</v>
      </c>
      <c r="O41" s="165">
        <f>'2020'!H134</f>
        <v>7724407.6900000004</v>
      </c>
      <c r="P41" s="166">
        <f t="shared" si="3"/>
        <v>-549685.17000000086</v>
      </c>
      <c r="Q41" s="167">
        <f t="shared" si="4"/>
        <v>-7.1162112625363094E-2</v>
      </c>
      <c r="R41" s="165">
        <f>'2019'!H43</f>
        <v>6928715.1699999999</v>
      </c>
      <c r="S41" s="166">
        <f t="shared" si="5"/>
        <v>246007.34999999963</v>
      </c>
      <c r="T41" s="168">
        <f t="shared" si="6"/>
        <v>3.5505478860664352E-2</v>
      </c>
    </row>
    <row r="42" spans="1:20">
      <c r="A42" s="152">
        <v>422</v>
      </c>
      <c r="B42" s="480" t="str">
        <f>+VLOOKUP($A42,Master!$D$28:$G$224,4,FALSE)</f>
        <v>Sredstva za tehnološke viškove</v>
      </c>
      <c r="C42" s="481"/>
      <c r="D42" s="481"/>
      <c r="E42" s="481"/>
      <c r="F42" s="481"/>
      <c r="G42" s="165">
        <f>'2020'!S42</f>
        <v>1661437.6</v>
      </c>
      <c r="H42" s="165">
        <f>SUM('2020'!G135:H135)</f>
        <v>3746704</v>
      </c>
      <c r="I42" s="166">
        <f t="shared" si="0"/>
        <v>-2085266.4</v>
      </c>
      <c r="J42" s="167">
        <f t="shared" si="1"/>
        <v>-0.55656021932877531</v>
      </c>
      <c r="K42" s="165">
        <f>SUM('2019'!G44:H44)</f>
        <v>1242674.72</v>
      </c>
      <c r="L42" s="166">
        <f t="shared" si="7"/>
        <v>418762.88000000012</v>
      </c>
      <c r="M42" s="168">
        <f t="shared" si="2"/>
        <v>0.33698511224240568</v>
      </c>
      <c r="N42" s="165">
        <f>'2020'!H42</f>
        <v>1607182</v>
      </c>
      <c r="O42" s="165">
        <f>'2020'!H135</f>
        <v>1873352</v>
      </c>
      <c r="P42" s="166">
        <f t="shared" si="3"/>
        <v>-266170</v>
      </c>
      <c r="Q42" s="167">
        <f t="shared" si="4"/>
        <v>-0.14208221412740374</v>
      </c>
      <c r="R42" s="165">
        <f>'2019'!H44</f>
        <v>1198874.72</v>
      </c>
      <c r="S42" s="166">
        <f t="shared" si="5"/>
        <v>408307.28</v>
      </c>
      <c r="T42" s="168">
        <f t="shared" si="6"/>
        <v>0.34057543560514825</v>
      </c>
    </row>
    <row r="43" spans="1:20">
      <c r="A43" s="152">
        <v>423</v>
      </c>
      <c r="B43" s="480" t="str">
        <f>+VLOOKUP($A43,Master!$D$28:$G$224,4,FALSE)</f>
        <v>Prava iz oblasti penzijskog i invalidskog osiguranja</v>
      </c>
      <c r="C43" s="481"/>
      <c r="D43" s="481"/>
      <c r="E43" s="481"/>
      <c r="F43" s="481"/>
      <c r="G43" s="165">
        <f>'2020'!S43</f>
        <v>70885997</v>
      </c>
      <c r="H43" s="165">
        <f>SUM('2020'!G136:H136)</f>
        <v>73695899.079999998</v>
      </c>
      <c r="I43" s="166">
        <f t="shared" si="0"/>
        <v>-2809902.0799999982</v>
      </c>
      <c r="J43" s="167">
        <f t="shared" si="1"/>
        <v>-3.8128337059158857E-2</v>
      </c>
      <c r="K43" s="165">
        <f>SUM('2019'!G45:H45)</f>
        <v>69993455.069999993</v>
      </c>
      <c r="L43" s="166">
        <f t="shared" si="7"/>
        <v>892541.93000000715</v>
      </c>
      <c r="M43" s="168">
        <f t="shared" si="2"/>
        <v>1.2751791279733027E-2</v>
      </c>
      <c r="N43" s="165">
        <f>'2020'!H43</f>
        <v>36010789.840000004</v>
      </c>
      <c r="O43" s="165">
        <f>'2020'!H136</f>
        <v>36847949.539999999</v>
      </c>
      <c r="P43" s="166">
        <f t="shared" si="3"/>
        <v>-837159.69999999553</v>
      </c>
      <c r="Q43" s="167">
        <f t="shared" si="4"/>
        <v>-2.2719302171514966E-2</v>
      </c>
      <c r="R43" s="165">
        <f>'2019'!H45</f>
        <v>35530204.509999998</v>
      </c>
      <c r="S43" s="166">
        <f t="shared" si="5"/>
        <v>480585.33000000566</v>
      </c>
      <c r="T43" s="168">
        <f t="shared" si="6"/>
        <v>1.3526106495242551E-2</v>
      </c>
    </row>
    <row r="44" spans="1:20">
      <c r="A44" s="152">
        <v>424</v>
      </c>
      <c r="B44" s="480" t="str">
        <f>+VLOOKUP($A44,Master!$D$28:$G$224,4,FALSE)</f>
        <v>Ostala prava iz oblasti zdravstvene zaštite</v>
      </c>
      <c r="C44" s="481"/>
      <c r="D44" s="481"/>
      <c r="E44" s="481"/>
      <c r="F44" s="481"/>
      <c r="G44" s="165">
        <f>'2020'!S44</f>
        <v>3452817.48</v>
      </c>
      <c r="H44" s="165">
        <f>SUM('2020'!G137:H137)</f>
        <v>3333333.5</v>
      </c>
      <c r="I44" s="166">
        <f t="shared" si="0"/>
        <v>119483.97999999998</v>
      </c>
      <c r="J44" s="167">
        <f t="shared" si="1"/>
        <v>3.5845192207740295E-2</v>
      </c>
      <c r="K44" s="165">
        <f>SUM('2019'!G46:H46)</f>
        <v>3435029.78</v>
      </c>
      <c r="L44" s="166">
        <f t="shared" si="7"/>
        <v>17787.700000000186</v>
      </c>
      <c r="M44" s="168">
        <f t="shared" si="2"/>
        <v>5.1783248295449447E-3</v>
      </c>
      <c r="N44" s="165">
        <f>'2020'!H44</f>
        <v>1831428.58</v>
      </c>
      <c r="O44" s="165">
        <f>'2020'!H137</f>
        <v>1666666.75</v>
      </c>
      <c r="P44" s="166">
        <f t="shared" si="3"/>
        <v>164761.83000000007</v>
      </c>
      <c r="Q44" s="167">
        <f t="shared" si="4"/>
        <v>9.8857093057145295E-2</v>
      </c>
      <c r="R44" s="165">
        <f>'2019'!H46</f>
        <v>1855950.15</v>
      </c>
      <c r="S44" s="166">
        <f t="shared" si="5"/>
        <v>-24521.569999999832</v>
      </c>
      <c r="T44" s="168">
        <f t="shared" si="6"/>
        <v>-1.3212407671617576E-2</v>
      </c>
    </row>
    <row r="45" spans="1:20">
      <c r="A45" s="152">
        <v>425</v>
      </c>
      <c r="B45" s="480" t="str">
        <f>+VLOOKUP($A45,Master!$D$28:$G$224,4,FALSE)</f>
        <v>Ostala prava iz zdravstvenog osiguranja</v>
      </c>
      <c r="C45" s="481"/>
      <c r="D45" s="481"/>
      <c r="E45" s="481"/>
      <c r="F45" s="481"/>
      <c r="G45" s="165">
        <f>'2020'!S45</f>
        <v>1584139.69</v>
      </c>
      <c r="H45" s="165">
        <f>SUM('2020'!G138:H138)</f>
        <v>1770833.5</v>
      </c>
      <c r="I45" s="166">
        <f t="shared" si="0"/>
        <v>-186693.81000000006</v>
      </c>
      <c r="J45" s="167">
        <f t="shared" si="1"/>
        <v>-0.10542708278333346</v>
      </c>
      <c r="K45" s="165">
        <f>SUM('2019'!G47:H47)</f>
        <v>1573656.8099999998</v>
      </c>
      <c r="L45" s="166">
        <f t="shared" si="7"/>
        <v>10482.880000000121</v>
      </c>
      <c r="M45" s="168">
        <f t="shared" si="2"/>
        <v>6.6614778606017833E-3</v>
      </c>
      <c r="N45" s="165">
        <f>'2020'!H45</f>
        <v>838710.44</v>
      </c>
      <c r="O45" s="165">
        <f>'2020'!H138</f>
        <v>885416.75</v>
      </c>
      <c r="P45" s="166">
        <f t="shared" si="3"/>
        <v>-46706.310000000056</v>
      </c>
      <c r="Q45" s="167">
        <f t="shared" si="4"/>
        <v>-5.2750651035232909E-2</v>
      </c>
      <c r="R45" s="165">
        <f>'2019'!H47</f>
        <v>1081000.8899999999</v>
      </c>
      <c r="S45" s="166">
        <f t="shared" si="5"/>
        <v>-242290.44999999995</v>
      </c>
      <c r="T45" s="168">
        <f t="shared" si="6"/>
        <v>-0.2241352918775118</v>
      </c>
    </row>
    <row r="46" spans="1:20">
      <c r="A46" s="152">
        <v>43</v>
      </c>
      <c r="B46" s="494" t="str">
        <f>+VLOOKUP($A46,Master!$D$28:$G$224,4,FALSE)</f>
        <v xml:space="preserve">Transferi institucijama, pojedincima, nevladinom i javnom sektoru </v>
      </c>
      <c r="C46" s="495"/>
      <c r="D46" s="495"/>
      <c r="E46" s="495"/>
      <c r="F46" s="495"/>
      <c r="G46" s="177">
        <f>'2020'!S46</f>
        <v>47546416</v>
      </c>
      <c r="H46" s="177">
        <f>SUM('2020'!G139:H139)</f>
        <v>63390458.82</v>
      </c>
      <c r="I46" s="178">
        <f t="shared" si="0"/>
        <v>-15844042.82</v>
      </c>
      <c r="J46" s="179">
        <f t="shared" si="1"/>
        <v>-0.24994365264005836</v>
      </c>
      <c r="K46" s="177">
        <f>SUM('2019'!G48:H48)</f>
        <v>34371139.539999999</v>
      </c>
      <c r="L46" s="178">
        <f t="shared" si="7"/>
        <v>13175276.460000001</v>
      </c>
      <c r="M46" s="180">
        <f t="shared" si="2"/>
        <v>0.38332381865509713</v>
      </c>
      <c r="N46" s="177">
        <f>'2020'!H46</f>
        <v>23914849.32</v>
      </c>
      <c r="O46" s="177">
        <f>'2020'!H139</f>
        <v>31441965.730000004</v>
      </c>
      <c r="P46" s="178">
        <f t="shared" si="3"/>
        <v>-7527116.4100000039</v>
      </c>
      <c r="Q46" s="179">
        <f t="shared" si="4"/>
        <v>-0.23939713167545662</v>
      </c>
      <c r="R46" s="177">
        <f>'2019'!H48</f>
        <v>18630588.73</v>
      </c>
      <c r="S46" s="178">
        <f t="shared" si="5"/>
        <v>5284260.59</v>
      </c>
      <c r="T46" s="180">
        <f t="shared" si="6"/>
        <v>0.2836335805905581</v>
      </c>
    </row>
    <row r="47" spans="1:20">
      <c r="A47" s="152">
        <v>44</v>
      </c>
      <c r="B47" s="494" t="str">
        <f>+VLOOKUP($A47,Master!$D$28:$G$224,4,FALSE)</f>
        <v>Kapitalni izdaci</v>
      </c>
      <c r="C47" s="495"/>
      <c r="D47" s="495"/>
      <c r="E47" s="495"/>
      <c r="F47" s="495"/>
      <c r="G47" s="177">
        <f>'2020'!S47</f>
        <v>13072449.91</v>
      </c>
      <c r="H47" s="177">
        <f>SUM('2020'!G140:H140)</f>
        <v>45826282.959999993</v>
      </c>
      <c r="I47" s="178">
        <f t="shared" si="0"/>
        <v>-32753833.049999993</v>
      </c>
      <c r="J47" s="179">
        <f t="shared" si="1"/>
        <v>-0.71473903040727871</v>
      </c>
      <c r="K47" s="177">
        <f>SUM('2019'!G41:H41)+SUM('2019'!G49:H49)</f>
        <v>35716414.789999999</v>
      </c>
      <c r="L47" s="178">
        <f t="shared" si="7"/>
        <v>-22643964.879999999</v>
      </c>
      <c r="M47" s="180">
        <f t="shared" si="2"/>
        <v>-0.63399322169200278</v>
      </c>
      <c r="N47" s="177">
        <f>'2020'!H47</f>
        <v>8919354.2899999991</v>
      </c>
      <c r="O47" s="177">
        <f>'2020'!H140</f>
        <v>24306340.929999996</v>
      </c>
      <c r="P47" s="178">
        <f t="shared" si="3"/>
        <v>-15386986.639999997</v>
      </c>
      <c r="Q47" s="179">
        <f t="shared" si="4"/>
        <v>-0.63304413791911696</v>
      </c>
      <c r="R47" s="177">
        <f>'2019'!H41+'2019'!H49</f>
        <v>8028312.5899999999</v>
      </c>
      <c r="S47" s="178">
        <f t="shared" si="5"/>
        <v>891041.69999999925</v>
      </c>
      <c r="T47" s="180" t="s">
        <v>756</v>
      </c>
    </row>
    <row r="48" spans="1:20">
      <c r="A48" s="152">
        <v>451</v>
      </c>
      <c r="B48" s="498" t="str">
        <f>+VLOOKUP($A48,Master!$D$28:$G$224,4,FALSE)</f>
        <v>Pozajmice i krediti</v>
      </c>
      <c r="C48" s="499"/>
      <c r="D48" s="499"/>
      <c r="E48" s="499"/>
      <c r="F48" s="499"/>
      <c r="G48" s="165">
        <f>'2020'!S48</f>
        <v>277634</v>
      </c>
      <c r="H48" s="165">
        <f>SUM('2020'!G141:H141)</f>
        <v>280000.18</v>
      </c>
      <c r="I48" s="166">
        <f>G48-H48</f>
        <v>-2366.179999999993</v>
      </c>
      <c r="J48" s="287">
        <f t="shared" si="1"/>
        <v>-8.4506374245901794E-3</v>
      </c>
      <c r="K48" s="165">
        <f>SUM('2019'!G50:H50)</f>
        <v>272323.98</v>
      </c>
      <c r="L48" s="293">
        <f t="shared" si="7"/>
        <v>5310.0200000000186</v>
      </c>
      <c r="M48" s="296">
        <f t="shared" si="2"/>
        <v>1.9498907147288413E-2</v>
      </c>
      <c r="N48" s="165">
        <f>'2020'!H48</f>
        <v>277634</v>
      </c>
      <c r="O48" s="165">
        <f>'2020'!H141</f>
        <v>140000.09</v>
      </c>
      <c r="P48" s="166">
        <f t="shared" si="3"/>
        <v>137633.91</v>
      </c>
      <c r="Q48" s="287">
        <f t="shared" si="4"/>
        <v>0.98309872515081964</v>
      </c>
      <c r="R48" s="165">
        <f>'2019'!H50</f>
        <v>272323.98</v>
      </c>
      <c r="S48" s="293">
        <f t="shared" si="5"/>
        <v>5310.0200000000186</v>
      </c>
      <c r="T48" s="296" t="s">
        <v>756</v>
      </c>
    </row>
    <row r="49" spans="1:23">
      <c r="A49" s="152">
        <v>47</v>
      </c>
      <c r="B49" s="498" t="str">
        <f>+VLOOKUP($A49,Master!$D$28:$G$224,4,FALSE)</f>
        <v>Rezerve</v>
      </c>
      <c r="C49" s="499"/>
      <c r="D49" s="499"/>
      <c r="E49" s="499"/>
      <c r="F49" s="499"/>
      <c r="G49" s="165">
        <f>'2020'!S49</f>
        <v>2661194</v>
      </c>
      <c r="H49" s="165">
        <f>SUM('2020'!G142:H142)</f>
        <v>14750000</v>
      </c>
      <c r="I49" s="166">
        <f t="shared" ref="I49:I50" si="8">G49-H49</f>
        <v>-12088806</v>
      </c>
      <c r="J49" s="288">
        <f t="shared" si="1"/>
        <v>-0.81958006779661019</v>
      </c>
      <c r="K49" s="165">
        <f>SUM('2019'!G51:H51)</f>
        <v>1952871.71</v>
      </c>
      <c r="L49" s="294">
        <f t="shared" si="7"/>
        <v>708322.29</v>
      </c>
      <c r="M49" s="297">
        <f t="shared" si="2"/>
        <v>0.36270805008486717</v>
      </c>
      <c r="N49" s="165">
        <f>'2020'!H49</f>
        <v>720000</v>
      </c>
      <c r="O49" s="165">
        <f>'2020'!H142</f>
        <v>7375000</v>
      </c>
      <c r="P49" s="166">
        <f t="shared" si="3"/>
        <v>-6655000</v>
      </c>
      <c r="Q49" s="288">
        <f t="shared" si="4"/>
        <v>-0.90237288135593219</v>
      </c>
      <c r="R49" s="165">
        <f>'2019'!H51</f>
        <v>1952871.71</v>
      </c>
      <c r="S49" s="294">
        <f t="shared" si="5"/>
        <v>-1232871.71</v>
      </c>
      <c r="T49" s="297">
        <f t="shared" si="6"/>
        <v>-0.63131218691267743</v>
      </c>
      <c r="W49" s="362"/>
    </row>
    <row r="50" spans="1:23" ht="15.75" thickBot="1">
      <c r="A50" s="152">
        <v>462</v>
      </c>
      <c r="B50" s="500" t="str">
        <f>+VLOOKUP($A50,Master!$D$28:$G$224,4,FALSE)</f>
        <v>Otplata garancija</v>
      </c>
      <c r="C50" s="501"/>
      <c r="D50" s="501"/>
      <c r="E50" s="501"/>
      <c r="F50" s="501"/>
      <c r="G50" s="165">
        <f>'2020'!S50</f>
        <v>0</v>
      </c>
      <c r="H50" s="165">
        <f>SUM('2020'!G143:H143)</f>
        <v>0</v>
      </c>
      <c r="I50" s="166">
        <f t="shared" si="8"/>
        <v>0</v>
      </c>
      <c r="J50" s="289" t="str">
        <f t="shared" si="1"/>
        <v>…</v>
      </c>
      <c r="K50" s="165">
        <f>SUM('2019'!G52:H52)</f>
        <v>2254214.0699999998</v>
      </c>
      <c r="L50" s="294">
        <f t="shared" si="7"/>
        <v>-2254214.0699999998</v>
      </c>
      <c r="M50" s="298">
        <f t="shared" si="2"/>
        <v>-1</v>
      </c>
      <c r="N50" s="165">
        <f>'2020'!H50</f>
        <v>0</v>
      </c>
      <c r="O50" s="165">
        <f>'2020'!H143</f>
        <v>0</v>
      </c>
      <c r="P50" s="166">
        <f t="shared" si="3"/>
        <v>0</v>
      </c>
      <c r="Q50" s="289" t="str">
        <f t="shared" si="4"/>
        <v>…</v>
      </c>
      <c r="R50" s="165">
        <f>'2019'!H52</f>
        <v>494.04</v>
      </c>
      <c r="S50" s="294">
        <f t="shared" si="5"/>
        <v>-494.04</v>
      </c>
      <c r="T50" s="298">
        <f t="shared" si="6"/>
        <v>-1</v>
      </c>
    </row>
    <row r="51" spans="1:23" ht="15.75" thickBot="1">
      <c r="A51" s="146">
        <v>4630</v>
      </c>
      <c r="B51" s="500" t="str">
        <f>+VLOOKUP($A51,Master!$D$28:$G$224,4,FALSE)</f>
        <v>Otplata obaveza iz prethodnog perioda</v>
      </c>
      <c r="C51" s="501"/>
      <c r="D51" s="501"/>
      <c r="E51" s="501"/>
      <c r="F51" s="501"/>
      <c r="G51" s="328">
        <f>'2020'!S51</f>
        <v>3156122.71</v>
      </c>
      <c r="H51" s="328">
        <f>SUM('2020'!G144:H144)</f>
        <v>2804243.7</v>
      </c>
      <c r="I51" s="295">
        <f>G51-H51</f>
        <v>351879.00999999978</v>
      </c>
      <c r="J51" s="290">
        <f t="shared" si="1"/>
        <v>0.12548089525885353</v>
      </c>
      <c r="K51" s="328">
        <f>SUM('2019'!G53:H53)</f>
        <v>2606791.0700000003</v>
      </c>
      <c r="L51" s="301">
        <f t="shared" si="7"/>
        <v>549331.63999999966</v>
      </c>
      <c r="M51" s="299">
        <f t="shared" si="2"/>
        <v>0.21073098121361888</v>
      </c>
      <c r="N51" s="328">
        <f>'2020'!H51</f>
        <v>1922034.51</v>
      </c>
      <c r="O51" s="328">
        <f>'2020'!H144</f>
        <v>1384621.77</v>
      </c>
      <c r="P51" s="295">
        <f>N51-O51</f>
        <v>537412.74</v>
      </c>
      <c r="Q51" s="290">
        <f t="shared" si="4"/>
        <v>0.38812963340884066</v>
      </c>
      <c r="R51" s="328">
        <f>'2019'!H53</f>
        <v>1401737.72</v>
      </c>
      <c r="S51" s="301">
        <f>+N51-R51</f>
        <v>520296.79000000004</v>
      </c>
      <c r="T51" s="299">
        <f>+IF(ISNUMBER(N51/R51-1),N51/R51-1,"…")</f>
        <v>0.37117984525664327</v>
      </c>
    </row>
    <row r="52" spans="1:23" ht="15.75" thickBot="1">
      <c r="A52" s="146">
        <v>1005</v>
      </c>
      <c r="B52" s="500" t="str">
        <f>+VLOOKUP($A52,Master!$D$28:$G$226,4,FALSE)</f>
        <v>Neto povećanje obaveza</v>
      </c>
      <c r="C52" s="501"/>
      <c r="D52" s="501"/>
      <c r="E52" s="501"/>
      <c r="F52" s="501"/>
      <c r="G52" s="165">
        <f>'2020'!S52</f>
        <v>0</v>
      </c>
      <c r="H52" s="165">
        <f>SUM('2020'!G145:H145)</f>
        <v>0</v>
      </c>
      <c r="I52" s="295">
        <f>G52-H52</f>
        <v>0</v>
      </c>
      <c r="J52" s="290" t="str">
        <f t="shared" si="1"/>
        <v>…</v>
      </c>
      <c r="K52" s="165">
        <f>SUM('2019'!G54:H54)</f>
        <v>0</v>
      </c>
      <c r="L52" s="301">
        <f t="shared" si="7"/>
        <v>0</v>
      </c>
      <c r="M52" s="299" t="str">
        <f t="shared" si="2"/>
        <v>…</v>
      </c>
      <c r="N52" s="165">
        <f>'2020'!H52</f>
        <v>0</v>
      </c>
      <c r="O52" s="165">
        <f>'2020'!H145</f>
        <v>0</v>
      </c>
      <c r="P52" s="295">
        <f>N52-O52</f>
        <v>0</v>
      </c>
      <c r="Q52" s="290" t="str">
        <f t="shared" si="4"/>
        <v>…</v>
      </c>
      <c r="R52" s="165">
        <f>'2019'!H54</f>
        <v>0</v>
      </c>
      <c r="S52" s="301">
        <f>+N52-R52</f>
        <v>0</v>
      </c>
      <c r="T52" s="299" t="str">
        <f>+IF(ISNUMBER(N52/R52-1),N52/R52-1,"…")</f>
        <v>…</v>
      </c>
    </row>
    <row r="53" spans="1:23" ht="15.75" thickBot="1">
      <c r="A53" s="146">
        <v>1000</v>
      </c>
      <c r="B53" s="502" t="str">
        <f>+VLOOKUP($A53,Master!$D$28:$G$224,4,FALSE)</f>
        <v>Suficit / deficit</v>
      </c>
      <c r="C53" s="503"/>
      <c r="D53" s="503"/>
      <c r="E53" s="503"/>
      <c r="F53" s="503"/>
      <c r="G53" s="153">
        <f>'2020'!S53</f>
        <v>-59983181.070000023</v>
      </c>
      <c r="H53" s="153">
        <f>SUM('2020'!G146:H146)</f>
        <v>-156023830.78857544</v>
      </c>
      <c r="I53" s="335">
        <f>+G53-H53</f>
        <v>96040649.718575418</v>
      </c>
      <c r="J53" s="292">
        <f t="shared" si="1"/>
        <v>-0.6155511580068691</v>
      </c>
      <c r="K53" s="153">
        <f>SUM('2019'!G55:H55)</f>
        <v>-46690882.660000011</v>
      </c>
      <c r="L53" s="302">
        <f t="shared" si="7"/>
        <v>-13292298.410000011</v>
      </c>
      <c r="M53" s="300">
        <f t="shared" si="2"/>
        <v>0.28468723769464099</v>
      </c>
      <c r="N53" s="153">
        <f>'2020'!H53</f>
        <v>-25975313.87000002</v>
      </c>
      <c r="O53" s="153">
        <f>'2020'!H146</f>
        <v>-66871141.063188151</v>
      </c>
      <c r="P53" s="335">
        <f>N53-O53</f>
        <v>40895827.193188131</v>
      </c>
      <c r="Q53" s="292">
        <f t="shared" si="4"/>
        <v>-0.61156167732422384</v>
      </c>
      <c r="R53" s="153">
        <f>'2019'!H55</f>
        <v>-14386045.980000004</v>
      </c>
      <c r="S53" s="302">
        <f t="shared" si="5"/>
        <v>-11589267.890000015</v>
      </c>
      <c r="T53" s="292">
        <f>+IF(ISNUMBER(N53/R53-1),N53/R53-1,"…")</f>
        <v>0.80559091122827153</v>
      </c>
    </row>
    <row r="54" spans="1:23" ht="15.75" thickBot="1">
      <c r="A54" s="146">
        <v>1001</v>
      </c>
      <c r="B54" s="504" t="str">
        <f>+VLOOKUP($A54,Master!$D$28:$G$224,4,FALSE)</f>
        <v>Primarni suficit/deficit</v>
      </c>
      <c r="C54" s="505"/>
      <c r="D54" s="505"/>
      <c r="E54" s="505"/>
      <c r="F54" s="505"/>
      <c r="G54" s="153">
        <f>'2020'!S54</f>
        <v>-50597137.970000029</v>
      </c>
      <c r="H54" s="153">
        <f>SUM('2020'!G147:H147)</f>
        <v>-147759327.51857543</v>
      </c>
      <c r="I54" s="208">
        <f t="shared" si="0"/>
        <v>97162189.548575401</v>
      </c>
      <c r="J54" s="209">
        <f t="shared" si="1"/>
        <v>-0.65757059930014061</v>
      </c>
      <c r="K54" s="153">
        <f>SUM('2019'!G56:H56)</f>
        <v>-39536688.220000014</v>
      </c>
      <c r="L54" s="208">
        <f t="shared" si="7"/>
        <v>-11060449.750000015</v>
      </c>
      <c r="M54" s="210">
        <f t="shared" si="2"/>
        <v>0.27975154844671546</v>
      </c>
      <c r="N54" s="153">
        <f>'2020'!H54</f>
        <v>-24135511.990000021</v>
      </c>
      <c r="O54" s="153">
        <f>'2020'!H147</f>
        <v>-65942361.203188151</v>
      </c>
      <c r="P54" s="208">
        <f t="shared" si="3"/>
        <v>41806849.213188127</v>
      </c>
      <c r="Q54" s="209">
        <f t="shared" si="4"/>
        <v>-0.63399078301683365</v>
      </c>
      <c r="R54" s="153">
        <f>'2019'!H56</f>
        <v>-13386704.440000005</v>
      </c>
      <c r="S54" s="208">
        <f t="shared" si="5"/>
        <v>-10748807.550000016</v>
      </c>
      <c r="T54" s="292">
        <f>+IF(ISNUMBER(N54/R54-1),N54/R54-1,"…")</f>
        <v>0.8029465054806284</v>
      </c>
    </row>
    <row r="55" spans="1:23">
      <c r="A55" s="146">
        <v>46</v>
      </c>
      <c r="B55" s="496" t="str">
        <f>+VLOOKUP($A55,Master!$D$28:$G$224,4,FALSE)</f>
        <v>Otplata dugova</v>
      </c>
      <c r="C55" s="497"/>
      <c r="D55" s="497"/>
      <c r="E55" s="497"/>
      <c r="F55" s="497"/>
      <c r="G55" s="159">
        <f>'2020'!S55</f>
        <v>89892016.030000001</v>
      </c>
      <c r="H55" s="159">
        <f>SUM('2020'!G148:H148)</f>
        <v>5031156.3599999994</v>
      </c>
      <c r="I55" s="196">
        <f t="shared" si="0"/>
        <v>84860859.670000002</v>
      </c>
      <c r="J55" s="197">
        <f t="shared" si="1"/>
        <v>16.867068641452441</v>
      </c>
      <c r="K55" s="159">
        <f>SUM('2019'!G57:H57)</f>
        <v>86883790.520000011</v>
      </c>
      <c r="L55" s="196">
        <f t="shared" si="7"/>
        <v>3008225.5099999905</v>
      </c>
      <c r="M55" s="198">
        <f t="shared" si="2"/>
        <v>3.4623552816880343E-2</v>
      </c>
      <c r="N55" s="159">
        <f>'2020'!H55</f>
        <v>65365822.75</v>
      </c>
      <c r="O55" s="159">
        <f>'2020'!H148</f>
        <v>3305317.26</v>
      </c>
      <c r="P55" s="196">
        <f t="shared" si="3"/>
        <v>62060505.490000002</v>
      </c>
      <c r="Q55" s="197">
        <f t="shared" si="4"/>
        <v>18.775960250786941</v>
      </c>
      <c r="R55" s="159">
        <f>'2019'!H57</f>
        <v>67365423.120000005</v>
      </c>
      <c r="S55" s="196">
        <f t="shared" si="5"/>
        <v>-1999600.3700000048</v>
      </c>
      <c r="T55" s="198">
        <f t="shared" si="6"/>
        <v>-2.9682888897440085E-2</v>
      </c>
    </row>
    <row r="56" spans="1:23">
      <c r="A56" s="146">
        <v>4611</v>
      </c>
      <c r="B56" s="522" t="str">
        <f>+VLOOKUP($A56,Master!$D$28:$G$224,4,FALSE)</f>
        <v>Otplata hartija od vrijednosti i kredita rezidentima</v>
      </c>
      <c r="C56" s="523"/>
      <c r="D56" s="523"/>
      <c r="E56" s="523"/>
      <c r="F56" s="523"/>
      <c r="G56" s="165">
        <f>'2020'!S56</f>
        <v>77931267.969999999</v>
      </c>
      <c r="H56" s="165">
        <f>SUM('2020'!G149:H149)</f>
        <v>931986.72000000009</v>
      </c>
      <c r="I56" s="214">
        <f t="shared" si="0"/>
        <v>76999281.25</v>
      </c>
      <c r="J56" s="215">
        <f t="shared" si="1"/>
        <v>82.618431784092365</v>
      </c>
      <c r="K56" s="165">
        <f>SUM('2019'!G58:H58)</f>
        <v>82920313.439999998</v>
      </c>
      <c r="L56" s="214">
        <f t="shared" si="7"/>
        <v>-4989045.4699999988</v>
      </c>
      <c r="M56" s="216">
        <f t="shared" si="2"/>
        <v>-6.0166746398154891E-2</v>
      </c>
      <c r="N56" s="165">
        <f>'2020'!H56</f>
        <v>54840868.399999999</v>
      </c>
      <c r="O56" s="165">
        <f>'2020'!H149</f>
        <v>840866.05</v>
      </c>
      <c r="P56" s="214">
        <f t="shared" si="3"/>
        <v>54000002.350000001</v>
      </c>
      <c r="Q56" s="215">
        <f t="shared" si="4"/>
        <v>64.21950600812103</v>
      </c>
      <c r="R56" s="165">
        <f>'2019'!H58</f>
        <v>64835364.859999999</v>
      </c>
      <c r="S56" s="214">
        <f t="shared" si="5"/>
        <v>-9994496.4600000009</v>
      </c>
      <c r="T56" s="216">
        <f t="shared" si="6"/>
        <v>-0.15415192744856565</v>
      </c>
    </row>
    <row r="57" spans="1:23">
      <c r="A57" s="146">
        <v>4612</v>
      </c>
      <c r="B57" s="498" t="str">
        <f>+VLOOKUP($A57,Master!$D$28:$G$224,4,FALSE)</f>
        <v>Otplata hartija od vrijednosti i kredita nerezidentima</v>
      </c>
      <c r="C57" s="499"/>
      <c r="D57" s="499"/>
      <c r="E57" s="499"/>
      <c r="F57" s="499"/>
      <c r="G57" s="165">
        <f>'2020'!S57</f>
        <v>11960748.059999999</v>
      </c>
      <c r="H57" s="165">
        <f>SUM('2020'!G150:H150)</f>
        <v>4099169.6399999997</v>
      </c>
      <c r="I57" s="214">
        <f t="shared" si="0"/>
        <v>7861578.419999999</v>
      </c>
      <c r="J57" s="215">
        <f t="shared" si="1"/>
        <v>1.9178465666036693</v>
      </c>
      <c r="K57" s="165">
        <f>SUM('2019'!G59:H59)</f>
        <v>3963477.08</v>
      </c>
      <c r="L57" s="214">
        <f t="shared" si="7"/>
        <v>7997270.9799999986</v>
      </c>
      <c r="M57" s="216">
        <f t="shared" si="2"/>
        <v>2.0177411950619879</v>
      </c>
      <c r="N57" s="165">
        <f>'2020'!H57</f>
        <v>10524954.35</v>
      </c>
      <c r="O57" s="165">
        <f>'2020'!H150</f>
        <v>2464451.21</v>
      </c>
      <c r="P57" s="214">
        <f t="shared" si="3"/>
        <v>8060503.1399999997</v>
      </c>
      <c r="Q57" s="215">
        <f t="shared" si="4"/>
        <v>3.270709157192039</v>
      </c>
      <c r="R57" s="165">
        <f>'2019'!H59</f>
        <v>2530058.2599999998</v>
      </c>
      <c r="S57" s="214">
        <f t="shared" si="5"/>
        <v>7994896.0899999999</v>
      </c>
      <c r="T57" s="216">
        <f t="shared" si="6"/>
        <v>3.1599652136073741</v>
      </c>
    </row>
    <row r="58" spans="1:23" ht="15.75" thickBot="1">
      <c r="A58" s="146">
        <v>4418</v>
      </c>
      <c r="B58" s="496" t="str">
        <f>+VLOOKUP($A58,Master!$D$28:$G$224,4,FALSE)</f>
        <v>Izdaci za kupovinu hartija od vrijednosti</v>
      </c>
      <c r="C58" s="497"/>
      <c r="D58" s="497"/>
      <c r="E58" s="497"/>
      <c r="F58" s="497"/>
      <c r="G58" s="352">
        <f>'2020'!S58</f>
        <v>0</v>
      </c>
      <c r="H58" s="352">
        <f>SUM('2020'!G151:H151)</f>
        <v>168333.32</v>
      </c>
      <c r="I58" s="353">
        <f t="shared" ref="I58:I64" si="9">+G58-H58</f>
        <v>-168333.32</v>
      </c>
      <c r="J58" s="354">
        <f>+IF(ISNUMBER(G58/H58-1),G58/H59-1,"…")</f>
        <v>-1</v>
      </c>
      <c r="K58" s="352">
        <f>SUM('2019'!G60:H60)</f>
        <v>35272.089999999997</v>
      </c>
      <c r="L58" s="353">
        <f t="shared" ref="L58:L64" si="10">+G58-K58</f>
        <v>-35272.089999999997</v>
      </c>
      <c r="M58" s="355">
        <f>+IF(ISNUMBER(G58/K58-1),G58/K59-1,"…")</f>
        <v>-1</v>
      </c>
      <c r="N58" s="352">
        <f>'2020'!H58</f>
        <v>0</v>
      </c>
      <c r="O58" s="352">
        <f>'2020'!H151</f>
        <v>84166.66</v>
      </c>
      <c r="P58" s="353">
        <f t="shared" ref="P58:P64" si="11">+N58-O58</f>
        <v>-84166.66</v>
      </c>
      <c r="Q58" s="354">
        <f t="shared" ref="Q58:Q64" si="12">+IF(ISNUMBER(N58/O58-1),N58/O58-1,"…")</f>
        <v>-1</v>
      </c>
      <c r="R58" s="352">
        <f>'2019'!H60</f>
        <v>35272.089999999997</v>
      </c>
      <c r="S58" s="353">
        <f t="shared" ref="S58:S64" si="13">+N58-R58</f>
        <v>-35272.089999999997</v>
      </c>
      <c r="T58" s="355">
        <f t="shared" ref="T58:T64" si="14">+IF(ISNUMBER(N58/R58-1),N58/R58-1,"…")</f>
        <v>-1</v>
      </c>
    </row>
    <row r="59" spans="1:23" ht="15.75" thickBot="1">
      <c r="A59" s="146">
        <v>1002</v>
      </c>
      <c r="B59" s="524" t="str">
        <f>+VLOOKUP($A59,Master!$D$28:$G$224,4,FALSE)</f>
        <v>Nedostajuća sredstva</v>
      </c>
      <c r="C59" s="525"/>
      <c r="D59" s="525"/>
      <c r="E59" s="525"/>
      <c r="F59" s="525"/>
      <c r="G59" s="334">
        <f>'2020'!S59</f>
        <v>-149875197.10000002</v>
      </c>
      <c r="H59" s="334">
        <f>SUM('2020'!G152:H152)</f>
        <v>-161223320.46857542</v>
      </c>
      <c r="I59" s="336">
        <f t="shared" si="9"/>
        <v>11348123.368575394</v>
      </c>
      <c r="J59" s="337">
        <f t="shared" ref="J59:J64" si="15">+IF(ISNUMBER(G59/H59-1),G59/H59-1,"…")</f>
        <v>-7.0387604817922722E-2</v>
      </c>
      <c r="K59" s="334">
        <f>SUM('2019'!G61:H61)</f>
        <v>-133609945.27000001</v>
      </c>
      <c r="L59" s="336">
        <f t="shared" si="10"/>
        <v>-16265251.830000013</v>
      </c>
      <c r="M59" s="339">
        <f t="shared" ref="M59:M64" si="16">+IF(ISNUMBER(G59/K59-1),G59/K59-1,"…")</f>
        <v>0.12173683476279451</v>
      </c>
      <c r="N59" s="334">
        <f>'2020'!H59</f>
        <v>-91341136.62000002</v>
      </c>
      <c r="O59" s="334">
        <f>'2020'!H152</f>
        <v>-70260624.983188152</v>
      </c>
      <c r="P59" s="336">
        <f t="shared" si="11"/>
        <v>-21080511.636811867</v>
      </c>
      <c r="Q59" s="337">
        <f t="shared" si="12"/>
        <v>0.30003307886680464</v>
      </c>
      <c r="R59" s="334">
        <f>'2019'!H61</f>
        <v>-81786741.190000013</v>
      </c>
      <c r="S59" s="336">
        <f t="shared" si="13"/>
        <v>-9554395.4300000072</v>
      </c>
      <c r="T59" s="339">
        <f t="shared" si="14"/>
        <v>0.11682083539438315</v>
      </c>
    </row>
    <row r="60" spans="1:23" ht="15.75" thickBot="1">
      <c r="A60" s="146">
        <v>1003</v>
      </c>
      <c r="B60" s="488" t="str">
        <f>+VLOOKUP($A60,Master!$D$28:$G$224,4,FALSE)</f>
        <v>Finansiranje</v>
      </c>
      <c r="C60" s="489"/>
      <c r="D60" s="489"/>
      <c r="E60" s="489"/>
      <c r="F60" s="489"/>
      <c r="G60" s="153">
        <f>'2020'!S60</f>
        <v>149875197.10000002</v>
      </c>
      <c r="H60" s="153">
        <f>SUM('2020'!G153:H153)</f>
        <v>161223320.46857542</v>
      </c>
      <c r="I60" s="335">
        <f t="shared" si="9"/>
        <v>-11348123.368575394</v>
      </c>
      <c r="J60" s="338">
        <f t="shared" si="15"/>
        <v>-7.0387604817922722E-2</v>
      </c>
      <c r="K60" s="153">
        <f>SUM('2019'!G62:H62)</f>
        <v>133609945.27000001</v>
      </c>
      <c r="L60" s="335">
        <f t="shared" si="10"/>
        <v>16265251.830000013</v>
      </c>
      <c r="M60" s="340">
        <f t="shared" si="16"/>
        <v>0.12173683476279451</v>
      </c>
      <c r="N60" s="153">
        <f>'2020'!H60</f>
        <v>91341136.62000002</v>
      </c>
      <c r="O60" s="153">
        <f>'2020'!H153</f>
        <v>70260624.983188152</v>
      </c>
      <c r="P60" s="335">
        <f t="shared" si="11"/>
        <v>21080511.636811867</v>
      </c>
      <c r="Q60" s="338">
        <f t="shared" si="12"/>
        <v>0.30003307886680464</v>
      </c>
      <c r="R60" s="153">
        <f>'2019'!H62</f>
        <v>81786741.190000013</v>
      </c>
      <c r="S60" s="335">
        <f t="shared" si="13"/>
        <v>9554395.4300000072</v>
      </c>
      <c r="T60" s="340">
        <f t="shared" si="14"/>
        <v>0.11682083539438315</v>
      </c>
    </row>
    <row r="61" spans="1:23">
      <c r="A61" s="146">
        <v>7511</v>
      </c>
      <c r="B61" s="522" t="str">
        <f>+VLOOKUP($A61,Master!$D$28:$G$224,4,FALSE)</f>
        <v>Pozajmice i krediti od domaćih izvora</v>
      </c>
      <c r="C61" s="523"/>
      <c r="D61" s="523"/>
      <c r="E61" s="523"/>
      <c r="F61" s="523"/>
      <c r="G61" s="165">
        <f>'2020'!S61</f>
        <v>37900000</v>
      </c>
      <c r="H61" s="165">
        <f>SUM('2020'!G154:H154)</f>
        <v>0</v>
      </c>
      <c r="I61" s="214">
        <f t="shared" si="9"/>
        <v>37900000</v>
      </c>
      <c r="J61" s="215" t="str">
        <f t="shared" si="15"/>
        <v>…</v>
      </c>
      <c r="K61" s="165">
        <f>SUM('2019'!G63:H63)</f>
        <v>72000000</v>
      </c>
      <c r="L61" s="214">
        <f t="shared" si="10"/>
        <v>-34100000</v>
      </c>
      <c r="M61" s="216">
        <f t="shared" si="16"/>
        <v>-0.47361111111111109</v>
      </c>
      <c r="N61" s="165">
        <f>'2020'!H61</f>
        <v>23000000</v>
      </c>
      <c r="O61" s="165">
        <f>'2020'!H154</f>
        <v>0</v>
      </c>
      <c r="P61" s="214">
        <f t="shared" si="11"/>
        <v>23000000</v>
      </c>
      <c r="Q61" s="215" t="str">
        <f t="shared" si="12"/>
        <v>…</v>
      </c>
      <c r="R61" s="165">
        <f>'2019'!H63</f>
        <v>54000000</v>
      </c>
      <c r="S61" s="214">
        <f t="shared" si="13"/>
        <v>-31000000</v>
      </c>
      <c r="T61" s="216">
        <f t="shared" si="14"/>
        <v>-0.57407407407407407</v>
      </c>
    </row>
    <row r="62" spans="1:23">
      <c r="A62" s="146">
        <v>7512</v>
      </c>
      <c r="B62" s="498" t="str">
        <f>+VLOOKUP($A62,Master!$D$28:$G$224,4,FALSE)</f>
        <v>Pozajmice i krediti od inostranih izvora</v>
      </c>
      <c r="C62" s="499"/>
      <c r="D62" s="499"/>
      <c r="E62" s="499"/>
      <c r="F62" s="499"/>
      <c r="G62" s="165">
        <f>'2020'!S62</f>
        <v>1827701.6</v>
      </c>
      <c r="H62" s="165">
        <f>SUM('2020'!G155:H155)</f>
        <v>0</v>
      </c>
      <c r="I62" s="214">
        <f t="shared" si="9"/>
        <v>1827701.6</v>
      </c>
      <c r="J62" s="215" t="str">
        <f t="shared" si="15"/>
        <v>…</v>
      </c>
      <c r="K62" s="165">
        <f>SUM('2019'!G64:H64)</f>
        <v>29568379.830000002</v>
      </c>
      <c r="L62" s="214">
        <f t="shared" si="10"/>
        <v>-27740678.23</v>
      </c>
      <c r="M62" s="216">
        <f t="shared" si="16"/>
        <v>-0.93818729296267978</v>
      </c>
      <c r="N62" s="165">
        <f>'2020'!H62</f>
        <v>1511136.76</v>
      </c>
      <c r="O62" s="165">
        <f>'2020'!H155</f>
        <v>0</v>
      </c>
      <c r="P62" s="214">
        <f t="shared" si="11"/>
        <v>1511136.76</v>
      </c>
      <c r="Q62" s="215" t="str">
        <f t="shared" si="12"/>
        <v>…</v>
      </c>
      <c r="R62" s="165">
        <f>'2019'!H64</f>
        <v>3819449.69</v>
      </c>
      <c r="S62" s="214">
        <f t="shared" si="13"/>
        <v>-2308312.9299999997</v>
      </c>
      <c r="T62" s="216" t="s">
        <v>756</v>
      </c>
    </row>
    <row r="63" spans="1:23">
      <c r="A63" s="146">
        <v>72</v>
      </c>
      <c r="B63" s="498" t="str">
        <f>+VLOOKUP($A63,Master!$D$28:$G$224,4,FALSE)</f>
        <v>Primici od prodaje imovine</v>
      </c>
      <c r="C63" s="499"/>
      <c r="D63" s="499"/>
      <c r="E63" s="499"/>
      <c r="F63" s="499"/>
      <c r="G63" s="165">
        <f>'2020'!S63</f>
        <v>500770.73</v>
      </c>
      <c r="H63" s="165">
        <f>SUM('2020'!G156:H156)</f>
        <v>0</v>
      </c>
      <c r="I63" s="214">
        <f t="shared" si="9"/>
        <v>500770.73</v>
      </c>
      <c r="J63" s="215" t="str">
        <f t="shared" si="15"/>
        <v>…</v>
      </c>
      <c r="K63" s="165">
        <f>SUM('2019'!G65:H65)</f>
        <v>203990.04</v>
      </c>
      <c r="L63" s="214">
        <f t="shared" si="10"/>
        <v>296780.68999999994</v>
      </c>
      <c r="M63" s="216">
        <f t="shared" si="16"/>
        <v>1.4548783362168072</v>
      </c>
      <c r="N63" s="165">
        <f>'2020'!H63</f>
        <v>437988.22</v>
      </c>
      <c r="O63" s="165">
        <f>'2020'!H156</f>
        <v>0</v>
      </c>
      <c r="P63" s="214">
        <f t="shared" si="11"/>
        <v>437988.22</v>
      </c>
      <c r="Q63" s="215" t="str">
        <f t="shared" si="12"/>
        <v>…</v>
      </c>
      <c r="R63" s="165">
        <f>'2019'!H65</f>
        <v>177395.91</v>
      </c>
      <c r="S63" s="214">
        <f t="shared" si="13"/>
        <v>260592.30999999997</v>
      </c>
      <c r="T63" s="216">
        <f t="shared" si="14"/>
        <v>1.4689871373020944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109646724.77000001</v>
      </c>
      <c r="H64" s="332">
        <f>SUM('2020'!G157:H157)</f>
        <v>161223320.46857542</v>
      </c>
      <c r="I64" s="228">
        <f t="shared" si="9"/>
        <v>-51576595.698575407</v>
      </c>
      <c r="J64" s="229">
        <f t="shared" si="15"/>
        <v>-0.31990778721511559</v>
      </c>
      <c r="K64" s="332">
        <f>SUM('2019'!G66:H66)</f>
        <v>31837575.400000021</v>
      </c>
      <c r="L64" s="228">
        <f t="shared" si="10"/>
        <v>77809149.36999999</v>
      </c>
      <c r="M64" s="382">
        <f t="shared" si="16"/>
        <v>2.4439407961323569</v>
      </c>
      <c r="N64" s="332">
        <f>'2020'!H64</f>
        <v>66392011.640000015</v>
      </c>
      <c r="O64" s="332">
        <f>'2020'!H157</f>
        <v>70260624.983188152</v>
      </c>
      <c r="P64" s="228">
        <f t="shared" si="11"/>
        <v>-3868613.3431881368</v>
      </c>
      <c r="Q64" s="229">
        <f t="shared" si="12"/>
        <v>-5.5060901381304372E-2</v>
      </c>
      <c r="R64" s="332">
        <f>'2019'!H66</f>
        <v>23789895.590000018</v>
      </c>
      <c r="S64" s="228">
        <f t="shared" si="13"/>
        <v>42602116.049999997</v>
      </c>
      <c r="T64" s="230">
        <f t="shared" si="14"/>
        <v>1.7907651544257983</v>
      </c>
    </row>
    <row r="66" spans="7:18">
      <c r="G66" s="5"/>
      <c r="H66" s="329"/>
    </row>
    <row r="67" spans="7:18">
      <c r="H67" s="304"/>
    </row>
    <row r="69" spans="7:18">
      <c r="R69" s="363"/>
    </row>
  </sheetData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62" activePane="bottomLeft" state="frozen"/>
      <selection pane="bottomLeft" activeCell="D90" sqref="D90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782</v>
      </c>
      <c r="H6" s="236" t="s">
        <v>783</v>
      </c>
      <c r="I6" s="236" t="s">
        <v>784</v>
      </c>
      <c r="J6" s="236" t="s">
        <v>785</v>
      </c>
      <c r="K6" s="236" t="s">
        <v>786</v>
      </c>
      <c r="L6" s="236" t="s">
        <v>787</v>
      </c>
      <c r="M6" s="236" t="s">
        <v>788</v>
      </c>
      <c r="N6" s="236" t="s">
        <v>789</v>
      </c>
      <c r="O6" s="236" t="s">
        <v>790</v>
      </c>
      <c r="P6" s="236" t="s">
        <v>791</v>
      </c>
      <c r="Q6" s="236" t="s">
        <v>792</v>
      </c>
      <c r="R6" s="236" t="s">
        <v>793</v>
      </c>
      <c r="S6" s="235"/>
      <c r="T6" s="235"/>
    </row>
    <row r="7" spans="1:20" ht="15" customHeight="1" thickBot="1">
      <c r="A7" s="146"/>
      <c r="B7" s="528" t="str">
        <f>+Master!G250</f>
        <v>Ostvarenje budžeta</v>
      </c>
      <c r="C7" s="509"/>
      <c r="D7" s="509"/>
      <c r="E7" s="509"/>
      <c r="F7" s="509"/>
      <c r="G7" s="517">
        <v>2019</v>
      </c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21"/>
      <c r="S7" s="237" t="str">
        <f>+Master!G247</f>
        <v>BDP</v>
      </c>
      <c r="T7" s="238">
        <v>5027300000</v>
      </c>
    </row>
    <row r="8" spans="1:20" ht="16.5" customHeight="1">
      <c r="A8" s="146"/>
      <c r="B8" s="510"/>
      <c r="C8" s="511"/>
      <c r="D8" s="511"/>
      <c r="E8" s="511"/>
      <c r="F8" s="512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517" t="str">
        <f>+Master!G244</f>
        <v>Jan - Feb</v>
      </c>
      <c r="T8" s="521"/>
    </row>
    <row r="9" spans="1:20" ht="13.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+Master!G248</f>
        <v>% BDP</v>
      </c>
    </row>
    <row r="10" spans="1:20" ht="13.5" thickBot="1">
      <c r="A10" s="152">
        <v>7</v>
      </c>
      <c r="B10" s="476" t="str">
        <f>+VLOOKUP($A10,Master!$D$28:$G$224,4,FALSE)</f>
        <v>Prihodi budžeta</v>
      </c>
      <c r="C10" s="477"/>
      <c r="D10" s="477"/>
      <c r="E10" s="477"/>
      <c r="F10" s="477"/>
      <c r="G10" s="153">
        <f t="shared" ref="G10:R10" si="1">+G11+G19+SUM(G24:G28)</f>
        <v>94285835.649999991</v>
      </c>
      <c r="H10" s="153">
        <f t="shared" si="1"/>
        <v>119854724.30999999</v>
      </c>
      <c r="I10" s="153">
        <f t="shared" si="1"/>
        <v>0</v>
      </c>
      <c r="J10" s="153">
        <f t="shared" si="1"/>
        <v>0</v>
      </c>
      <c r="K10" s="153">
        <f t="shared" si="1"/>
        <v>0</v>
      </c>
      <c r="L10" s="153">
        <f t="shared" si="1"/>
        <v>0</v>
      </c>
      <c r="M10" s="153">
        <f t="shared" si="1"/>
        <v>0</v>
      </c>
      <c r="N10" s="153">
        <f t="shared" si="1"/>
        <v>0</v>
      </c>
      <c r="O10" s="153">
        <f t="shared" si="1"/>
        <v>0</v>
      </c>
      <c r="P10" s="153">
        <f t="shared" si="1"/>
        <v>0</v>
      </c>
      <c r="Q10" s="153">
        <f t="shared" si="1"/>
        <v>0</v>
      </c>
      <c r="R10" s="153">
        <f t="shared" si="1"/>
        <v>0</v>
      </c>
      <c r="S10" s="241">
        <f>+SUM(G10:R10)</f>
        <v>214140559.95999998</v>
      </c>
      <c r="T10" s="455">
        <f>+S10/$T$7*100</f>
        <v>4.2595540341734131</v>
      </c>
    </row>
    <row r="11" spans="1:20">
      <c r="A11" s="152">
        <v>711</v>
      </c>
      <c r="B11" s="478" t="str">
        <f>+VLOOKUP($A11,Master!$D$28:$G$224,4,FALSE)</f>
        <v>Porezi</v>
      </c>
      <c r="C11" s="479"/>
      <c r="D11" s="479"/>
      <c r="E11" s="479"/>
      <c r="F11" s="479"/>
      <c r="G11" s="159">
        <f t="shared" ref="G11:R11" si="2">+SUM(G12:G18)</f>
        <v>73320205.209999993</v>
      </c>
      <c r="H11" s="159">
        <f t="shared" si="2"/>
        <v>69683087.399999991</v>
      </c>
      <c r="I11" s="159">
        <f t="shared" si="2"/>
        <v>0</v>
      </c>
      <c r="J11" s="159">
        <f t="shared" si="2"/>
        <v>0</v>
      </c>
      <c r="K11" s="159">
        <f t="shared" si="2"/>
        <v>0</v>
      </c>
      <c r="L11" s="159">
        <f t="shared" si="2"/>
        <v>0</v>
      </c>
      <c r="M11" s="159">
        <f t="shared" si="2"/>
        <v>0</v>
      </c>
      <c r="N11" s="159">
        <f t="shared" si="2"/>
        <v>0</v>
      </c>
      <c r="O11" s="159">
        <f t="shared" si="2"/>
        <v>0</v>
      </c>
      <c r="P11" s="159">
        <f t="shared" si="2"/>
        <v>0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143003292.60999998</v>
      </c>
      <c r="T11" s="456">
        <f t="shared" ref="T11:T64" si="4">+S11/$T$7*100</f>
        <v>2.8445346927774349</v>
      </c>
    </row>
    <row r="12" spans="1:20">
      <c r="A12" s="152">
        <v>7111</v>
      </c>
      <c r="B12" s="480" t="str">
        <f>+VLOOKUP($A12,Master!$D$28:$G$224,4,FALSE)</f>
        <v>Porez na dohodak fizičkih lica</v>
      </c>
      <c r="C12" s="481"/>
      <c r="D12" s="481"/>
      <c r="E12" s="481"/>
      <c r="F12" s="481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9514934.0399999991</v>
      </c>
      <c r="I12" s="165">
        <f>+INDEX(DataEx!$1:$1048576,MATCH('2020'!$A12,DataEx!$D:$D,0),MATCH('2020'!I$6,DataEx!$7:$7,0))</f>
        <v>0</v>
      </c>
      <c r="J12" s="165">
        <f>+INDEX(DataEx!$1:$1048576,MATCH('2020'!$A12,DataEx!$D:$D,0),MATCH('2020'!J$6,DataEx!$7:$7,0))</f>
        <v>0</v>
      </c>
      <c r="K12" s="165">
        <f>+INDEX(DataEx!$1:$1048576,MATCH('2020'!$A12,DataEx!$D:$D,0),MATCH('2020'!K$6,DataEx!$7:$7,0))</f>
        <v>0</v>
      </c>
      <c r="L12" s="165">
        <f>+INDEX(DataEx!$1:$1048576,MATCH('2020'!$A12,DataEx!$D:$D,0),MATCH('2020'!L$6,DataEx!$7:$7,0))</f>
        <v>0</v>
      </c>
      <c r="M12" s="165">
        <f>+INDEX(DataEx!$1:$1048576,MATCH('2020'!$A12,DataEx!$D:$D,0),MATCH('2020'!M$6,DataEx!$7:$7,0))</f>
        <v>0</v>
      </c>
      <c r="N12" s="165">
        <f>+INDEX(DataEx!$1:$1048576,MATCH('2020'!$A12,DataEx!$D:$D,0),MATCH('2020'!N$6,DataEx!$7:$7,0))</f>
        <v>0</v>
      </c>
      <c r="O12" s="165">
        <f>+INDEX(DataEx!$1:$1048576,MATCH('2020'!$A12,DataEx!$D:$D,0),MATCH('2020'!O$6,DataEx!$7:$7,0))</f>
        <v>0</v>
      </c>
      <c r="P12" s="165">
        <f>+INDEX(DataEx!$1:$1048576,MATCH('2020'!$A12,DataEx!$D:$D,0),MATCH('2020'!P$6,DataEx!$7:$7,0))</f>
        <v>0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13832689.16</v>
      </c>
      <c r="T12" s="457">
        <f t="shared" si="4"/>
        <v>0.2751514562488811</v>
      </c>
    </row>
    <row r="13" spans="1:20">
      <c r="A13" s="152">
        <v>7112</v>
      </c>
      <c r="B13" s="480" t="str">
        <f>+VLOOKUP($A13,Master!$D$28:$G$224,4,FALSE)</f>
        <v>Porez na dobit pravnih lica</v>
      </c>
      <c r="C13" s="481"/>
      <c r="D13" s="481"/>
      <c r="E13" s="481"/>
      <c r="F13" s="481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2402403.02</v>
      </c>
      <c r="I13" s="165">
        <f>+INDEX(DataEx!$1:$1048576,MATCH('2020'!$A13,DataEx!$D:$D,0),MATCH('2020'!I$6,DataEx!$7:$7,0))</f>
        <v>0</v>
      </c>
      <c r="J13" s="165">
        <f>+INDEX(DataEx!$1:$1048576,MATCH('2020'!$A13,DataEx!$D:$D,0),MATCH('2020'!J$6,DataEx!$7:$7,0))</f>
        <v>0</v>
      </c>
      <c r="K13" s="165">
        <f>+INDEX(DataEx!$1:$1048576,MATCH('2020'!$A13,DataEx!$D:$D,0),MATCH('2020'!K$6,DataEx!$7:$7,0))</f>
        <v>0</v>
      </c>
      <c r="L13" s="165">
        <f>+INDEX(DataEx!$1:$1048576,MATCH('2020'!$A13,DataEx!$D:$D,0),MATCH('2020'!L$6,DataEx!$7:$7,0))</f>
        <v>0</v>
      </c>
      <c r="M13" s="165">
        <f>+INDEX(DataEx!$1:$1048576,MATCH('2020'!$A13,DataEx!$D:$D,0),MATCH('2020'!M$6,DataEx!$7:$7,0))</f>
        <v>0</v>
      </c>
      <c r="N13" s="165">
        <f>+INDEX(DataEx!$1:$1048576,MATCH('2020'!$A13,DataEx!$D:$D,0),MATCH('2020'!N$6,DataEx!$7:$7,0))</f>
        <v>0</v>
      </c>
      <c r="O13" s="165">
        <f>+INDEX(DataEx!$1:$1048576,MATCH('2020'!$A13,DataEx!$D:$D,0),MATCH('2020'!O$6,DataEx!$7:$7,0))</f>
        <v>0</v>
      </c>
      <c r="P13" s="165">
        <f>+INDEX(DataEx!$1:$1048576,MATCH('2020'!$A13,DataEx!$D:$D,0),MATCH('2020'!P$6,DataEx!$7:$7,0))</f>
        <v>0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3076142.62</v>
      </c>
      <c r="T13" s="457">
        <f t="shared" si="4"/>
        <v>6.1188761760786109E-2</v>
      </c>
    </row>
    <row r="14" spans="1:20">
      <c r="A14" s="152">
        <v>7113</v>
      </c>
      <c r="B14" s="480" t="str">
        <f>+VLOOKUP($A14,Master!$D$28:$G$224,4,FALSE)</f>
        <v>Porez na promet nepokretnosti</v>
      </c>
      <c r="C14" s="481"/>
      <c r="D14" s="481"/>
      <c r="E14" s="481"/>
      <c r="F14" s="481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168097.86</v>
      </c>
      <c r="I14" s="165">
        <f>+INDEX(DataEx!$1:$1048576,MATCH('2020'!$A14,DataEx!$D:$D,0),MATCH('2020'!I$6,DataEx!$7:$7,0))</f>
        <v>0</v>
      </c>
      <c r="J14" s="165">
        <f>+INDEX(DataEx!$1:$1048576,MATCH('2020'!$A14,DataEx!$D:$D,0),MATCH('2020'!J$6,DataEx!$7:$7,0))</f>
        <v>0</v>
      </c>
      <c r="K14" s="165">
        <f>+INDEX(DataEx!$1:$1048576,MATCH('2020'!$A14,DataEx!$D:$D,0),MATCH('2020'!K$6,DataEx!$7:$7,0))</f>
        <v>0</v>
      </c>
      <c r="L14" s="165">
        <f>+INDEX(DataEx!$1:$1048576,MATCH('2020'!$A14,DataEx!$D:$D,0),MATCH('2020'!L$6,DataEx!$7:$7,0))</f>
        <v>0</v>
      </c>
      <c r="M14" s="165">
        <f>+INDEX(DataEx!$1:$1048576,MATCH('2020'!$A14,DataEx!$D:$D,0),MATCH('2020'!M$6,DataEx!$7:$7,0))</f>
        <v>0</v>
      </c>
      <c r="N14" s="165">
        <f>+INDEX(DataEx!$1:$1048576,MATCH('2020'!$A14,DataEx!$D:$D,0),MATCH('2020'!N$6,DataEx!$7:$7,0))</f>
        <v>0</v>
      </c>
      <c r="O14" s="165">
        <f>+INDEX(DataEx!$1:$1048576,MATCH('2020'!$A14,DataEx!$D:$D,0),MATCH('2020'!O$6,DataEx!$7:$7,0))</f>
        <v>0</v>
      </c>
      <c r="P14" s="165">
        <f>+INDEX(DataEx!$1:$1048576,MATCH('2020'!$A14,DataEx!$D:$D,0),MATCH('2020'!P$6,DataEx!$7:$7,0))</f>
        <v>0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353107.17</v>
      </c>
      <c r="T14" s="457">
        <f t="shared" si="4"/>
        <v>7.0237934875579337E-3</v>
      </c>
    </row>
    <row r="15" spans="1:20">
      <c r="A15" s="152">
        <v>7114</v>
      </c>
      <c r="B15" s="480" t="str">
        <f>+VLOOKUP($A15,Master!$D$28:$G$224,4,FALSE)</f>
        <v>Porez na dodatu vrijednost</v>
      </c>
      <c r="C15" s="481"/>
      <c r="D15" s="481"/>
      <c r="E15" s="481"/>
      <c r="F15" s="481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40097544.82</v>
      </c>
      <c r="I15" s="165">
        <f>+INDEX(DataEx!$1:$1048576,MATCH('2020'!$A15,DataEx!$D:$D,0),MATCH('2020'!I$6,DataEx!$7:$7,0))</f>
        <v>0</v>
      </c>
      <c r="J15" s="165">
        <f>+INDEX(DataEx!$1:$1048576,MATCH('2020'!$A15,DataEx!$D:$D,0),MATCH('2020'!J$6,DataEx!$7:$7,0))</f>
        <v>0</v>
      </c>
      <c r="K15" s="165">
        <f>+INDEX(DataEx!$1:$1048576,MATCH('2020'!$A15,DataEx!$D:$D,0),MATCH('2020'!K$6,DataEx!$7:$7,0))</f>
        <v>0</v>
      </c>
      <c r="L15" s="165">
        <f>+INDEX(DataEx!$1:$1048576,MATCH('2020'!$A15,DataEx!$D:$D,0),MATCH('2020'!L$6,DataEx!$7:$7,0))</f>
        <v>0</v>
      </c>
      <c r="M15" s="165">
        <f>+INDEX(DataEx!$1:$1048576,MATCH('2020'!$A15,DataEx!$D:$D,0),MATCH('2020'!M$6,DataEx!$7:$7,0))</f>
        <v>0</v>
      </c>
      <c r="N15" s="165">
        <f>+INDEX(DataEx!$1:$1048576,MATCH('2020'!$A15,DataEx!$D:$D,0),MATCH('2020'!N$6,DataEx!$7:$7,0))</f>
        <v>0</v>
      </c>
      <c r="O15" s="165">
        <f>+INDEX(DataEx!$1:$1048576,MATCH('2020'!$A15,DataEx!$D:$D,0),MATCH('2020'!O$6,DataEx!$7:$7,0))</f>
        <v>0</v>
      </c>
      <c r="P15" s="165">
        <f>+INDEX(DataEx!$1:$1048576,MATCH('2020'!$A15,DataEx!$D:$D,0),MATCH('2020'!P$6,DataEx!$7:$7,0))</f>
        <v>0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87878752.00999999</v>
      </c>
      <c r="T15" s="457">
        <f t="shared" si="4"/>
        <v>1.7480307920752689</v>
      </c>
    </row>
    <row r="16" spans="1:20">
      <c r="A16" s="152">
        <v>7115</v>
      </c>
      <c r="B16" s="480" t="str">
        <f>+VLOOKUP($A16,Master!$D$28:$G$224,4,FALSE)</f>
        <v>Akcize</v>
      </c>
      <c r="C16" s="481"/>
      <c r="D16" s="481"/>
      <c r="E16" s="481"/>
      <c r="F16" s="481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14831752.550000001</v>
      </c>
      <c r="I16" s="165">
        <f>+INDEX(DataEx!$1:$1048576,MATCH('2020'!$A16,DataEx!$D:$D,0),MATCH('2020'!I$6,DataEx!$7:$7,0))</f>
        <v>0</v>
      </c>
      <c r="J16" s="165">
        <f>+INDEX(DataEx!$1:$1048576,MATCH('2020'!$A16,DataEx!$D:$D,0),MATCH('2020'!J$6,DataEx!$7:$7,0))</f>
        <v>0</v>
      </c>
      <c r="K16" s="165">
        <f>+INDEX(DataEx!$1:$1048576,MATCH('2020'!$A16,DataEx!$D:$D,0),MATCH('2020'!K$6,DataEx!$7:$7,0))</f>
        <v>0</v>
      </c>
      <c r="L16" s="165">
        <f>+INDEX(DataEx!$1:$1048576,MATCH('2020'!$A16,DataEx!$D:$D,0),MATCH('2020'!L$6,DataEx!$7:$7,0))</f>
        <v>0</v>
      </c>
      <c r="M16" s="165">
        <f>+INDEX(DataEx!$1:$1048576,MATCH('2020'!$A16,DataEx!$D:$D,0),MATCH('2020'!M$6,DataEx!$7:$7,0))</f>
        <v>0</v>
      </c>
      <c r="N16" s="165">
        <f>+INDEX(DataEx!$1:$1048576,MATCH('2020'!$A16,DataEx!$D:$D,0),MATCH('2020'!N$6,DataEx!$7:$7,0))</f>
        <v>0</v>
      </c>
      <c r="O16" s="165">
        <f>+INDEX(DataEx!$1:$1048576,MATCH('2020'!$A16,DataEx!$D:$D,0),MATCH('2020'!O$6,DataEx!$7:$7,0))</f>
        <v>0</v>
      </c>
      <c r="P16" s="165">
        <f>+INDEX(DataEx!$1:$1048576,MATCH('2020'!$A16,DataEx!$D:$D,0),MATCH('2020'!P$6,DataEx!$7:$7,0))</f>
        <v>0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32901897.650000002</v>
      </c>
      <c r="T16" s="457">
        <f t="shared" si="4"/>
        <v>0.65446457641278621</v>
      </c>
    </row>
    <row r="17" spans="1:25">
      <c r="A17" s="152">
        <v>7116</v>
      </c>
      <c r="B17" s="480" t="str">
        <f>+VLOOKUP($A17,Master!$D$28:$G$224,4,FALSE)</f>
        <v>Porez na međunarodnu trgovinu i transakcije</v>
      </c>
      <c r="C17" s="481"/>
      <c r="D17" s="481"/>
      <c r="E17" s="481"/>
      <c r="F17" s="481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1922810.55</v>
      </c>
      <c r="I17" s="165">
        <f>+INDEX(DataEx!$1:$1048576,MATCH('2020'!$A17,DataEx!$D:$D,0),MATCH('2020'!I$6,DataEx!$7:$7,0))</f>
        <v>0</v>
      </c>
      <c r="J17" s="165">
        <f>+INDEX(DataEx!$1:$1048576,MATCH('2020'!$A17,DataEx!$D:$D,0),MATCH('2020'!J$6,DataEx!$7:$7,0))</f>
        <v>0</v>
      </c>
      <c r="K17" s="165">
        <f>+INDEX(DataEx!$1:$1048576,MATCH('2020'!$A17,DataEx!$D:$D,0),MATCH('2020'!K$6,DataEx!$7:$7,0))</f>
        <v>0</v>
      </c>
      <c r="L17" s="165">
        <f>+INDEX(DataEx!$1:$1048576,MATCH('2020'!$A17,DataEx!$D:$D,0),MATCH('2020'!L$6,DataEx!$7:$7,0))</f>
        <v>0</v>
      </c>
      <c r="M17" s="165">
        <f>+INDEX(DataEx!$1:$1048576,MATCH('2020'!$A17,DataEx!$D:$D,0),MATCH('2020'!M$6,DataEx!$7:$7,0))</f>
        <v>0</v>
      </c>
      <c r="N17" s="165">
        <f>+INDEX(DataEx!$1:$1048576,MATCH('2020'!$A17,DataEx!$D:$D,0),MATCH('2020'!N$6,DataEx!$7:$7,0))</f>
        <v>0</v>
      </c>
      <c r="O17" s="165">
        <f>+INDEX(DataEx!$1:$1048576,MATCH('2020'!$A17,DataEx!$D:$D,0),MATCH('2020'!O$6,DataEx!$7:$7,0))</f>
        <v>0</v>
      </c>
      <c r="P17" s="165">
        <f>+INDEX(DataEx!$1:$1048576,MATCH('2020'!$A17,DataEx!$D:$D,0),MATCH('2020'!P$6,DataEx!$7:$7,0))</f>
        <v>0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3460017.1799999997</v>
      </c>
      <c r="T17" s="457">
        <f t="shared" si="4"/>
        <v>6.8824561494241432E-2</v>
      </c>
    </row>
    <row r="18" spans="1:25">
      <c r="A18" s="152">
        <v>7118</v>
      </c>
      <c r="B18" s="480" t="str">
        <f>+VLOOKUP($A18,Master!$D$28:$G$224,4,FALSE)</f>
        <v>Ostali državni porezi</v>
      </c>
      <c r="C18" s="481"/>
      <c r="D18" s="481"/>
      <c r="E18" s="481"/>
      <c r="F18" s="481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745544.56</v>
      </c>
      <c r="I18" s="165">
        <f>+INDEX(DataEx!$1:$1048576,MATCH('2020'!$A18,DataEx!$D:$D,0),MATCH('2020'!I$6,DataEx!$7:$7,0))</f>
        <v>0</v>
      </c>
      <c r="J18" s="165">
        <f>+INDEX(DataEx!$1:$1048576,MATCH('2020'!$A18,DataEx!$D:$D,0),MATCH('2020'!J$6,DataEx!$7:$7,0))</f>
        <v>0</v>
      </c>
      <c r="K18" s="165">
        <f>+INDEX(DataEx!$1:$1048576,MATCH('2020'!$A18,DataEx!$D:$D,0),MATCH('2020'!K$6,DataEx!$7:$7,0))</f>
        <v>0</v>
      </c>
      <c r="L18" s="165">
        <f>+INDEX(DataEx!$1:$1048576,MATCH('2020'!$A18,DataEx!$D:$D,0),MATCH('2020'!L$6,DataEx!$7:$7,0))</f>
        <v>0</v>
      </c>
      <c r="M18" s="165">
        <f>+INDEX(DataEx!$1:$1048576,MATCH('2020'!$A18,DataEx!$D:$D,0),MATCH('2020'!M$6,DataEx!$7:$7,0))</f>
        <v>0</v>
      </c>
      <c r="N18" s="165">
        <f>+INDEX(DataEx!$1:$1048576,MATCH('2020'!$A18,DataEx!$D:$D,0),MATCH('2020'!N$6,DataEx!$7:$7,0))</f>
        <v>0</v>
      </c>
      <c r="O18" s="165">
        <f>+INDEX(DataEx!$1:$1048576,MATCH('2020'!$A18,DataEx!$D:$D,0),MATCH('2020'!O$6,DataEx!$7:$7,0))</f>
        <v>0</v>
      </c>
      <c r="P18" s="165">
        <f>+INDEX(DataEx!$1:$1048576,MATCH('2020'!$A18,DataEx!$D:$D,0),MATCH('2020'!P$6,DataEx!$7:$7,0))</f>
        <v>0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1500686.82</v>
      </c>
      <c r="T18" s="457">
        <f t="shared" si="4"/>
        <v>2.9850751297913394E-2</v>
      </c>
    </row>
    <row r="19" spans="1:25">
      <c r="A19" s="152">
        <v>712</v>
      </c>
      <c r="B19" s="484" t="str">
        <f>+VLOOKUP($A19,Master!$D$28:$G$224,4,FALSE)</f>
        <v>Doprinosi</v>
      </c>
      <c r="C19" s="485"/>
      <c r="D19" s="485"/>
      <c r="E19" s="485"/>
      <c r="F19" s="485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42574769.890000001</v>
      </c>
      <c r="I19" s="171">
        <f>+INDEX(DataEx!$1:$1048576,MATCH('2020'!$A19,DataEx!$D:$D,0),MATCH('2020'!I$6,DataEx!$7:$7,0))</f>
        <v>0</v>
      </c>
      <c r="J19" s="171">
        <f>+INDEX(DataEx!$1:$1048576,MATCH('2020'!$A19,DataEx!$D:$D,0),MATCH('2020'!J$6,DataEx!$7:$7,0))</f>
        <v>0</v>
      </c>
      <c r="K19" s="171">
        <f>+INDEX(DataEx!$1:$1048576,MATCH('2020'!$A19,DataEx!$D:$D,0),MATCH('2020'!K$6,DataEx!$7:$7,0))</f>
        <v>0</v>
      </c>
      <c r="L19" s="171">
        <f>+INDEX(DataEx!$1:$1048576,MATCH('2020'!$A19,DataEx!$D:$D,0),MATCH('2020'!L$6,DataEx!$7:$7,0))</f>
        <v>0</v>
      </c>
      <c r="M19" s="171">
        <f>+INDEX(DataEx!$1:$1048576,MATCH('2020'!$A19,DataEx!$D:$D,0),MATCH('2020'!M$6,DataEx!$7:$7,0))</f>
        <v>0</v>
      </c>
      <c r="N19" s="171">
        <f>+INDEX(DataEx!$1:$1048576,MATCH('2020'!$A19,DataEx!$D:$D,0),MATCH('2020'!N$6,DataEx!$7:$7,0))</f>
        <v>0</v>
      </c>
      <c r="O19" s="171">
        <f>+INDEX(DataEx!$1:$1048576,MATCH('2020'!$A19,DataEx!$D:$D,0),MATCH('2020'!O$6,DataEx!$7:$7,0))</f>
        <v>0</v>
      </c>
      <c r="P19" s="171">
        <f>+INDEX(DataEx!$1:$1048576,MATCH('2020'!$A19,DataEx!$D:$D,0),MATCH('2020'!P$6,DataEx!$7:$7,0))</f>
        <v>0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58324056.109999999</v>
      </c>
      <c r="T19" s="458">
        <f t="shared" si="4"/>
        <v>1.1601467211027787</v>
      </c>
    </row>
    <row r="20" spans="1:25">
      <c r="A20" s="152">
        <v>7121</v>
      </c>
      <c r="B20" s="480" t="str">
        <f>+VLOOKUP($A20,Master!$D$28:$G$224,4,FALSE)</f>
        <v>Doprinosi za penzijsko i invalidsko osiguranje</v>
      </c>
      <c r="C20" s="481"/>
      <c r="D20" s="481"/>
      <c r="E20" s="481"/>
      <c r="F20" s="481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26782162.98</v>
      </c>
      <c r="I20" s="165">
        <f>+INDEX(DataEx!$1:$1048576,MATCH('2020'!$A20,DataEx!$D:$D,0),MATCH('2020'!I$6,DataEx!$7:$7,0))</f>
        <v>0</v>
      </c>
      <c r="J20" s="165">
        <f>+INDEX(DataEx!$1:$1048576,MATCH('2020'!$A20,DataEx!$D:$D,0),MATCH('2020'!J$6,DataEx!$7:$7,0))</f>
        <v>0</v>
      </c>
      <c r="K20" s="165">
        <f>+INDEX(DataEx!$1:$1048576,MATCH('2020'!$A20,DataEx!$D:$D,0),MATCH('2020'!K$6,DataEx!$7:$7,0))</f>
        <v>0</v>
      </c>
      <c r="L20" s="165">
        <f>+INDEX(DataEx!$1:$1048576,MATCH('2020'!$A20,DataEx!$D:$D,0),MATCH('2020'!L$6,DataEx!$7:$7,0))</f>
        <v>0</v>
      </c>
      <c r="M20" s="165">
        <f>+INDEX(DataEx!$1:$1048576,MATCH('2020'!$A20,DataEx!$D:$D,0),MATCH('2020'!M$6,DataEx!$7:$7,0))</f>
        <v>0</v>
      </c>
      <c r="N20" s="165">
        <f>+INDEX(DataEx!$1:$1048576,MATCH('2020'!$A20,DataEx!$D:$D,0),MATCH('2020'!N$6,DataEx!$7:$7,0))</f>
        <v>0</v>
      </c>
      <c r="O20" s="165">
        <f>+INDEX(DataEx!$1:$1048576,MATCH('2020'!$A20,DataEx!$D:$D,0),MATCH('2020'!O$6,DataEx!$7:$7,0))</f>
        <v>0</v>
      </c>
      <c r="P20" s="165">
        <f>+INDEX(DataEx!$1:$1048576,MATCH('2020'!$A20,DataEx!$D:$D,0),MATCH('2020'!P$6,DataEx!$7:$7,0))</f>
        <v>0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36572526.460000001</v>
      </c>
      <c r="T20" s="457">
        <f t="shared" si="4"/>
        <v>0.72747849660851749</v>
      </c>
    </row>
    <row r="21" spans="1:25">
      <c r="A21" s="152">
        <v>7122</v>
      </c>
      <c r="B21" s="480" t="str">
        <f>+VLOOKUP($A21,Master!$D$28:$G$224,4,FALSE)</f>
        <v>Doprinosi za zdravstveno osiguranje</v>
      </c>
      <c r="C21" s="481"/>
      <c r="D21" s="481"/>
      <c r="E21" s="481"/>
      <c r="F21" s="481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13521231.24</v>
      </c>
      <c r="I21" s="165">
        <f>+INDEX(DataEx!$1:$1048576,MATCH('2020'!$A21,DataEx!$D:$D,0),MATCH('2020'!I$6,DataEx!$7:$7,0))</f>
        <v>0</v>
      </c>
      <c r="J21" s="165">
        <f>+INDEX(DataEx!$1:$1048576,MATCH('2020'!$A21,DataEx!$D:$D,0),MATCH('2020'!J$6,DataEx!$7:$7,0))</f>
        <v>0</v>
      </c>
      <c r="K21" s="165">
        <f>+INDEX(DataEx!$1:$1048576,MATCH('2020'!$A21,DataEx!$D:$D,0),MATCH('2020'!K$6,DataEx!$7:$7,0))</f>
        <v>0</v>
      </c>
      <c r="L21" s="165">
        <f>+INDEX(DataEx!$1:$1048576,MATCH('2020'!$A21,DataEx!$D:$D,0),MATCH('2020'!L$6,DataEx!$7:$7,0))</f>
        <v>0</v>
      </c>
      <c r="M21" s="165">
        <f>+INDEX(DataEx!$1:$1048576,MATCH('2020'!$A21,DataEx!$D:$D,0),MATCH('2020'!M$6,DataEx!$7:$7,0))</f>
        <v>0</v>
      </c>
      <c r="N21" s="165">
        <f>+INDEX(DataEx!$1:$1048576,MATCH('2020'!$A21,DataEx!$D:$D,0),MATCH('2020'!N$6,DataEx!$7:$7,0))</f>
        <v>0</v>
      </c>
      <c r="O21" s="165">
        <f>+INDEX(DataEx!$1:$1048576,MATCH('2020'!$A21,DataEx!$D:$D,0),MATCH('2020'!O$6,DataEx!$7:$7,0))</f>
        <v>0</v>
      </c>
      <c r="P21" s="165">
        <f>+INDEX(DataEx!$1:$1048576,MATCH('2020'!$A21,DataEx!$D:$D,0),MATCH('2020'!P$6,DataEx!$7:$7,0))</f>
        <v>0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18681304.850000001</v>
      </c>
      <c r="T21" s="457">
        <f t="shared" si="4"/>
        <v>0.37159717641676454</v>
      </c>
    </row>
    <row r="22" spans="1:25">
      <c r="A22" s="152">
        <v>7123</v>
      </c>
      <c r="B22" s="480" t="str">
        <f>+VLOOKUP($A22,Master!$D$28:$G$224,4,FALSE)</f>
        <v>Doprinosi za osiguranje od nezaposlenosti</v>
      </c>
      <c r="C22" s="481"/>
      <c r="D22" s="481"/>
      <c r="E22" s="481"/>
      <c r="F22" s="481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1236727.53</v>
      </c>
      <c r="I22" s="165">
        <f>+INDEX(DataEx!$1:$1048576,MATCH('2020'!$A22,DataEx!$D:$D,0),MATCH('2020'!I$6,DataEx!$7:$7,0))</f>
        <v>0</v>
      </c>
      <c r="J22" s="165">
        <f>+INDEX(DataEx!$1:$1048576,MATCH('2020'!$A22,DataEx!$D:$D,0),MATCH('2020'!J$6,DataEx!$7:$7,0))</f>
        <v>0</v>
      </c>
      <c r="K22" s="165">
        <f>+INDEX(DataEx!$1:$1048576,MATCH('2020'!$A22,DataEx!$D:$D,0),MATCH('2020'!K$6,DataEx!$7:$7,0))</f>
        <v>0</v>
      </c>
      <c r="L22" s="165">
        <f>+INDEX(DataEx!$1:$1048576,MATCH('2020'!$A22,DataEx!$D:$D,0),MATCH('2020'!L$6,DataEx!$7:$7,0))</f>
        <v>0</v>
      </c>
      <c r="M22" s="165">
        <f>+INDEX(DataEx!$1:$1048576,MATCH('2020'!$A22,DataEx!$D:$D,0),MATCH('2020'!M$6,DataEx!$7:$7,0))</f>
        <v>0</v>
      </c>
      <c r="N22" s="165">
        <f>+INDEX(DataEx!$1:$1048576,MATCH('2020'!$A22,DataEx!$D:$D,0),MATCH('2020'!N$6,DataEx!$7:$7,0))</f>
        <v>0</v>
      </c>
      <c r="O22" s="165">
        <f>+INDEX(DataEx!$1:$1048576,MATCH('2020'!$A22,DataEx!$D:$D,0),MATCH('2020'!O$6,DataEx!$7:$7,0))</f>
        <v>0</v>
      </c>
      <c r="P22" s="165">
        <f>+INDEX(DataEx!$1:$1048576,MATCH('2020'!$A22,DataEx!$D:$D,0),MATCH('2020'!P$6,DataEx!$7:$7,0))</f>
        <v>0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1692469.6600000001</v>
      </c>
      <c r="T22" s="457">
        <f t="shared" si="4"/>
        <v>3.3665579137907027E-2</v>
      </c>
    </row>
    <row r="23" spans="1:25">
      <c r="A23" s="152">
        <v>7124</v>
      </c>
      <c r="B23" s="480" t="str">
        <f>+VLOOKUP($A23,Master!$D$28:$G$224,4,FALSE)</f>
        <v>Ostali doprinosi</v>
      </c>
      <c r="C23" s="481"/>
      <c r="D23" s="481"/>
      <c r="E23" s="481"/>
      <c r="F23" s="481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1034648.14</v>
      </c>
      <c r="I23" s="165">
        <f>+INDEX(DataEx!$1:$1048576,MATCH('2020'!$A23,DataEx!$D:$D,0),MATCH('2020'!I$6,DataEx!$7:$7,0))</f>
        <v>0</v>
      </c>
      <c r="J23" s="165">
        <f>+INDEX(DataEx!$1:$1048576,MATCH('2020'!$A23,DataEx!$D:$D,0),MATCH('2020'!J$6,DataEx!$7:$7,0))</f>
        <v>0</v>
      </c>
      <c r="K23" s="165">
        <f>+INDEX(DataEx!$1:$1048576,MATCH('2020'!$A23,DataEx!$D:$D,0),MATCH('2020'!K$6,DataEx!$7:$7,0))</f>
        <v>0</v>
      </c>
      <c r="L23" s="165">
        <f>+INDEX(DataEx!$1:$1048576,MATCH('2020'!$A23,DataEx!$D:$D,0),MATCH('2020'!L$6,DataEx!$7:$7,0))</f>
        <v>0</v>
      </c>
      <c r="M23" s="165">
        <f>+INDEX(DataEx!$1:$1048576,MATCH('2020'!$A23,DataEx!$D:$D,0),MATCH('2020'!M$6,DataEx!$7:$7,0))</f>
        <v>0</v>
      </c>
      <c r="N23" s="165">
        <f>+INDEX(DataEx!$1:$1048576,MATCH('2020'!$A23,DataEx!$D:$D,0),MATCH('2020'!N$6,DataEx!$7:$7,0))</f>
        <v>0</v>
      </c>
      <c r="O23" s="165">
        <f>+INDEX(DataEx!$1:$1048576,MATCH('2020'!$A23,DataEx!$D:$D,0),MATCH('2020'!O$6,DataEx!$7:$7,0))</f>
        <v>0</v>
      </c>
      <c r="P23" s="165">
        <f>+INDEX(DataEx!$1:$1048576,MATCH('2020'!$A23,DataEx!$D:$D,0),MATCH('2020'!P$6,DataEx!$7:$7,0))</f>
        <v>0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1377755.1400000001</v>
      </c>
      <c r="T23" s="457">
        <f t="shared" si="4"/>
        <v>2.7405468939589842E-2</v>
      </c>
      <c r="Y23" s="319"/>
    </row>
    <row r="24" spans="1:25">
      <c r="A24" s="152">
        <v>713</v>
      </c>
      <c r="B24" s="482" t="str">
        <f>+VLOOKUP($A24,Master!$D$28:$G$224,4,FALSE)</f>
        <v>Takse</v>
      </c>
      <c r="C24" s="483"/>
      <c r="D24" s="483"/>
      <c r="E24" s="483"/>
      <c r="F24" s="483"/>
      <c r="G24" s="177">
        <f>+INDEX(DataEx!$1:$1048576,MATCH('2020'!$A24,DataEx!$D:$D,0),MATCH('2020'!G$6,DataEx!$7:$7,0))</f>
        <v>669819.01</v>
      </c>
      <c r="H24" s="177">
        <f>+INDEX(DataEx!$1:$1048576,MATCH('2020'!$A24,DataEx!$D:$D,0),MATCH('2020'!H$6,DataEx!$7:$7,0))</f>
        <v>845756.92</v>
      </c>
      <c r="I24" s="177">
        <f>+INDEX(DataEx!$1:$1048576,MATCH('2020'!$A24,DataEx!$D:$D,0),MATCH('2020'!I$6,DataEx!$7:$7,0))</f>
        <v>0</v>
      </c>
      <c r="J24" s="177">
        <f>+INDEX(DataEx!$1:$1048576,MATCH('2020'!$A24,DataEx!$D:$D,0),MATCH('2020'!J$6,DataEx!$7:$7,0))</f>
        <v>0</v>
      </c>
      <c r="K24" s="177">
        <f>+INDEX(DataEx!$1:$1048576,MATCH('2020'!$A24,DataEx!$D:$D,0),MATCH('2020'!K$6,DataEx!$7:$7,0))</f>
        <v>0</v>
      </c>
      <c r="L24" s="177">
        <f>+INDEX(DataEx!$1:$1048576,MATCH('2020'!$A24,DataEx!$D:$D,0),MATCH('2020'!L$6,DataEx!$7:$7,0))</f>
        <v>0</v>
      </c>
      <c r="M24" s="177">
        <f>+INDEX(DataEx!$1:$1048576,MATCH('2020'!$A24,DataEx!$D:$D,0),MATCH('2020'!M$6,DataEx!$7:$7,0))</f>
        <v>0</v>
      </c>
      <c r="N24" s="177">
        <f>+INDEX(DataEx!$1:$1048576,MATCH('2020'!$A24,DataEx!$D:$D,0),MATCH('2020'!N$6,DataEx!$7:$7,0))</f>
        <v>0</v>
      </c>
      <c r="O24" s="177">
        <f>+INDEX(DataEx!$1:$1048576,MATCH('2020'!$A24,DataEx!$D:$D,0),MATCH('2020'!O$6,DataEx!$7:$7,0))</f>
        <v>0</v>
      </c>
      <c r="P24" s="177">
        <f>+INDEX(DataEx!$1:$1048576,MATCH('2020'!$A24,DataEx!$D:$D,0),MATCH('2020'!P$6,DataEx!$7:$7,0))</f>
        <v>0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1515575.9300000002</v>
      </c>
      <c r="T24" s="458">
        <f t="shared" si="4"/>
        <v>3.0146916436258036E-2</v>
      </c>
      <c r="Y24" s="319"/>
    </row>
    <row r="25" spans="1:25">
      <c r="A25" s="152">
        <v>714</v>
      </c>
      <c r="B25" s="482" t="str">
        <f>+VLOOKUP($A25,Master!$D$28:$G$224,4,FALSE)</f>
        <v>Naknade</v>
      </c>
      <c r="C25" s="483"/>
      <c r="D25" s="483"/>
      <c r="E25" s="483"/>
      <c r="F25" s="483"/>
      <c r="G25" s="177">
        <f>+INDEX(DataEx!$1:$1048576,MATCH('2020'!$A25,DataEx!$D:$D,0),MATCH('2020'!G$6,DataEx!$7:$7,0))</f>
        <v>2226726.9300000002</v>
      </c>
      <c r="H25" s="177">
        <f>+INDEX(DataEx!$1:$1048576,MATCH('2020'!$A25,DataEx!$D:$D,0),MATCH('2020'!H$6,DataEx!$7:$7,0))</f>
        <v>2200614.79</v>
      </c>
      <c r="I25" s="177">
        <f>+INDEX(DataEx!$1:$1048576,MATCH('2020'!$A25,DataEx!$D:$D,0),MATCH('2020'!I$6,DataEx!$7:$7,0))</f>
        <v>0</v>
      </c>
      <c r="J25" s="177">
        <f>+INDEX(DataEx!$1:$1048576,MATCH('2020'!$A25,DataEx!$D:$D,0),MATCH('2020'!J$6,DataEx!$7:$7,0))</f>
        <v>0</v>
      </c>
      <c r="K25" s="177">
        <f>+INDEX(DataEx!$1:$1048576,MATCH('2020'!$A25,DataEx!$D:$D,0),MATCH('2020'!K$6,DataEx!$7:$7,0))</f>
        <v>0</v>
      </c>
      <c r="L25" s="177">
        <f>+INDEX(DataEx!$1:$1048576,MATCH('2020'!$A25,DataEx!$D:$D,0),MATCH('2020'!L$6,DataEx!$7:$7,0))</f>
        <v>0</v>
      </c>
      <c r="M25" s="177">
        <f>+INDEX(DataEx!$1:$1048576,MATCH('2020'!$A25,DataEx!$D:$D,0),MATCH('2020'!M$6,DataEx!$7:$7,0))</f>
        <v>0</v>
      </c>
      <c r="N25" s="177">
        <f>+INDEX(DataEx!$1:$1048576,MATCH('2020'!$A25,DataEx!$D:$D,0),MATCH('2020'!N$6,DataEx!$7:$7,0))</f>
        <v>0</v>
      </c>
      <c r="O25" s="177">
        <f>+INDEX(DataEx!$1:$1048576,MATCH('2020'!$A25,DataEx!$D:$D,0),MATCH('2020'!O$6,DataEx!$7:$7,0))</f>
        <v>0</v>
      </c>
      <c r="P25" s="177">
        <f>+INDEX(DataEx!$1:$1048576,MATCH('2020'!$A25,DataEx!$D:$D,0),MATCH('2020'!P$6,DataEx!$7:$7,0))</f>
        <v>0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4427341.7200000007</v>
      </c>
      <c r="T25" s="458">
        <f t="shared" si="4"/>
        <v>8.80659940723649E-2</v>
      </c>
      <c r="W25" s="306"/>
    </row>
    <row r="26" spans="1:25">
      <c r="A26" s="152">
        <v>715</v>
      </c>
      <c r="B26" s="482" t="str">
        <f>+VLOOKUP($A26,Master!$D$28:$G$224,4,FALSE)</f>
        <v>Ostali prihodi</v>
      </c>
      <c r="C26" s="483"/>
      <c r="D26" s="483"/>
      <c r="E26" s="483"/>
      <c r="F26" s="483"/>
      <c r="G26" s="177">
        <f>+INDEX(DataEx!$1:$1048576,MATCH('2020'!$A26,DataEx!$D:$D,0),MATCH('2020'!G$6,DataEx!$7:$7,0))</f>
        <v>1484714.27</v>
      </c>
      <c r="H26" s="177">
        <f>+INDEX(DataEx!$1:$1048576,MATCH('2020'!$A26,DataEx!$D:$D,0),MATCH('2020'!H$6,DataEx!$7:$7,0))</f>
        <v>2100277.88</v>
      </c>
      <c r="I26" s="177">
        <f>+INDEX(DataEx!$1:$1048576,MATCH('2020'!$A26,DataEx!$D:$D,0),MATCH('2020'!I$6,DataEx!$7:$7,0))</f>
        <v>0</v>
      </c>
      <c r="J26" s="177">
        <f>+INDEX(DataEx!$1:$1048576,MATCH('2020'!$A26,DataEx!$D:$D,0),MATCH('2020'!J$6,DataEx!$7:$7,0))</f>
        <v>0</v>
      </c>
      <c r="K26" s="177">
        <f>+INDEX(DataEx!$1:$1048576,MATCH('2020'!$A26,DataEx!$D:$D,0),MATCH('2020'!K$6,DataEx!$7:$7,0))</f>
        <v>0</v>
      </c>
      <c r="L26" s="177">
        <f>+INDEX(DataEx!$1:$1048576,MATCH('2020'!$A26,DataEx!$D:$D,0),MATCH('2020'!L$6,DataEx!$7:$7,0))</f>
        <v>0</v>
      </c>
      <c r="M26" s="177">
        <f>+INDEX(DataEx!$1:$1048576,MATCH('2020'!$A26,DataEx!$D:$D,0),MATCH('2020'!M$6,DataEx!$7:$7,0))</f>
        <v>0</v>
      </c>
      <c r="N26" s="177">
        <f>+INDEX(DataEx!$1:$1048576,MATCH('2020'!$A26,DataEx!$D:$D,0),MATCH('2020'!N$6,DataEx!$7:$7,0))</f>
        <v>0</v>
      </c>
      <c r="O26" s="177">
        <f>+INDEX(DataEx!$1:$1048576,MATCH('2020'!$A26,DataEx!$D:$D,0),MATCH('2020'!O$6,DataEx!$7:$7,0))</f>
        <v>0</v>
      </c>
      <c r="P26" s="177">
        <f>+INDEX(DataEx!$1:$1048576,MATCH('2020'!$A26,DataEx!$D:$D,0),MATCH('2020'!P$6,DataEx!$7:$7,0))</f>
        <v>0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3584992.15</v>
      </c>
      <c r="T26" s="458">
        <f t="shared" si="4"/>
        <v>7.1310487736956224E-2</v>
      </c>
      <c r="W26" s="325"/>
    </row>
    <row r="27" spans="1:25">
      <c r="A27" s="152">
        <v>73</v>
      </c>
      <c r="B27" s="482" t="str">
        <f>+VLOOKUP($A27,Master!$D$28:$G$224,4,FALSE)</f>
        <v>Primici od otplate kredita i sredstva prenesena iz prethodne godine</v>
      </c>
      <c r="C27" s="483"/>
      <c r="D27" s="483"/>
      <c r="E27" s="483"/>
      <c r="F27" s="483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813727.89</v>
      </c>
      <c r="I27" s="177">
        <f>+INDEX(DataEx!$1:$1048576,MATCH('2020'!$A27,DataEx!$D:$D,0),MATCH('2020'!I$6,DataEx!$7:$7,0))</f>
        <v>0</v>
      </c>
      <c r="J27" s="177">
        <f>+INDEX(DataEx!$1:$1048576,MATCH('2020'!$A27,DataEx!$D:$D,0),MATCH('2020'!J$6,DataEx!$7:$7,0))</f>
        <v>0</v>
      </c>
      <c r="K27" s="177">
        <f>+INDEX(DataEx!$1:$1048576,MATCH('2020'!$A27,DataEx!$D:$D,0),MATCH('2020'!K$6,DataEx!$7:$7,0))</f>
        <v>0</v>
      </c>
      <c r="L27" s="177">
        <f>+INDEX(DataEx!$1:$1048576,MATCH('2020'!$A27,DataEx!$D:$D,0),MATCH('2020'!L$6,DataEx!$7:$7,0))</f>
        <v>0</v>
      </c>
      <c r="M27" s="177">
        <f>+INDEX(DataEx!$1:$1048576,MATCH('2020'!$A27,DataEx!$D:$D,0),MATCH('2020'!M$6,DataEx!$7:$7,0))</f>
        <v>0</v>
      </c>
      <c r="N27" s="177">
        <f>+INDEX(DataEx!$1:$1048576,MATCH('2020'!$A27,DataEx!$D:$D,0),MATCH('2020'!N$6,DataEx!$7:$7,0))</f>
        <v>0</v>
      </c>
      <c r="O27" s="177">
        <f>+INDEX(DataEx!$1:$1048576,MATCH('2020'!$A27,DataEx!$D:$D,0),MATCH('2020'!O$6,DataEx!$7:$7,0))</f>
        <v>0</v>
      </c>
      <c r="P27" s="177">
        <f>+INDEX(DataEx!$1:$1048576,MATCH('2020'!$A27,DataEx!$D:$D,0),MATCH('2020'!P$6,DataEx!$7:$7,0))</f>
        <v>0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894547.07000000007</v>
      </c>
      <c r="T27" s="458">
        <f t="shared" si="4"/>
        <v>1.7793787321226107E-2</v>
      </c>
    </row>
    <row r="28" spans="1:25" ht="13.5" thickBot="1">
      <c r="A28" s="152">
        <v>74</v>
      </c>
      <c r="B28" s="486" t="str">
        <f>+VLOOKUP($A28,Master!$D$28:$G$224,4,FALSE)</f>
        <v>Donacije i transferi</v>
      </c>
      <c r="C28" s="487"/>
      <c r="D28" s="487"/>
      <c r="E28" s="487"/>
      <c r="F28" s="487"/>
      <c r="G28" s="177">
        <f>+INDEX(DataEx!$1:$1048576,MATCH('2020'!$A28,DataEx!$D:$D,0),MATCH('2020'!G$6,DataEx!$7:$7,0))</f>
        <v>754264.83</v>
      </c>
      <c r="H28" s="177">
        <f>+INDEX(DataEx!$1:$1048576,MATCH('2020'!$A28,DataEx!$D:$D,0),MATCH('2020'!H$6,DataEx!$7:$7,0))</f>
        <v>1636489.54</v>
      </c>
      <c r="I28" s="177">
        <f>+INDEX(DataEx!$1:$1048576,MATCH('2020'!$A28,DataEx!$D:$D,0),MATCH('2020'!I$6,DataEx!$7:$7,0))</f>
        <v>0</v>
      </c>
      <c r="J28" s="177">
        <f>+INDEX(DataEx!$1:$1048576,MATCH('2020'!$A28,DataEx!$D:$D,0),MATCH('2020'!J$6,DataEx!$7:$7,0))</f>
        <v>0</v>
      </c>
      <c r="K28" s="177">
        <f>+INDEX(DataEx!$1:$1048576,MATCH('2020'!$A28,DataEx!$D:$D,0),MATCH('2020'!K$6,DataEx!$7:$7,0))</f>
        <v>0</v>
      </c>
      <c r="L28" s="177">
        <f>+INDEX(DataEx!$1:$1048576,MATCH('2020'!$A28,DataEx!$D:$D,0),MATCH('2020'!L$6,DataEx!$7:$7,0))</f>
        <v>0</v>
      </c>
      <c r="M28" s="177">
        <f>+INDEX(DataEx!$1:$1048576,MATCH('2020'!$A28,DataEx!$D:$D,0),MATCH('2020'!M$6,DataEx!$7:$7,0))</f>
        <v>0</v>
      </c>
      <c r="N28" s="177">
        <f>+INDEX(DataEx!$1:$1048576,MATCH('2020'!$A28,DataEx!$D:$D,0),MATCH('2020'!N$6,DataEx!$7:$7,0))</f>
        <v>0</v>
      </c>
      <c r="O28" s="177">
        <f>+INDEX(DataEx!$1:$1048576,MATCH('2020'!$A28,DataEx!$D:$D,0),MATCH('2020'!O$6,DataEx!$7:$7,0))</f>
        <v>0</v>
      </c>
      <c r="P28" s="177">
        <f>+INDEX(DataEx!$1:$1048576,MATCH('2020'!$A28,DataEx!$D:$D,0),MATCH('2020'!P$6,DataEx!$7:$7,0))</f>
        <v>0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2390754.37</v>
      </c>
      <c r="T28" s="459">
        <f t="shared" si="4"/>
        <v>4.755543472639389E-2</v>
      </c>
    </row>
    <row r="29" spans="1:25" ht="13.5" thickBot="1">
      <c r="A29" s="152">
        <v>4</v>
      </c>
      <c r="B29" s="488" t="str">
        <f>+VLOOKUP($A29,Master!$D$28:$G$224,4,FALSE)</f>
        <v>Izdaci</v>
      </c>
      <c r="C29" s="489"/>
      <c r="D29" s="489"/>
      <c r="E29" s="489"/>
      <c r="F29" s="489"/>
      <c r="G29" s="153">
        <f t="shared" ref="G29:R29" si="5">+G30+G40+G46+SUM(G47:G51)</f>
        <v>128293702.84999999</v>
      </c>
      <c r="H29" s="153">
        <f t="shared" si="5"/>
        <v>145830038.18000001</v>
      </c>
      <c r="I29" s="153">
        <f t="shared" si="5"/>
        <v>0</v>
      </c>
      <c r="J29" s="153">
        <f t="shared" si="5"/>
        <v>0</v>
      </c>
      <c r="K29" s="153">
        <f t="shared" si="5"/>
        <v>0</v>
      </c>
      <c r="L29" s="153">
        <f t="shared" si="5"/>
        <v>0</v>
      </c>
      <c r="M29" s="153">
        <f t="shared" si="5"/>
        <v>0</v>
      </c>
      <c r="N29" s="153">
        <f t="shared" si="5"/>
        <v>0</v>
      </c>
      <c r="O29" s="153">
        <f t="shared" si="5"/>
        <v>0</v>
      </c>
      <c r="P29" s="153">
        <f t="shared" si="5"/>
        <v>0</v>
      </c>
      <c r="Q29" s="153">
        <f t="shared" si="5"/>
        <v>0</v>
      </c>
      <c r="R29" s="153">
        <f t="shared" si="5"/>
        <v>0</v>
      </c>
      <c r="S29" s="247">
        <f t="shared" si="3"/>
        <v>274123741.02999997</v>
      </c>
      <c r="T29" s="460">
        <f t="shared" si="4"/>
        <v>5.4527030618821231</v>
      </c>
    </row>
    <row r="30" spans="1:25">
      <c r="A30" s="152">
        <v>41</v>
      </c>
      <c r="B30" s="492" t="str">
        <f>+VLOOKUP($A30,Master!$D$28:$G$224,4,FALSE)</f>
        <v>Tekući izdaci</v>
      </c>
      <c r="C30" s="493"/>
      <c r="D30" s="493"/>
      <c r="E30" s="493"/>
      <c r="F30" s="493"/>
      <c r="G30" s="189">
        <f t="shared" ref="G30:R30" si="6">+SUM(G31:G39)</f>
        <v>53589340.109999999</v>
      </c>
      <c r="H30" s="189">
        <f t="shared" si="6"/>
        <v>62613332.680000007</v>
      </c>
      <c r="I30" s="189">
        <f t="shared" si="6"/>
        <v>0</v>
      </c>
      <c r="J30" s="189">
        <f t="shared" si="6"/>
        <v>0</v>
      </c>
      <c r="K30" s="189">
        <f t="shared" si="6"/>
        <v>0</v>
      </c>
      <c r="L30" s="189">
        <f t="shared" si="6"/>
        <v>0</v>
      </c>
      <c r="M30" s="189">
        <f t="shared" si="6"/>
        <v>0</v>
      </c>
      <c r="N30" s="189">
        <f t="shared" si="6"/>
        <v>0</v>
      </c>
      <c r="O30" s="189">
        <f t="shared" si="6"/>
        <v>0</v>
      </c>
      <c r="P30" s="189">
        <f t="shared" si="6"/>
        <v>0</v>
      </c>
      <c r="Q30" s="189">
        <f t="shared" si="6"/>
        <v>0</v>
      </c>
      <c r="R30" s="248">
        <f t="shared" si="6"/>
        <v>0</v>
      </c>
      <c r="S30" s="445">
        <f t="shared" si="3"/>
        <v>116202672.79000001</v>
      </c>
      <c r="T30" s="456">
        <f t="shared" si="4"/>
        <v>2.3114330314482925</v>
      </c>
      <c r="U30" s="244"/>
    </row>
    <row r="31" spans="1:25">
      <c r="A31" s="152">
        <v>411</v>
      </c>
      <c r="B31" s="480" t="str">
        <f>+VLOOKUP($A31,Master!$D$28:$G$224,4,FALSE)</f>
        <v>Bruto zarade i doprinosi na teret poslodavca</v>
      </c>
      <c r="C31" s="481"/>
      <c r="D31" s="481"/>
      <c r="E31" s="481"/>
      <c r="F31" s="481"/>
      <c r="G31" s="165">
        <f>+INDEX(DataEx!$1:$1048576,MATCH('2020'!$A31,DataEx!$D:$D,0),MATCH('2020'!G$6,DataEx!$7:$7,0))</f>
        <v>40884882.280000001</v>
      </c>
      <c r="H31" s="165">
        <f>+INDEX(DataEx!$1:$1048576,MATCH('2020'!$A31,DataEx!$D:$D,0),MATCH('2020'!H$6,DataEx!$7:$7,0))</f>
        <v>41362850.270000003</v>
      </c>
      <c r="I31" s="165">
        <f>+INDEX(DataEx!$1:$1048576,MATCH('2020'!$A31,DataEx!$D:$D,0),MATCH('2020'!I$6,DataEx!$7:$7,0))</f>
        <v>0</v>
      </c>
      <c r="J31" s="165">
        <f>+INDEX(DataEx!$1:$1048576,MATCH('2020'!$A31,DataEx!$D:$D,0),MATCH('2020'!J$6,DataEx!$7:$7,0))</f>
        <v>0</v>
      </c>
      <c r="K31" s="165">
        <f>+INDEX(DataEx!$1:$1048576,MATCH('2020'!$A31,DataEx!$D:$D,0),MATCH('2020'!K$6,DataEx!$7:$7,0))</f>
        <v>0</v>
      </c>
      <c r="L31" s="165">
        <f>+INDEX(DataEx!$1:$1048576,MATCH('2020'!$A31,DataEx!$D:$D,0),MATCH('2020'!L$6,DataEx!$7:$7,0))</f>
        <v>0</v>
      </c>
      <c r="M31" s="165">
        <f>+INDEX(DataEx!$1:$1048576,MATCH('2020'!$A31,DataEx!$D:$D,0),MATCH('2020'!M$6,DataEx!$7:$7,0))</f>
        <v>0</v>
      </c>
      <c r="N31" s="165">
        <f>+INDEX(DataEx!$1:$1048576,MATCH('2020'!$A31,DataEx!$D:$D,0),MATCH('2020'!N$6,DataEx!$7:$7,0))</f>
        <v>0</v>
      </c>
      <c r="O31" s="165">
        <f>+INDEX(DataEx!$1:$1048576,MATCH('2020'!$A31,DataEx!$D:$D,0),MATCH('2020'!O$6,DataEx!$7:$7,0))</f>
        <v>0</v>
      </c>
      <c r="P31" s="165">
        <f>+INDEX(DataEx!$1:$1048576,MATCH('2020'!$A31,DataEx!$D:$D,0),MATCH('2020'!P$6,DataEx!$7:$7,0))</f>
        <v>0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82247732.550000012</v>
      </c>
      <c r="T31" s="457">
        <f t="shared" si="4"/>
        <v>1.6360219710381323</v>
      </c>
    </row>
    <row r="32" spans="1:25">
      <c r="A32" s="152">
        <v>412</v>
      </c>
      <c r="B32" s="480" t="str">
        <f>+VLOOKUP($A32,Master!$D$28:$G$224,4,FALSE)</f>
        <v>Ostala lična primanja</v>
      </c>
      <c r="C32" s="481"/>
      <c r="D32" s="481"/>
      <c r="E32" s="481"/>
      <c r="F32" s="481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1082169.6499999999</v>
      </c>
      <c r="I32" s="165">
        <f>+INDEX(DataEx!$1:$1048576,MATCH('2020'!$A32,DataEx!$D:$D,0),MATCH('2020'!I$6,DataEx!$7:$7,0))</f>
        <v>0</v>
      </c>
      <c r="J32" s="165">
        <f>+INDEX(DataEx!$1:$1048576,MATCH('2020'!$A32,DataEx!$D:$D,0),MATCH('2020'!J$6,DataEx!$7:$7,0))</f>
        <v>0</v>
      </c>
      <c r="K32" s="165">
        <f>+INDEX(DataEx!$1:$1048576,MATCH('2020'!$A32,DataEx!$D:$D,0),MATCH('2020'!K$6,DataEx!$7:$7,0))</f>
        <v>0</v>
      </c>
      <c r="L32" s="165">
        <f>+INDEX(DataEx!$1:$1048576,MATCH('2020'!$A32,DataEx!$D:$D,0),MATCH('2020'!L$6,DataEx!$7:$7,0))</f>
        <v>0</v>
      </c>
      <c r="M32" s="165">
        <f>+INDEX(DataEx!$1:$1048576,MATCH('2020'!$A32,DataEx!$D:$D,0),MATCH('2020'!M$6,DataEx!$7:$7,0))</f>
        <v>0</v>
      </c>
      <c r="N32" s="165">
        <f>+INDEX(DataEx!$1:$1048576,MATCH('2020'!$A32,DataEx!$D:$D,0),MATCH('2020'!N$6,DataEx!$7:$7,0))</f>
        <v>0</v>
      </c>
      <c r="O32" s="165">
        <f>+INDEX(DataEx!$1:$1048576,MATCH('2020'!$A32,DataEx!$D:$D,0),MATCH('2020'!O$6,DataEx!$7:$7,0))</f>
        <v>0</v>
      </c>
      <c r="P32" s="165">
        <f>+INDEX(DataEx!$1:$1048576,MATCH('2020'!$A32,DataEx!$D:$D,0),MATCH('2020'!P$6,DataEx!$7:$7,0))</f>
        <v>0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1558773.0699999998</v>
      </c>
      <c r="T32" s="457">
        <f t="shared" si="4"/>
        <v>3.1006167724225726E-2</v>
      </c>
      <c r="U32" s="307"/>
    </row>
    <row r="33" spans="1:23">
      <c r="A33" s="152">
        <v>413</v>
      </c>
      <c r="B33" s="480" t="str">
        <f>+VLOOKUP($A33,Master!$D$28:$G$224,4,FALSE)</f>
        <v>Rashodi za materijal</v>
      </c>
      <c r="C33" s="481"/>
      <c r="D33" s="481"/>
      <c r="E33" s="481"/>
      <c r="F33" s="481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4271561.3099999996</v>
      </c>
      <c r="I33" s="165">
        <f>+INDEX(DataEx!$1:$1048576,MATCH('2020'!$A33,DataEx!$D:$D,0),MATCH('2020'!I$6,DataEx!$7:$7,0))</f>
        <v>0</v>
      </c>
      <c r="J33" s="165">
        <f>+INDEX(DataEx!$1:$1048576,MATCH('2020'!$A33,DataEx!$D:$D,0),MATCH('2020'!J$6,DataEx!$7:$7,0))</f>
        <v>0</v>
      </c>
      <c r="K33" s="165">
        <f>+INDEX(DataEx!$1:$1048576,MATCH('2020'!$A33,DataEx!$D:$D,0),MATCH('2020'!K$6,DataEx!$7:$7,0))</f>
        <v>0</v>
      </c>
      <c r="L33" s="165">
        <f>+INDEX(DataEx!$1:$1048576,MATCH('2020'!$A33,DataEx!$D:$D,0),MATCH('2020'!L$6,DataEx!$7:$7,0))</f>
        <v>0</v>
      </c>
      <c r="M33" s="165">
        <f>+INDEX(DataEx!$1:$1048576,MATCH('2020'!$A33,DataEx!$D:$D,0),MATCH('2020'!M$6,DataEx!$7:$7,0))</f>
        <v>0</v>
      </c>
      <c r="N33" s="165">
        <f>+INDEX(DataEx!$1:$1048576,MATCH('2020'!$A33,DataEx!$D:$D,0),MATCH('2020'!N$6,DataEx!$7:$7,0))</f>
        <v>0</v>
      </c>
      <c r="O33" s="165">
        <f>+INDEX(DataEx!$1:$1048576,MATCH('2020'!$A33,DataEx!$D:$D,0),MATCH('2020'!O$6,DataEx!$7:$7,0))</f>
        <v>0</v>
      </c>
      <c r="P33" s="165">
        <f>+INDEX(DataEx!$1:$1048576,MATCH('2020'!$A33,DataEx!$D:$D,0),MATCH('2020'!P$6,DataEx!$7:$7,0))</f>
        <v>0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5117135.71</v>
      </c>
      <c r="T33" s="457">
        <f t="shared" si="4"/>
        <v>0.10178695741252759</v>
      </c>
      <c r="U33" s="325"/>
      <c r="V33" s="305"/>
    </row>
    <row r="34" spans="1:23" s="379" customFormat="1">
      <c r="A34" s="378">
        <v>414</v>
      </c>
      <c r="B34" s="529" t="str">
        <f>+VLOOKUP($A34,Master!$D$28:$G$224,4,FALSE)</f>
        <v>Rashodi za usluge</v>
      </c>
      <c r="C34" s="530"/>
      <c r="D34" s="530"/>
      <c r="E34" s="530"/>
      <c r="F34" s="530"/>
      <c r="G34" s="165">
        <f>+INDEX(DataEx!$1:$1048576,MATCH('2020'!$A34,DataEx!$D:$D,0),MATCH('2020'!G$6,DataEx!$7:$7,0))</f>
        <v>1526609.67</v>
      </c>
      <c r="H34" s="165">
        <f>+INDEX(DataEx!$1:$1048576,MATCH('2020'!$A34,DataEx!$D:$D,0),MATCH('2020'!H$6,DataEx!$7:$7,0))</f>
        <v>5801121.7699999996</v>
      </c>
      <c r="I34" s="165">
        <f>+INDEX(DataEx!$1:$1048576,MATCH('2020'!$A34,DataEx!$D:$D,0),MATCH('2020'!I$6,DataEx!$7:$7,0))</f>
        <v>0</v>
      </c>
      <c r="J34" s="165">
        <f>+INDEX(DataEx!$1:$1048576,MATCH('2020'!$A34,DataEx!$D:$D,0),MATCH('2020'!J$6,DataEx!$7:$7,0))</f>
        <v>0</v>
      </c>
      <c r="K34" s="165">
        <f>+INDEX(DataEx!$1:$1048576,MATCH('2020'!$A34,DataEx!$D:$D,0),MATCH('2020'!K$6,DataEx!$7:$7,0))</f>
        <v>0</v>
      </c>
      <c r="L34" s="165">
        <f>+INDEX(DataEx!$1:$1048576,MATCH('2020'!$A34,DataEx!$D:$D,0),MATCH('2020'!L$6,DataEx!$7:$7,0))</f>
        <v>0</v>
      </c>
      <c r="M34" s="165">
        <f>+INDEX(DataEx!$1:$1048576,MATCH('2020'!$A34,DataEx!$D:$D,0),MATCH('2020'!M$6,DataEx!$7:$7,0))</f>
        <v>0</v>
      </c>
      <c r="N34" s="165">
        <f>+INDEX(DataEx!$1:$1048576,MATCH('2020'!$A34,DataEx!$D:$D,0),MATCH('2020'!N$6,DataEx!$7:$7,0))</f>
        <v>0</v>
      </c>
      <c r="O34" s="165">
        <f>+INDEX(DataEx!$1:$1048576,MATCH('2020'!$A34,DataEx!$D:$D,0),MATCH('2020'!O$6,DataEx!$7:$7,0))</f>
        <v>0</v>
      </c>
      <c r="P34" s="165">
        <f>+INDEX(DataEx!$1:$1048576,MATCH('2020'!$A34,DataEx!$D:$D,0),MATCH('2020'!P$6,DataEx!$7:$7,0))</f>
        <v>0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7327731.4399999995</v>
      </c>
      <c r="T34" s="457">
        <f t="shared" si="4"/>
        <v>0.14575878582937163</v>
      </c>
      <c r="U34" s="325"/>
    </row>
    <row r="35" spans="1:23">
      <c r="A35" s="152">
        <v>415</v>
      </c>
      <c r="B35" s="480" t="str">
        <f>+VLOOKUP($A35,Master!$D$28:$G$224,4,FALSE)</f>
        <v>Rashodi za tekuće održavanje</v>
      </c>
      <c r="C35" s="481"/>
      <c r="D35" s="481"/>
      <c r="E35" s="481"/>
      <c r="F35" s="481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2265483.7400000002</v>
      </c>
      <c r="I35" s="165">
        <f>+INDEX(DataEx!$1:$1048576,MATCH('2020'!$A35,DataEx!$D:$D,0),MATCH('2020'!I$6,DataEx!$7:$7,0))</f>
        <v>0</v>
      </c>
      <c r="J35" s="165">
        <f>+INDEX(DataEx!$1:$1048576,MATCH('2020'!$A35,DataEx!$D:$D,0),MATCH('2020'!J$6,DataEx!$7:$7,0))</f>
        <v>0</v>
      </c>
      <c r="K35" s="165">
        <f>+INDEX(DataEx!$1:$1048576,MATCH('2020'!$A35,DataEx!$D:$D,0),MATCH('2020'!K$6,DataEx!$7:$7,0))</f>
        <v>0</v>
      </c>
      <c r="L35" s="165">
        <f>+INDEX(DataEx!$1:$1048576,MATCH('2020'!$A35,DataEx!$D:$D,0),MATCH('2020'!L$6,DataEx!$7:$7,0))</f>
        <v>0</v>
      </c>
      <c r="M35" s="165">
        <f>+INDEX(DataEx!$1:$1048576,MATCH('2020'!$A35,DataEx!$D:$D,0),MATCH('2020'!M$6,DataEx!$7:$7,0))</f>
        <v>0</v>
      </c>
      <c r="N35" s="165">
        <f>+INDEX(DataEx!$1:$1048576,MATCH('2020'!$A35,DataEx!$D:$D,0),MATCH('2020'!N$6,DataEx!$7:$7,0))</f>
        <v>0</v>
      </c>
      <c r="O35" s="165">
        <f>+INDEX(DataEx!$1:$1048576,MATCH('2020'!$A35,DataEx!$D:$D,0),MATCH('2020'!O$6,DataEx!$7:$7,0))</f>
        <v>0</v>
      </c>
      <c r="P35" s="165">
        <f>+INDEX(DataEx!$1:$1048576,MATCH('2020'!$A35,DataEx!$D:$D,0),MATCH('2020'!P$6,DataEx!$7:$7,0))</f>
        <v>0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2374175.7200000002</v>
      </c>
      <c r="T35" s="457">
        <f t="shared" si="4"/>
        <v>4.7225662283929749E-2</v>
      </c>
      <c r="U35" s="325"/>
    </row>
    <row r="36" spans="1:23">
      <c r="A36" s="152">
        <v>416</v>
      </c>
      <c r="B36" s="480" t="str">
        <f>+VLOOKUP($A36,Master!$D$28:$G$224,4,FALSE)</f>
        <v>Kamate</v>
      </c>
      <c r="C36" s="481"/>
      <c r="D36" s="481"/>
      <c r="E36" s="481"/>
      <c r="F36" s="481"/>
      <c r="G36" s="165">
        <f>+INDEX(DataEx!$1:$1048576,MATCH('2020'!$A36,DataEx!$D:$D,0),MATCH('2020'!G$6,DataEx!$7:$7,0))</f>
        <v>7546241.2199999997</v>
      </c>
      <c r="H36" s="165">
        <f>+INDEX(DataEx!$1:$1048576,MATCH('2020'!$A36,DataEx!$D:$D,0),MATCH('2020'!H$6,DataEx!$7:$7,0))</f>
        <v>1839801.88</v>
      </c>
      <c r="I36" s="165">
        <f>+INDEX(DataEx!$1:$1048576,MATCH('2020'!$A36,DataEx!$D:$D,0),MATCH('2020'!I$6,DataEx!$7:$7,0))</f>
        <v>0</v>
      </c>
      <c r="J36" s="165">
        <f>+INDEX(DataEx!$1:$1048576,MATCH('2020'!$A36,DataEx!$D:$D,0),MATCH('2020'!J$6,DataEx!$7:$7,0))</f>
        <v>0</v>
      </c>
      <c r="K36" s="165">
        <f>+INDEX(DataEx!$1:$1048576,MATCH('2020'!$A36,DataEx!$D:$D,0),MATCH('2020'!K$6,DataEx!$7:$7,0))</f>
        <v>0</v>
      </c>
      <c r="L36" s="165">
        <f>+INDEX(DataEx!$1:$1048576,MATCH('2020'!$A36,DataEx!$D:$D,0),MATCH('2020'!L$6,DataEx!$7:$7,0))</f>
        <v>0</v>
      </c>
      <c r="M36" s="165">
        <f>+INDEX(DataEx!$1:$1048576,MATCH('2020'!$A36,DataEx!$D:$D,0),MATCH('2020'!M$6,DataEx!$7:$7,0))</f>
        <v>0</v>
      </c>
      <c r="N36" s="165">
        <f>+INDEX(DataEx!$1:$1048576,MATCH('2020'!$A36,DataEx!$D:$D,0),MATCH('2020'!N$6,DataEx!$7:$7,0))</f>
        <v>0</v>
      </c>
      <c r="O36" s="165">
        <f>+INDEX(DataEx!$1:$1048576,MATCH('2020'!$A36,DataEx!$D:$D,0),MATCH('2020'!O$6,DataEx!$7:$7,0))</f>
        <v>0</v>
      </c>
      <c r="P36" s="165">
        <f>+INDEX(DataEx!$1:$1048576,MATCH('2020'!$A36,DataEx!$D:$D,0),MATCH('2020'!P$6,DataEx!$7:$7,0))</f>
        <v>0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9386043.0999999996</v>
      </c>
      <c r="T36" s="457">
        <f t="shared" si="4"/>
        <v>0.18670147196308157</v>
      </c>
      <c r="U36" s="325"/>
    </row>
    <row r="37" spans="1:23">
      <c r="A37" s="152">
        <v>417</v>
      </c>
      <c r="B37" s="480" t="str">
        <f>+VLOOKUP($A37,Master!$D$28:$G$224,4,FALSE)</f>
        <v>Renta</v>
      </c>
      <c r="C37" s="481"/>
      <c r="D37" s="481"/>
      <c r="E37" s="481"/>
      <c r="F37" s="481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930050.26</v>
      </c>
      <c r="I37" s="165">
        <f>+INDEX(DataEx!$1:$1048576,MATCH('2020'!$A37,DataEx!$D:$D,0),MATCH('2020'!I$6,DataEx!$7:$7,0))</f>
        <v>0</v>
      </c>
      <c r="J37" s="165">
        <f>+INDEX(DataEx!$1:$1048576,MATCH('2020'!$A37,DataEx!$D:$D,0),MATCH('2020'!J$6,DataEx!$7:$7,0))</f>
        <v>0</v>
      </c>
      <c r="K37" s="165">
        <f>+INDEX(DataEx!$1:$1048576,MATCH('2020'!$A37,DataEx!$D:$D,0),MATCH('2020'!K$6,DataEx!$7:$7,0))</f>
        <v>0</v>
      </c>
      <c r="L37" s="165">
        <f>+INDEX(DataEx!$1:$1048576,MATCH('2020'!$A37,DataEx!$D:$D,0),MATCH('2020'!L$6,DataEx!$7:$7,0))</f>
        <v>0</v>
      </c>
      <c r="M37" s="165">
        <f>+INDEX(DataEx!$1:$1048576,MATCH('2020'!$A37,DataEx!$D:$D,0),MATCH('2020'!M$6,DataEx!$7:$7,0))</f>
        <v>0</v>
      </c>
      <c r="N37" s="165">
        <f>+INDEX(DataEx!$1:$1048576,MATCH('2020'!$A37,DataEx!$D:$D,0),MATCH('2020'!N$6,DataEx!$7:$7,0))</f>
        <v>0</v>
      </c>
      <c r="O37" s="165">
        <f>+INDEX(DataEx!$1:$1048576,MATCH('2020'!$A37,DataEx!$D:$D,0),MATCH('2020'!O$6,DataEx!$7:$7,0))</f>
        <v>0</v>
      </c>
      <c r="P37" s="165">
        <f>+INDEX(DataEx!$1:$1048576,MATCH('2020'!$A37,DataEx!$D:$D,0),MATCH('2020'!P$6,DataEx!$7:$7,0))</f>
        <v>0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1546828.19</v>
      </c>
      <c r="T37" s="457">
        <f t="shared" si="4"/>
        <v>3.0768567421876555E-2</v>
      </c>
      <c r="U37" s="325"/>
    </row>
    <row r="38" spans="1:23">
      <c r="A38" s="152">
        <v>418</v>
      </c>
      <c r="B38" s="480" t="str">
        <f>+VLOOKUP($A38,Master!$D$28:$G$224,4,FALSE)</f>
        <v>Subvencije</v>
      </c>
      <c r="C38" s="481"/>
      <c r="D38" s="481"/>
      <c r="E38" s="481"/>
      <c r="F38" s="481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1211715.27</v>
      </c>
      <c r="I38" s="165">
        <f>+INDEX(DataEx!$1:$1048576,MATCH('2020'!$A38,DataEx!$D:$D,0),MATCH('2020'!I$6,DataEx!$7:$7,0))</f>
        <v>0</v>
      </c>
      <c r="J38" s="165">
        <f>+INDEX(DataEx!$1:$1048576,MATCH('2020'!$A38,DataEx!$D:$D,0),MATCH('2020'!J$6,DataEx!$7:$7,0))</f>
        <v>0</v>
      </c>
      <c r="K38" s="165">
        <f>+INDEX(DataEx!$1:$1048576,MATCH('2020'!$A38,DataEx!$D:$D,0),MATCH('2020'!K$6,DataEx!$7:$7,0))</f>
        <v>0</v>
      </c>
      <c r="L38" s="165">
        <f>+INDEX(DataEx!$1:$1048576,MATCH('2020'!$A38,DataEx!$D:$D,0),MATCH('2020'!L$6,DataEx!$7:$7,0))</f>
        <v>0</v>
      </c>
      <c r="M38" s="165">
        <f>+INDEX(DataEx!$1:$1048576,MATCH('2020'!$A38,DataEx!$D:$D,0),MATCH('2020'!M$6,DataEx!$7:$7,0))</f>
        <v>0</v>
      </c>
      <c r="N38" s="165">
        <f>+INDEX(DataEx!$1:$1048576,MATCH('2020'!$A38,DataEx!$D:$D,0),MATCH('2020'!N$6,DataEx!$7:$7,0))</f>
        <v>0</v>
      </c>
      <c r="O38" s="165">
        <f>+INDEX(DataEx!$1:$1048576,MATCH('2020'!$A38,DataEx!$D:$D,0),MATCH('2020'!O$6,DataEx!$7:$7,0))</f>
        <v>0</v>
      </c>
      <c r="P38" s="165">
        <f>+INDEX(DataEx!$1:$1048576,MATCH('2020'!$A38,DataEx!$D:$D,0),MATCH('2020'!P$6,DataEx!$7:$7,0))</f>
        <v>0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1398623.19</v>
      </c>
      <c r="T38" s="457">
        <f t="shared" si="4"/>
        <v>2.7820563523163526E-2</v>
      </c>
      <c r="U38" s="325"/>
    </row>
    <row r="39" spans="1:23" s="379" customFormat="1">
      <c r="A39" s="378">
        <v>419</v>
      </c>
      <c r="B39" s="529" t="str">
        <f>+VLOOKUP($A39,Master!$D$28:$G$224,4,FALSE)</f>
        <v>Ostali izdaci</v>
      </c>
      <c r="C39" s="530"/>
      <c r="D39" s="530"/>
      <c r="E39" s="530"/>
      <c r="F39" s="530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3848578.53</v>
      </c>
      <c r="I39" s="165">
        <f>+INDEX(DataEx!$1:$1048576,MATCH('2020'!$A39,DataEx!$D:$D,0),MATCH('2020'!I$6,DataEx!$7:$7,0))</f>
        <v>0</v>
      </c>
      <c r="J39" s="165">
        <f>+INDEX(DataEx!$1:$1048576,MATCH('2020'!$A39,DataEx!$D:$D,0),MATCH('2020'!J$6,DataEx!$7:$7,0))</f>
        <v>0</v>
      </c>
      <c r="K39" s="165">
        <f>+INDEX(DataEx!$1:$1048576,MATCH('2020'!$A39,DataEx!$D:$D,0),MATCH('2020'!K$6,DataEx!$7:$7,0))</f>
        <v>0</v>
      </c>
      <c r="L39" s="165">
        <f>+INDEX(DataEx!$1:$1048576,MATCH('2020'!$A39,DataEx!$D:$D,0),MATCH('2020'!L$6,DataEx!$7:$7,0))</f>
        <v>0</v>
      </c>
      <c r="M39" s="165">
        <f>+INDEX(DataEx!$1:$1048576,MATCH('2020'!$A39,DataEx!$D:$D,0),MATCH('2020'!M$6,DataEx!$7:$7,0))</f>
        <v>0</v>
      </c>
      <c r="N39" s="165">
        <f>+INDEX(DataEx!$1:$1048576,MATCH('2020'!$A39,DataEx!$D:$D,0),MATCH('2020'!N$6,DataEx!$7:$7,0))</f>
        <v>0</v>
      </c>
      <c r="O39" s="165">
        <f>+INDEX(DataEx!$1:$1048576,MATCH('2020'!$A39,DataEx!$D:$D,0),MATCH('2020'!O$6,DataEx!$7:$7,0))</f>
        <v>0</v>
      </c>
      <c r="P39" s="165">
        <f>+INDEX(DataEx!$1:$1048576,MATCH('2020'!$A39,DataEx!$D:$D,0),MATCH('2020'!P$6,DataEx!$7:$7,0))</f>
        <v>0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5245629.82</v>
      </c>
      <c r="T39" s="457">
        <f t="shared" si="4"/>
        <v>0.10434288425198418</v>
      </c>
      <c r="U39" s="325"/>
    </row>
    <row r="40" spans="1:23">
      <c r="A40" s="152">
        <v>42</v>
      </c>
      <c r="B40" s="496" t="str">
        <f>+VLOOKUP($A40,Master!$D$28:$G$224,4,FALSE)</f>
        <v>Transferi za socijalnu zaštitu</v>
      </c>
      <c r="C40" s="497"/>
      <c r="D40" s="497"/>
      <c r="E40" s="497"/>
      <c r="F40" s="497"/>
      <c r="G40" s="195">
        <f>+SUM(G41:G45)</f>
        <v>43744418.239999995</v>
      </c>
      <c r="H40" s="195">
        <f t="shared" ref="H40:R40" si="7">+SUM(H41:H45)</f>
        <v>47462833.379999995</v>
      </c>
      <c r="I40" s="195">
        <f t="shared" si="7"/>
        <v>0</v>
      </c>
      <c r="J40" s="177">
        <f t="shared" si="7"/>
        <v>0</v>
      </c>
      <c r="K40" s="195">
        <f t="shared" si="7"/>
        <v>0</v>
      </c>
      <c r="L40" s="195">
        <f t="shared" si="7"/>
        <v>0</v>
      </c>
      <c r="M40" s="195">
        <f t="shared" si="7"/>
        <v>0</v>
      </c>
      <c r="N40" s="195">
        <f t="shared" si="7"/>
        <v>0</v>
      </c>
      <c r="O40" s="195">
        <f t="shared" si="7"/>
        <v>0</v>
      </c>
      <c r="P40" s="195">
        <f t="shared" si="7"/>
        <v>0</v>
      </c>
      <c r="Q40" s="195">
        <f t="shared" si="7"/>
        <v>0</v>
      </c>
      <c r="R40" s="249">
        <f t="shared" si="7"/>
        <v>0</v>
      </c>
      <c r="S40" s="245">
        <f t="shared" si="3"/>
        <v>91207251.61999999</v>
      </c>
      <c r="T40" s="458">
        <f t="shared" si="4"/>
        <v>1.8142392858989913</v>
      </c>
      <c r="W40" s="323"/>
    </row>
    <row r="41" spans="1:23">
      <c r="A41" s="152">
        <v>421</v>
      </c>
      <c r="B41" s="480" t="str">
        <f>+VLOOKUP($A41,Master!$D$28:$G$224,4,FALSE)</f>
        <v>Prava iz oblasti socijalne zaštite</v>
      </c>
      <c r="C41" s="481"/>
      <c r="D41" s="481"/>
      <c r="E41" s="481"/>
      <c r="F41" s="481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7174722.5199999996</v>
      </c>
      <c r="I41" s="165">
        <f>+INDEX(DataEx!$1:$1048576,MATCH('2020'!$A41,DataEx!$D:$D,0),MATCH('2020'!I$6,DataEx!$7:$7,0))</f>
        <v>0</v>
      </c>
      <c r="J41" s="165">
        <f>+INDEX(DataEx!$1:$1048576,MATCH('2020'!$A41,DataEx!$D:$D,0),MATCH('2020'!J$6,DataEx!$7:$7,0))</f>
        <v>0</v>
      </c>
      <c r="K41" s="165">
        <f>+INDEX(DataEx!$1:$1048576,MATCH('2020'!$A41,DataEx!$D:$D,0),MATCH('2020'!K$6,DataEx!$7:$7,0))</f>
        <v>0</v>
      </c>
      <c r="L41" s="165">
        <f>+INDEX(DataEx!$1:$1048576,MATCH('2020'!$A41,DataEx!$D:$D,0),MATCH('2020'!L$6,DataEx!$7:$7,0))</f>
        <v>0</v>
      </c>
      <c r="M41" s="165">
        <f>+INDEX(DataEx!$1:$1048576,MATCH('2020'!$A41,DataEx!$D:$D,0),MATCH('2020'!M$6,DataEx!$7:$7,0))</f>
        <v>0</v>
      </c>
      <c r="N41" s="165">
        <f>+INDEX(DataEx!$1:$1048576,MATCH('2020'!$A41,DataEx!$D:$D,0),MATCH('2020'!N$6,DataEx!$7:$7,0))</f>
        <v>0</v>
      </c>
      <c r="O41" s="165">
        <f>+INDEX(DataEx!$1:$1048576,MATCH('2020'!$A41,DataEx!$D:$D,0),MATCH('2020'!O$6,DataEx!$7:$7,0))</f>
        <v>0</v>
      </c>
      <c r="P41" s="165">
        <f>+INDEX(DataEx!$1:$1048576,MATCH('2020'!$A41,DataEx!$D:$D,0),MATCH('2020'!P$6,DataEx!$7:$7,0))</f>
        <v>0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13622859.85</v>
      </c>
      <c r="T41" s="457">
        <f t="shared" si="4"/>
        <v>0.27097765898195847</v>
      </c>
    </row>
    <row r="42" spans="1:23">
      <c r="A42" s="152">
        <v>422</v>
      </c>
      <c r="B42" s="480" t="str">
        <f>+VLOOKUP($A42,Master!$D$28:$G$224,4,FALSE)</f>
        <v>Sredstva za tehnološke viškove</v>
      </c>
      <c r="C42" s="481"/>
      <c r="D42" s="481"/>
      <c r="E42" s="481"/>
      <c r="F42" s="481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1607182</v>
      </c>
      <c r="I42" s="165">
        <f>+INDEX(DataEx!$1:$1048576,MATCH('2020'!$A42,DataEx!$D:$D,0),MATCH('2020'!I$6,DataEx!$7:$7,0))</f>
        <v>0</v>
      </c>
      <c r="J42" s="165">
        <f>+INDEX(DataEx!$1:$1048576,MATCH('2020'!$A42,DataEx!$D:$D,0),MATCH('2020'!J$6,DataEx!$7:$7,0))</f>
        <v>0</v>
      </c>
      <c r="K42" s="165">
        <f>+INDEX(DataEx!$1:$1048576,MATCH('2020'!$A42,DataEx!$D:$D,0),MATCH('2020'!K$6,DataEx!$7:$7,0))</f>
        <v>0</v>
      </c>
      <c r="L42" s="165">
        <f>+INDEX(DataEx!$1:$1048576,MATCH('2020'!$A42,DataEx!$D:$D,0),MATCH('2020'!L$6,DataEx!$7:$7,0))</f>
        <v>0</v>
      </c>
      <c r="M42" s="165">
        <f>+INDEX(DataEx!$1:$1048576,MATCH('2020'!$A42,DataEx!$D:$D,0),MATCH('2020'!M$6,DataEx!$7:$7,0))</f>
        <v>0</v>
      </c>
      <c r="N42" s="165">
        <f>+INDEX(DataEx!$1:$1048576,MATCH('2020'!$A42,DataEx!$D:$D,0),MATCH('2020'!N$6,DataEx!$7:$7,0))</f>
        <v>0</v>
      </c>
      <c r="O42" s="165">
        <f>+INDEX(DataEx!$1:$1048576,MATCH('2020'!$A42,DataEx!$D:$D,0),MATCH('2020'!O$6,DataEx!$7:$7,0))</f>
        <v>0</v>
      </c>
      <c r="P42" s="165">
        <f>+INDEX(DataEx!$1:$1048576,MATCH('2020'!$A42,DataEx!$D:$D,0),MATCH('2020'!P$6,DataEx!$7:$7,0))</f>
        <v>0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1661437.6</v>
      </c>
      <c r="T42" s="457">
        <f t="shared" si="4"/>
        <v>3.3048308237025842E-2</v>
      </c>
    </row>
    <row r="43" spans="1:23">
      <c r="A43" s="152">
        <v>423</v>
      </c>
      <c r="B43" s="480" t="str">
        <f>+VLOOKUP($A43,Master!$D$28:$G$224,4,FALSE)</f>
        <v>Prava iz oblasti penzijskog i invalidskog osiguranja</v>
      </c>
      <c r="C43" s="481"/>
      <c r="D43" s="481"/>
      <c r="E43" s="481"/>
      <c r="F43" s="481"/>
      <c r="G43" s="165">
        <f>+INDEX(DataEx!$1:$1048576,MATCH('2020'!$A43,DataEx!$D:$D,0),MATCH('2020'!G$6,DataEx!$7:$7,0))</f>
        <v>34875207.159999996</v>
      </c>
      <c r="H43" s="165">
        <f>+INDEX(DataEx!$1:$1048576,MATCH('2020'!$A43,DataEx!$D:$D,0),MATCH('2020'!H$6,DataEx!$7:$7,0))</f>
        <v>36010789.840000004</v>
      </c>
      <c r="I43" s="165">
        <f>+INDEX(DataEx!$1:$1048576,MATCH('2020'!$A43,DataEx!$D:$D,0),MATCH('2020'!I$6,DataEx!$7:$7,0))</f>
        <v>0</v>
      </c>
      <c r="J43" s="165">
        <f>+INDEX(DataEx!$1:$1048576,MATCH('2020'!$A43,DataEx!$D:$D,0),MATCH('2020'!J$6,DataEx!$7:$7,0))</f>
        <v>0</v>
      </c>
      <c r="K43" s="165">
        <f>+INDEX(DataEx!$1:$1048576,MATCH('2020'!$A43,DataEx!$D:$D,0),MATCH('2020'!K$6,DataEx!$7:$7,0))</f>
        <v>0</v>
      </c>
      <c r="L43" s="165">
        <f>+INDEX(DataEx!$1:$1048576,MATCH('2020'!$A43,DataEx!$D:$D,0),MATCH('2020'!L$6,DataEx!$7:$7,0))</f>
        <v>0</v>
      </c>
      <c r="M43" s="165">
        <f>+INDEX(DataEx!$1:$1048576,MATCH('2020'!$A43,DataEx!$D:$D,0),MATCH('2020'!M$6,DataEx!$7:$7,0))</f>
        <v>0</v>
      </c>
      <c r="N43" s="165">
        <f>+INDEX(DataEx!$1:$1048576,MATCH('2020'!$A43,DataEx!$D:$D,0),MATCH('2020'!N$6,DataEx!$7:$7,0))</f>
        <v>0</v>
      </c>
      <c r="O43" s="165">
        <f>+INDEX(DataEx!$1:$1048576,MATCH('2020'!$A43,DataEx!$D:$D,0),MATCH('2020'!O$6,DataEx!$7:$7,0))</f>
        <v>0</v>
      </c>
      <c r="P43" s="165">
        <f>+INDEX(DataEx!$1:$1048576,MATCH('2020'!$A43,DataEx!$D:$D,0),MATCH('2020'!P$6,DataEx!$7:$7,0))</f>
        <v>0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70885997</v>
      </c>
      <c r="T43" s="457">
        <f t="shared" si="4"/>
        <v>1.4100212241163248</v>
      </c>
    </row>
    <row r="44" spans="1:23">
      <c r="A44" s="152">
        <v>424</v>
      </c>
      <c r="B44" s="480" t="str">
        <f>+VLOOKUP($A44,Master!$D$28:$G$224,4,FALSE)</f>
        <v>Ostala prava iz oblasti zdravstvene zaštite</v>
      </c>
      <c r="C44" s="481"/>
      <c r="D44" s="481"/>
      <c r="E44" s="481"/>
      <c r="F44" s="481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1831428.58</v>
      </c>
      <c r="I44" s="165">
        <f>+INDEX(DataEx!$1:$1048576,MATCH('2020'!$A44,DataEx!$D:$D,0),MATCH('2020'!I$6,DataEx!$7:$7,0))</f>
        <v>0</v>
      </c>
      <c r="J44" s="165">
        <f>+INDEX(DataEx!$1:$1048576,MATCH('2020'!$A44,DataEx!$D:$D,0),MATCH('2020'!J$6,DataEx!$7:$7,0))</f>
        <v>0</v>
      </c>
      <c r="K44" s="165">
        <f>+INDEX(DataEx!$1:$1048576,MATCH('2020'!$A44,DataEx!$D:$D,0),MATCH('2020'!K$6,DataEx!$7:$7,0))</f>
        <v>0</v>
      </c>
      <c r="L44" s="165">
        <f>+INDEX(DataEx!$1:$1048576,MATCH('2020'!$A44,DataEx!$D:$D,0),MATCH('2020'!L$6,DataEx!$7:$7,0))</f>
        <v>0</v>
      </c>
      <c r="M44" s="165">
        <f>+INDEX(DataEx!$1:$1048576,MATCH('2020'!$A44,DataEx!$D:$D,0),MATCH('2020'!M$6,DataEx!$7:$7,0))</f>
        <v>0</v>
      </c>
      <c r="N44" s="165">
        <f>+INDEX(DataEx!$1:$1048576,MATCH('2020'!$A44,DataEx!$D:$D,0),MATCH('2020'!N$6,DataEx!$7:$7,0))</f>
        <v>0</v>
      </c>
      <c r="O44" s="165">
        <f>+INDEX(DataEx!$1:$1048576,MATCH('2020'!$A44,DataEx!$D:$D,0),MATCH('2020'!O$6,DataEx!$7:$7,0))</f>
        <v>0</v>
      </c>
      <c r="P44" s="165">
        <f>+INDEX(DataEx!$1:$1048576,MATCH('2020'!$A44,DataEx!$D:$D,0),MATCH('2020'!P$6,DataEx!$7:$7,0))</f>
        <v>0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3452817.48</v>
      </c>
      <c r="T44" s="457">
        <f t="shared" si="4"/>
        <v>6.8681349432100733E-2</v>
      </c>
      <c r="U44" s="371"/>
    </row>
    <row r="45" spans="1:23" s="379" customFormat="1">
      <c r="A45" s="378">
        <v>425</v>
      </c>
      <c r="B45" s="539" t="str">
        <f>+VLOOKUP($A45,Master!$D$28:$G$224,4,FALSE)</f>
        <v>Ostala prava iz zdravstvenog osiguranja</v>
      </c>
      <c r="C45" s="540"/>
      <c r="D45" s="540"/>
      <c r="E45" s="540"/>
      <c r="F45" s="540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838710.44</v>
      </c>
      <c r="I45" s="165">
        <f>+INDEX(DataEx!$1:$1048576,MATCH('2020'!$A45,DataEx!$D:$D,0),MATCH('2020'!I$6,DataEx!$7:$7,0))</f>
        <v>0</v>
      </c>
      <c r="J45" s="165">
        <f>+INDEX(DataEx!$1:$1048576,MATCH('2020'!$A45,DataEx!$D:$D,0),MATCH('2020'!J$6,DataEx!$7:$7,0))</f>
        <v>0</v>
      </c>
      <c r="K45" s="165">
        <f>+INDEX(DataEx!$1:$1048576,MATCH('2020'!$A45,DataEx!$D:$D,0),MATCH('2020'!K$6,DataEx!$7:$7,0))</f>
        <v>0</v>
      </c>
      <c r="L45" s="165">
        <f>+INDEX(DataEx!$1:$1048576,MATCH('2020'!$A45,DataEx!$D:$D,0),MATCH('2020'!L$6,DataEx!$7:$7,0))</f>
        <v>0</v>
      </c>
      <c r="M45" s="165">
        <f>+INDEX(DataEx!$1:$1048576,MATCH('2020'!$A45,DataEx!$D:$D,0),MATCH('2020'!M$6,DataEx!$7:$7,0))</f>
        <v>0</v>
      </c>
      <c r="N45" s="165">
        <f>+INDEX(DataEx!$1:$1048576,MATCH('2020'!$A45,DataEx!$D:$D,0),MATCH('2020'!N$6,DataEx!$7:$7,0))</f>
        <v>0</v>
      </c>
      <c r="O45" s="165">
        <f>+INDEX(DataEx!$1:$1048576,MATCH('2020'!$A45,DataEx!$D:$D,0),MATCH('2020'!O$6,DataEx!$7:$7,0))</f>
        <v>0</v>
      </c>
      <c r="P45" s="165">
        <f>+INDEX(DataEx!$1:$1048576,MATCH('2020'!$A45,DataEx!$D:$D,0),MATCH('2020'!P$6,DataEx!$7:$7,0))</f>
        <v>0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1584139.69</v>
      </c>
      <c r="T45" s="457">
        <f t="shared" si="4"/>
        <v>3.1510745131581565E-2</v>
      </c>
    </row>
    <row r="46" spans="1:23">
      <c r="A46" s="152">
        <v>43</v>
      </c>
      <c r="B46" s="494" t="str">
        <f>+VLOOKUP($A46,Master!$D$28:$G$224,4,FALSE)</f>
        <v xml:space="preserve">Transferi institucijama, pojedincima, nevladinom i javnom sektoru </v>
      </c>
      <c r="C46" s="495"/>
      <c r="D46" s="495"/>
      <c r="E46" s="495"/>
      <c r="F46" s="495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23914849.32</v>
      </c>
      <c r="I46" s="177">
        <f>+INDEX(DataEx!$1:$1048576,MATCH('2020'!$A46,DataEx!$D:$D,0),MATCH('2020'!I$6,DataEx!$7:$7,0))</f>
        <v>0</v>
      </c>
      <c r="J46" s="177">
        <f>+INDEX(DataEx!$1:$1048576,MATCH('2020'!$A46,DataEx!$D:$D,0),MATCH('2020'!J$6,DataEx!$7:$7,0))</f>
        <v>0</v>
      </c>
      <c r="K46" s="177">
        <f>+INDEX(DataEx!$1:$1048576,MATCH('2020'!$A46,DataEx!$D:$D,0),MATCH('2020'!K$6,DataEx!$7:$7,0))</f>
        <v>0</v>
      </c>
      <c r="L46" s="177">
        <f>+INDEX(DataEx!$1:$1048576,MATCH('2020'!$A46,DataEx!$D:$D,0),MATCH('2020'!L$6,DataEx!$7:$7,0))</f>
        <v>0</v>
      </c>
      <c r="M46" s="177">
        <f>+INDEX(DataEx!$1:$1048576,MATCH('2020'!$A46,DataEx!$D:$D,0),MATCH('2020'!M$6,DataEx!$7:$7,0))</f>
        <v>0</v>
      </c>
      <c r="N46" s="177">
        <f>+INDEX(DataEx!$1:$1048576,MATCH('2020'!$A46,DataEx!$D:$D,0),MATCH('2020'!N$6,DataEx!$7:$7,0))</f>
        <v>0</v>
      </c>
      <c r="O46" s="177">
        <f>+INDEX(DataEx!$1:$1048576,MATCH('2020'!$A46,DataEx!$D:$D,0),MATCH('2020'!O$6,DataEx!$7:$7,0))</f>
        <v>0</v>
      </c>
      <c r="P46" s="177">
        <f>+INDEX(DataEx!$1:$1048576,MATCH('2020'!$A46,DataEx!$D:$D,0),MATCH('2020'!P$6,DataEx!$7:$7,0))</f>
        <v>0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47546416</v>
      </c>
      <c r="T46" s="458">
        <f t="shared" si="4"/>
        <v>0.94576444612416211</v>
      </c>
    </row>
    <row r="47" spans="1:23">
      <c r="A47" s="152">
        <v>44</v>
      </c>
      <c r="B47" s="494" t="str">
        <f>+VLOOKUP($A47,Master!$D$28:$G$224,4,FALSE)</f>
        <v>Kapitalni izdaci</v>
      </c>
      <c r="C47" s="495"/>
      <c r="D47" s="495"/>
      <c r="E47" s="495"/>
      <c r="F47" s="495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8919354.2899999991</v>
      </c>
      <c r="I47" s="177">
        <f>+INDEX(DataEx!$1:$1048576,MATCH('2020'!$A47,DataEx!$D:$D,0),MATCH('2020'!I$6,DataEx!$7:$7,0))</f>
        <v>0</v>
      </c>
      <c r="J47" s="177">
        <f>+INDEX(DataEx!$1:$1048576,MATCH('2020'!$A47,DataEx!$D:$D,0),MATCH('2020'!J$6,DataEx!$7:$7,0))</f>
        <v>0</v>
      </c>
      <c r="K47" s="177">
        <f>+INDEX(DataEx!$1:$1048576,MATCH('2020'!$A47,DataEx!$D:$D,0),MATCH('2020'!K$6,DataEx!$7:$7,0))</f>
        <v>0</v>
      </c>
      <c r="L47" s="177">
        <f>+INDEX(DataEx!$1:$1048576,MATCH('2020'!$A47,DataEx!$D:$D,0),MATCH('2020'!L$6,DataEx!$7:$7,0))</f>
        <v>0</v>
      </c>
      <c r="M47" s="177">
        <f>+INDEX(DataEx!$1:$1048576,MATCH('2020'!$A47,DataEx!$D:$D,0),MATCH('2020'!M$6,DataEx!$7:$7,0))</f>
        <v>0</v>
      </c>
      <c r="N47" s="177">
        <f>+INDEX(DataEx!$1:$1048576,MATCH('2020'!$A47,DataEx!$D:$D,0),MATCH('2020'!N$6,DataEx!$7:$7,0))</f>
        <v>0</v>
      </c>
      <c r="O47" s="177">
        <f>+INDEX(DataEx!$1:$1048576,MATCH('2020'!$A47,DataEx!$D:$D,0),MATCH('2020'!O$6,DataEx!$7:$7,0))</f>
        <v>0</v>
      </c>
      <c r="P47" s="177">
        <f>+INDEX(DataEx!$1:$1048576,MATCH('2020'!$A47,DataEx!$D:$D,0),MATCH('2020'!P$6,DataEx!$7:$7,0))</f>
        <v>0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13072449.91</v>
      </c>
      <c r="T47" s="458">
        <f t="shared" si="4"/>
        <v>0.26002923855747617</v>
      </c>
    </row>
    <row r="48" spans="1:23">
      <c r="A48" s="152">
        <v>451</v>
      </c>
      <c r="B48" s="531" t="str">
        <f>+VLOOKUP($A48,Master!$D$28:$G$224,4,FALSE)</f>
        <v>Pozajmice i krediti</v>
      </c>
      <c r="C48" s="532"/>
      <c r="D48" s="532"/>
      <c r="E48" s="532"/>
      <c r="F48" s="532"/>
      <c r="G48" s="165">
        <f>DataEx!FR169</f>
        <v>0</v>
      </c>
      <c r="H48" s="165">
        <f>DataEx!FS169</f>
        <v>277634</v>
      </c>
      <c r="I48" s="165">
        <f>DataEx!FT169</f>
        <v>0</v>
      </c>
      <c r="J48" s="165">
        <f>DataEx!FU169</f>
        <v>0</v>
      </c>
      <c r="K48" s="165">
        <f>DataEx!FV169</f>
        <v>0</v>
      </c>
      <c r="L48" s="165">
        <f>DataEx!FW169</f>
        <v>0</v>
      </c>
      <c r="M48" s="165">
        <f>DataEx!FX169</f>
        <v>0</v>
      </c>
      <c r="N48" s="165">
        <f>DataEx!FY169</f>
        <v>0</v>
      </c>
      <c r="O48" s="165">
        <f>DataEx!FZ169</f>
        <v>0</v>
      </c>
      <c r="P48" s="165">
        <f>DataEx!GA169</f>
        <v>0</v>
      </c>
      <c r="Q48" s="165">
        <f>DataEx!GB169</f>
        <v>0</v>
      </c>
      <c r="R48" s="165">
        <f>DataEx!GC169</f>
        <v>0</v>
      </c>
      <c r="S48" s="244">
        <f t="shared" si="3"/>
        <v>277634</v>
      </c>
      <c r="T48" s="457">
        <f t="shared" si="4"/>
        <v>5.5225270025659901E-3</v>
      </c>
    </row>
    <row r="49" spans="1:22" s="379" customFormat="1">
      <c r="A49" s="378">
        <v>47</v>
      </c>
      <c r="B49" s="533" t="str">
        <f>+VLOOKUP($A49,Master!$D$28:$G$224,4,FALSE)</f>
        <v>Rezerve</v>
      </c>
      <c r="C49" s="534"/>
      <c r="D49" s="534"/>
      <c r="E49" s="534"/>
      <c r="F49" s="534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720000</v>
      </c>
      <c r="I49" s="165">
        <f>+INDEX(DataEx!$1:$1048576,MATCH('2020'!$A49,DataEx!$D:$D,0),MATCH('2020'!I$6,DataEx!$7:$7,0))</f>
        <v>0</v>
      </c>
      <c r="J49" s="213">
        <f>+INDEX(DataEx!$1:$1048576,MATCH('2020'!$A49,DataEx!$D:$D,0),MATCH('2020'!J$6,DataEx!$7:$7,0))</f>
        <v>0</v>
      </c>
      <c r="K49" s="165">
        <f>+INDEX(DataEx!$1:$1048576,MATCH('2020'!$A49,DataEx!$D:$D,0),MATCH('2020'!K$6,DataEx!$7:$7,0))</f>
        <v>0</v>
      </c>
      <c r="L49" s="165">
        <f>+INDEX(DataEx!$1:$1048576,MATCH('2020'!$A49,DataEx!$D:$D,0),MATCH('2020'!L$6,DataEx!$7:$7,0))</f>
        <v>0</v>
      </c>
      <c r="M49" s="165">
        <f>+INDEX(DataEx!$1:$1048576,MATCH('2020'!$A49,DataEx!$D:$D,0),MATCH('2020'!M$6,DataEx!$7:$7,0))</f>
        <v>0</v>
      </c>
      <c r="N49" s="165">
        <f>+INDEX(DataEx!$1:$1048576,MATCH('2020'!$A49,DataEx!$D:$D,0),MATCH('2020'!N$6,DataEx!$7:$7,0))</f>
        <v>0</v>
      </c>
      <c r="O49" s="165">
        <f>+INDEX(DataEx!$1:$1048576,MATCH('2020'!$A49,DataEx!$D:$D,0),MATCH('2020'!O$6,DataEx!$7:$7,0))</f>
        <v>0</v>
      </c>
      <c r="P49" s="165">
        <f>+INDEX(DataEx!$1:$1048576,MATCH('2020'!$A49,DataEx!$D:$D,0),MATCH('2020'!P$6,DataEx!$7:$7,0))</f>
        <v>0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2661194</v>
      </c>
      <c r="T49" s="457">
        <f t="shared" si="4"/>
        <v>5.293485568794383E-2</v>
      </c>
    </row>
    <row r="50" spans="1:22" ht="13.5" thickBot="1">
      <c r="A50" s="152">
        <v>462</v>
      </c>
      <c r="B50" s="500" t="str">
        <f>+VLOOKUP($A50,Master!$D$28:$G$224,4,FALSE)</f>
        <v>Otplata garancija</v>
      </c>
      <c r="C50" s="501"/>
      <c r="D50" s="501"/>
      <c r="E50" s="501"/>
      <c r="F50" s="501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7">
        <f t="shared" si="4"/>
        <v>0</v>
      </c>
      <c r="U50" s="306"/>
      <c r="V50" s="307"/>
    </row>
    <row r="51" spans="1:22" ht="13.5" thickBot="1">
      <c r="A51" s="146">
        <v>4630</v>
      </c>
      <c r="B51" s="535" t="str">
        <f>+VLOOKUP($A51,Master!$D$28:$G$224,4,TRUE)</f>
        <v>Otplata obaveza iz prethodnog perioda</v>
      </c>
      <c r="C51" s="536"/>
      <c r="D51" s="536"/>
      <c r="E51" s="536"/>
      <c r="F51" s="536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1922034.51</v>
      </c>
      <c r="I51" s="201">
        <f>+INDEX(DataEx!$1:$1048576,MATCH('2020'!$A51,DataEx!$D:$D,0),MATCH('2020'!I$6,DataEx!$7:$7,0))</f>
        <v>0</v>
      </c>
      <c r="J51" s="201">
        <f>+INDEX(DataEx!$1:$1048576,MATCH('2020'!$A51,DataEx!$D:$D,0),MATCH('2020'!J$6,DataEx!$7:$7,0))</f>
        <v>0</v>
      </c>
      <c r="K51" s="201">
        <f>+INDEX(DataEx!$1:$1048576,MATCH('2020'!$A51,DataEx!$D:$D,0),MATCH('2020'!K$6,DataEx!$7:$7,0))</f>
        <v>0</v>
      </c>
      <c r="L51" s="201">
        <f>+INDEX(DataEx!$1:$1048576,MATCH('2020'!$A51,DataEx!$D:$D,0),MATCH('2020'!L$6,DataEx!$7:$7,0))</f>
        <v>0</v>
      </c>
      <c r="M51" s="201">
        <f>+INDEX(DataEx!$1:$1048576,MATCH('2020'!$A51,DataEx!$D:$D,0),MATCH('2020'!M$6,DataEx!$7:$7,0))</f>
        <v>0</v>
      </c>
      <c r="N51" s="201">
        <f>+INDEX(DataEx!$1:$1048576,MATCH('2020'!$A51,DataEx!$D:$D,0),MATCH('2020'!N$6,DataEx!$7:$7,0))</f>
        <v>0</v>
      </c>
      <c r="O51" s="201">
        <f>+INDEX(DataEx!$1:$1048576,MATCH('2020'!$A51,DataEx!$D:$D,0),MATCH('2020'!O$6,DataEx!$7:$7,0))</f>
        <v>0</v>
      </c>
      <c r="P51" s="201">
        <f>+INDEX(DataEx!$1:$1048576,MATCH('2020'!$A51,DataEx!$D:$D,0),MATCH('2020'!P$6,DataEx!$7:$7,0))</f>
        <v>0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6">
        <f>+SUM(G51:R51)</f>
        <v>3156122.71</v>
      </c>
      <c r="T51" s="461">
        <f t="shared" si="4"/>
        <v>6.2779677162691699E-2</v>
      </c>
    </row>
    <row r="52" spans="1:22" ht="13.5" thickBot="1">
      <c r="A52" s="70">
        <v>1005</v>
      </c>
      <c r="B52" s="537" t="str">
        <f>+VLOOKUP($A52,Master!$D$28:$G$226,4,FALSE)</f>
        <v>Neto povećanje obaveza</v>
      </c>
      <c r="C52" s="538"/>
      <c r="D52" s="538"/>
      <c r="E52" s="538"/>
      <c r="F52" s="53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2">
        <f t="shared" si="4"/>
        <v>0</v>
      </c>
    </row>
    <row r="53" spans="1:22" ht="13.5" thickBot="1">
      <c r="A53" s="146">
        <v>1000</v>
      </c>
      <c r="B53" s="502" t="str">
        <f>+VLOOKUP($A53,Master!$D$28:$G$224,4,FALSE)</f>
        <v>Suficit / deficit</v>
      </c>
      <c r="C53" s="503"/>
      <c r="D53" s="503"/>
      <c r="E53" s="503"/>
      <c r="F53" s="503"/>
      <c r="G53" s="153">
        <f t="shared" ref="G53:R53" si="8">+G10-G29</f>
        <v>-34007867.200000003</v>
      </c>
      <c r="H53" s="153">
        <f t="shared" si="8"/>
        <v>-25975313.87000002</v>
      </c>
      <c r="I53" s="153">
        <f t="shared" si="8"/>
        <v>0</v>
      </c>
      <c r="J53" s="153">
        <f t="shared" si="8"/>
        <v>0</v>
      </c>
      <c r="K53" s="153">
        <f t="shared" si="8"/>
        <v>0</v>
      </c>
      <c r="L53" s="153">
        <f t="shared" si="8"/>
        <v>0</v>
      </c>
      <c r="M53" s="153">
        <f t="shared" si="8"/>
        <v>0</v>
      </c>
      <c r="N53" s="153">
        <f t="shared" si="8"/>
        <v>0</v>
      </c>
      <c r="O53" s="153">
        <f t="shared" si="8"/>
        <v>0</v>
      </c>
      <c r="P53" s="153">
        <f t="shared" si="8"/>
        <v>0</v>
      </c>
      <c r="Q53" s="153">
        <f t="shared" si="8"/>
        <v>0</v>
      </c>
      <c r="R53" s="153">
        <f t="shared" si="8"/>
        <v>0</v>
      </c>
      <c r="S53" s="250">
        <f t="shared" si="3"/>
        <v>-59983181.070000023</v>
      </c>
      <c r="T53" s="463">
        <f t="shared" si="4"/>
        <v>-1.1931490277087109</v>
      </c>
    </row>
    <row r="54" spans="1:22" ht="13.5" thickBot="1">
      <c r="A54" s="146">
        <v>1001</v>
      </c>
      <c r="B54" s="504" t="str">
        <f>+VLOOKUP($A54,Master!$D$28:$G$224,4,FALSE)</f>
        <v>Primarni suficit/deficit</v>
      </c>
      <c r="C54" s="505"/>
      <c r="D54" s="505"/>
      <c r="E54" s="505"/>
      <c r="F54" s="505"/>
      <c r="G54" s="207">
        <f t="shared" ref="G54:R54" si="9">+G53+G36</f>
        <v>-26461625.980000004</v>
      </c>
      <c r="H54" s="207">
        <f t="shared" si="9"/>
        <v>-24135511.990000021</v>
      </c>
      <c r="I54" s="207">
        <f t="shared" si="9"/>
        <v>0</v>
      </c>
      <c r="J54" s="207">
        <f t="shared" si="9"/>
        <v>0</v>
      </c>
      <c r="K54" s="207">
        <f t="shared" si="9"/>
        <v>0</v>
      </c>
      <c r="L54" s="207">
        <f t="shared" si="9"/>
        <v>0</v>
      </c>
      <c r="M54" s="207">
        <f t="shared" si="9"/>
        <v>0</v>
      </c>
      <c r="N54" s="207">
        <f t="shared" si="9"/>
        <v>0</v>
      </c>
      <c r="O54" s="207">
        <f t="shared" si="9"/>
        <v>0</v>
      </c>
      <c r="P54" s="207">
        <f t="shared" si="9"/>
        <v>0</v>
      </c>
      <c r="Q54" s="207">
        <f t="shared" si="9"/>
        <v>0</v>
      </c>
      <c r="R54" s="207">
        <f t="shared" si="9"/>
        <v>0</v>
      </c>
      <c r="S54" s="250">
        <f t="shared" si="3"/>
        <v>-50597137.970000029</v>
      </c>
      <c r="T54" s="463">
        <f t="shared" si="4"/>
        <v>-1.0064475557456294</v>
      </c>
    </row>
    <row r="55" spans="1:22">
      <c r="A55" s="146">
        <v>46</v>
      </c>
      <c r="B55" s="549" t="str">
        <f>+VLOOKUP($A55,Master!$D$28:$G$224,4,FALSE)</f>
        <v>Otplata dugova</v>
      </c>
      <c r="C55" s="550"/>
      <c r="D55" s="550"/>
      <c r="E55" s="550"/>
      <c r="F55" s="550"/>
      <c r="G55" s="195">
        <f t="shared" ref="G55:R55" si="10">+SUM(G56:G57)</f>
        <v>24526193.280000001</v>
      </c>
      <c r="H55" s="195">
        <f t="shared" si="10"/>
        <v>65365822.75</v>
      </c>
      <c r="I55" s="195">
        <f t="shared" si="10"/>
        <v>0</v>
      </c>
      <c r="J55" s="177">
        <f t="shared" si="10"/>
        <v>0</v>
      </c>
      <c r="K55" s="195">
        <f t="shared" si="10"/>
        <v>0</v>
      </c>
      <c r="L55" s="195">
        <f t="shared" si="10"/>
        <v>0</v>
      </c>
      <c r="M55" s="195">
        <f t="shared" si="10"/>
        <v>0</v>
      </c>
      <c r="N55" s="195">
        <f t="shared" si="10"/>
        <v>0</v>
      </c>
      <c r="O55" s="195">
        <f t="shared" si="10"/>
        <v>0</v>
      </c>
      <c r="P55" s="195">
        <f t="shared" si="10"/>
        <v>0</v>
      </c>
      <c r="Q55" s="195">
        <f t="shared" si="10"/>
        <v>0</v>
      </c>
      <c r="R55" s="195">
        <f t="shared" si="10"/>
        <v>0</v>
      </c>
      <c r="S55" s="251">
        <f t="shared" si="3"/>
        <v>89892016.030000001</v>
      </c>
      <c r="T55" s="464">
        <f t="shared" si="4"/>
        <v>1.7880774178982755</v>
      </c>
      <c r="V55" s="323"/>
    </row>
    <row r="56" spans="1:22">
      <c r="A56" s="146">
        <v>4611</v>
      </c>
      <c r="B56" s="522" t="str">
        <f>+VLOOKUP($A56,Master!$D$28:$G$224,4,FALSE)</f>
        <v>Otplata hartija od vrijednosti i kredita rezidentima</v>
      </c>
      <c r="C56" s="523"/>
      <c r="D56" s="523"/>
      <c r="E56" s="523"/>
      <c r="F56" s="523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54840868.399999999</v>
      </c>
      <c r="I56" s="213">
        <f>+INDEX(DataEx!$1:$1048576,MATCH('2020'!$A56,DataEx!$D:$D,0),MATCH('2020'!I$6,DataEx!$7:$7,0))</f>
        <v>0</v>
      </c>
      <c r="J56" s="213">
        <f>+INDEX(DataEx!$1:$1048576,MATCH('2020'!$A56,DataEx!$D:$D,0),MATCH('2020'!J$6,DataEx!$7:$7,0))</f>
        <v>0</v>
      </c>
      <c r="K56" s="213">
        <f>+INDEX(DataEx!$1:$1048576,MATCH('2020'!$A56,DataEx!$D:$D,0),MATCH('2020'!K$6,DataEx!$7:$7,0))</f>
        <v>0</v>
      </c>
      <c r="L56" s="213">
        <f>+INDEX(DataEx!$1:$1048576,MATCH('2020'!$A56,DataEx!$D:$D,0),MATCH('2020'!L$6,DataEx!$7:$7,0))</f>
        <v>0</v>
      </c>
      <c r="M56" s="213">
        <f>+INDEX(DataEx!$1:$1048576,MATCH('2020'!$A56,DataEx!$D:$D,0),MATCH('2020'!M$6,DataEx!$7:$7,0))</f>
        <v>0</v>
      </c>
      <c r="N56" s="213">
        <f>+INDEX(DataEx!$1:$1048576,MATCH('2020'!$A56,DataEx!$D:$D,0),MATCH('2020'!N$6,DataEx!$7:$7,0))</f>
        <v>0</v>
      </c>
      <c r="O56" s="213">
        <f>+INDEX(DataEx!$1:$1048576,MATCH('2020'!$A56,DataEx!$D:$D,0),MATCH('2020'!O$6,DataEx!$7:$7,0))</f>
        <v>0</v>
      </c>
      <c r="P56" s="213">
        <f>+INDEX(DataEx!$1:$1048576,MATCH('2020'!$A56,DataEx!$D:$D,0),MATCH('2020'!P$6,DataEx!$7:$7,0))</f>
        <v>0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77931267.969999999</v>
      </c>
      <c r="T56" s="465">
        <f t="shared" si="4"/>
        <v>1.5501614777315855</v>
      </c>
      <c r="V56" s="371"/>
    </row>
    <row r="57" spans="1:22" ht="13.5" thickBot="1">
      <c r="A57" s="146">
        <v>4612</v>
      </c>
      <c r="B57" s="498" t="str">
        <f>+VLOOKUP($A57,Master!$D$28:$G$224,4,FALSE)</f>
        <v>Otplata hartija od vrijednosti i kredita nerezidentima</v>
      </c>
      <c r="C57" s="499"/>
      <c r="D57" s="499"/>
      <c r="E57" s="499"/>
      <c r="F57" s="499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10524954.35</v>
      </c>
      <c r="I57" s="213">
        <f>+INDEX(DataEx!$1:$1048576,MATCH('2020'!$A57,DataEx!$D:$D,0),MATCH('2020'!I$6,DataEx!$7:$7,0))</f>
        <v>0</v>
      </c>
      <c r="J57" s="213">
        <f>+INDEX(DataEx!$1:$1048576,MATCH('2020'!$A57,DataEx!$D:$D,0),MATCH('2020'!J$6,DataEx!$7:$7,0))</f>
        <v>0</v>
      </c>
      <c r="K57" s="213">
        <f>+INDEX(DataEx!$1:$1048576,MATCH('2020'!$A57,DataEx!$D:$D,0),MATCH('2020'!K$6,DataEx!$7:$7,0))</f>
        <v>0</v>
      </c>
      <c r="L57" s="213">
        <f>+INDEX(DataEx!$1:$1048576,MATCH('2020'!$A57,DataEx!$D:$D,0),MATCH('2020'!L$6,DataEx!$7:$7,0))</f>
        <v>0</v>
      </c>
      <c r="M57" s="213">
        <f>+INDEX(DataEx!$1:$1048576,MATCH('2020'!$A57,DataEx!$D:$D,0),MATCH('2020'!M$6,DataEx!$7:$7,0))</f>
        <v>0</v>
      </c>
      <c r="N57" s="213">
        <f>+INDEX(DataEx!$1:$1048576,MATCH('2020'!$A57,DataEx!$D:$D,0),MATCH('2020'!N$6,DataEx!$7:$7,0))</f>
        <v>0</v>
      </c>
      <c r="O57" s="213">
        <f>+INDEX(DataEx!$1:$1048576,MATCH('2020'!$A57,DataEx!$D:$D,0),MATCH('2020'!O$6,DataEx!$7:$7,0))</f>
        <v>0</v>
      </c>
      <c r="P57" s="213">
        <f>+INDEX(DataEx!$1:$1048576,MATCH('2020'!$A57,DataEx!$D:$D,0),MATCH('2020'!P$6,DataEx!$7:$7,0))</f>
        <v>0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11960748.059999999</v>
      </c>
      <c r="T57" s="465">
        <f t="shared" si="4"/>
        <v>0.23791594016668985</v>
      </c>
      <c r="V57" s="333"/>
    </row>
    <row r="58" spans="1:22" ht="13.5" thickBot="1">
      <c r="A58" s="146">
        <v>4418</v>
      </c>
      <c r="B58" s="549" t="str">
        <f>+VLOOKUP($A58,Master!$D$28:$G$224,4,FALSE)</f>
        <v>Izdaci za kupovinu hartija od vrijednosti</v>
      </c>
      <c r="C58" s="550"/>
      <c r="D58" s="550"/>
      <c r="E58" s="550"/>
      <c r="F58" s="550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0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0</v>
      </c>
      <c r="T58" s="466">
        <f t="shared" si="4"/>
        <v>0</v>
      </c>
      <c r="V58" s="333"/>
    </row>
    <row r="59" spans="1:22" ht="13.5" thickBot="1">
      <c r="A59" s="146">
        <v>1002</v>
      </c>
      <c r="B59" s="524" t="str">
        <f>+VLOOKUP($A59,Master!$D$28:$G$224,4,FALSE)</f>
        <v>Nedostajuća sredstva</v>
      </c>
      <c r="C59" s="525"/>
      <c r="D59" s="525"/>
      <c r="E59" s="525"/>
      <c r="F59" s="525"/>
      <c r="G59" s="219">
        <f>+G53-G55-G58</f>
        <v>-58534060.480000004</v>
      </c>
      <c r="H59" s="219">
        <f t="shared" ref="H59:R59" si="11">+H53-H55-H58</f>
        <v>-91341136.62000002</v>
      </c>
      <c r="I59" s="219">
        <f t="shared" si="11"/>
        <v>0</v>
      </c>
      <c r="J59" s="219">
        <f t="shared" si="11"/>
        <v>0</v>
      </c>
      <c r="K59" s="219">
        <f t="shared" si="11"/>
        <v>0</v>
      </c>
      <c r="L59" s="219">
        <f t="shared" si="11"/>
        <v>0</v>
      </c>
      <c r="M59" s="219">
        <f t="shared" si="11"/>
        <v>0</v>
      </c>
      <c r="N59" s="219">
        <f t="shared" si="11"/>
        <v>0</v>
      </c>
      <c r="O59" s="219">
        <f t="shared" si="11"/>
        <v>0</v>
      </c>
      <c r="P59" s="219">
        <f t="shared" si="11"/>
        <v>0</v>
      </c>
      <c r="Q59" s="219">
        <f t="shared" si="11"/>
        <v>0</v>
      </c>
      <c r="R59" s="219">
        <f t="shared" si="11"/>
        <v>0</v>
      </c>
      <c r="S59" s="253">
        <f t="shared" si="3"/>
        <v>-149875197.10000002</v>
      </c>
      <c r="T59" s="467">
        <f t="shared" si="4"/>
        <v>-2.9812264456069864</v>
      </c>
    </row>
    <row r="60" spans="1:22" ht="13.5" thickBot="1">
      <c r="A60" s="146">
        <v>1003</v>
      </c>
      <c r="B60" s="488" t="str">
        <f>+VLOOKUP($A60,Master!$D$28:$G$224,4,FALSE)</f>
        <v>Finansiranje</v>
      </c>
      <c r="C60" s="489"/>
      <c r="D60" s="489"/>
      <c r="E60" s="489"/>
      <c r="F60" s="489"/>
      <c r="G60" s="153">
        <f>+SUM(G61:G64)</f>
        <v>58534060.480000004</v>
      </c>
      <c r="H60" s="153">
        <f t="shared" ref="H60:R60" si="12">+SUM(H61:H64)</f>
        <v>91341136.62000002</v>
      </c>
      <c r="I60" s="153">
        <f t="shared" si="12"/>
        <v>0</v>
      </c>
      <c r="J60" s="153">
        <f t="shared" si="12"/>
        <v>0</v>
      </c>
      <c r="K60" s="153">
        <f t="shared" si="12"/>
        <v>0</v>
      </c>
      <c r="L60" s="153">
        <f t="shared" si="12"/>
        <v>0</v>
      </c>
      <c r="M60" s="153">
        <f t="shared" si="12"/>
        <v>0</v>
      </c>
      <c r="N60" s="153">
        <f t="shared" si="12"/>
        <v>0</v>
      </c>
      <c r="O60" s="153">
        <f t="shared" si="12"/>
        <v>0</v>
      </c>
      <c r="P60" s="153">
        <f t="shared" si="12"/>
        <v>0</v>
      </c>
      <c r="Q60" s="153">
        <f t="shared" si="12"/>
        <v>0</v>
      </c>
      <c r="R60" s="153">
        <f t="shared" si="12"/>
        <v>0</v>
      </c>
      <c r="S60" s="254">
        <f t="shared" si="3"/>
        <v>149875197.10000002</v>
      </c>
      <c r="T60" s="468">
        <f t="shared" si="4"/>
        <v>2.9812264456069864</v>
      </c>
    </row>
    <row r="61" spans="1:22">
      <c r="A61" s="146">
        <v>7511</v>
      </c>
      <c r="B61" s="522" t="str">
        <f>+VLOOKUP($A61,Master!$D$28:$G$224,4,FALSE)</f>
        <v>Pozajmice i krediti od domaćih izvora</v>
      </c>
      <c r="C61" s="523"/>
      <c r="D61" s="523"/>
      <c r="E61" s="523"/>
      <c r="F61" s="523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23000000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0</v>
      </c>
      <c r="K61" s="213">
        <f>+INDEX(DataEx!$1:$1048576,MATCH('2020'!$A61,DataEx!$D:$D,0),MATCH('2020'!K$6,DataEx!$7:$7,0))</f>
        <v>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0</v>
      </c>
      <c r="N61" s="213">
        <f>+INDEX(DataEx!$1:$1048576,MATCH('2020'!$A61,DataEx!$D:$D,0),MATCH('2020'!N$6,DataEx!$7:$7,0))</f>
        <v>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37900000</v>
      </c>
      <c r="T61" s="465">
        <f t="shared" si="4"/>
        <v>0.7538837944821275</v>
      </c>
    </row>
    <row r="62" spans="1:22">
      <c r="A62" s="146">
        <v>7512</v>
      </c>
      <c r="B62" s="498" t="str">
        <f>+VLOOKUP($A62,Master!$D$28:$G$224,4,FALSE)</f>
        <v>Pozajmice i krediti od inostranih izvora</v>
      </c>
      <c r="C62" s="499"/>
      <c r="D62" s="499"/>
      <c r="E62" s="499"/>
      <c r="F62" s="499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1511136.76</v>
      </c>
      <c r="I62" s="213">
        <f>+INDEX(DataEx!$1:$1048576,MATCH('2020'!$A62,DataEx!$D:$D,0),MATCH('2020'!I$6,DataEx!$7:$7,0))</f>
        <v>0</v>
      </c>
      <c r="J62" s="213">
        <f>+INDEX(DataEx!$1:$1048576,MATCH('2020'!$A62,DataEx!$D:$D,0),MATCH('2020'!J$6,DataEx!$7:$7,0))</f>
        <v>0</v>
      </c>
      <c r="K62" s="213">
        <f>+INDEX(DataEx!$1:$1048576,MATCH('2020'!$A62,DataEx!$D:$D,0),MATCH('2020'!K$6,DataEx!$7:$7,0))</f>
        <v>0</v>
      </c>
      <c r="L62" s="213">
        <f>+INDEX(DataEx!$1:$1048576,MATCH('2020'!$A62,DataEx!$D:$D,0),MATCH('2020'!L$6,DataEx!$7:$7,0))</f>
        <v>0</v>
      </c>
      <c r="M62" s="213">
        <f>+INDEX(DataEx!$1:$1048576,MATCH('2020'!$A62,DataEx!$D:$D,0),MATCH('2020'!M$6,DataEx!$7:$7,0))</f>
        <v>0</v>
      </c>
      <c r="N62" s="213">
        <f>+INDEX(DataEx!$1:$1048576,MATCH('2020'!$A62,DataEx!$D:$D,0),MATCH('2020'!N$6,DataEx!$7:$7,0))</f>
        <v>0</v>
      </c>
      <c r="O62" s="213">
        <f>+INDEX(DataEx!$1:$1048576,MATCH('2020'!$A62,DataEx!$D:$D,0),MATCH('2020'!O$6,DataEx!$7:$7,0))</f>
        <v>0</v>
      </c>
      <c r="P62" s="213">
        <f>+INDEX(DataEx!$1:$1048576,MATCH('2020'!$A62,DataEx!$D:$D,0),MATCH('2020'!P$6,DataEx!$7:$7,0))</f>
        <v>0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1827701.6</v>
      </c>
      <c r="T62" s="465">
        <f t="shared" si="4"/>
        <v>3.635553080182205E-2</v>
      </c>
    </row>
    <row r="63" spans="1:22">
      <c r="A63" s="146">
        <v>72</v>
      </c>
      <c r="B63" s="498" t="str">
        <f>+VLOOKUP($A63,Master!$D$28:$G$224,4,FALSE)</f>
        <v>Primici od prodaje imovine</v>
      </c>
      <c r="C63" s="499"/>
      <c r="D63" s="499"/>
      <c r="E63" s="499"/>
      <c r="F63" s="499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437988.22</v>
      </c>
      <c r="I63" s="213">
        <f>+INDEX(DataEx!$1:$1048576,MATCH('2020'!$A63,DataEx!$D:$D,0),MATCH('2020'!I$6,DataEx!$7:$7,0))</f>
        <v>0</v>
      </c>
      <c r="J63" s="213">
        <f>+INDEX(DataEx!$1:$1048576,MATCH('2020'!$A63,DataEx!$D:$D,0),MATCH('2020'!J$6,DataEx!$7:$7,0))</f>
        <v>0</v>
      </c>
      <c r="K63" s="213">
        <f>+INDEX(DataEx!$1:$1048576,MATCH('2020'!$A63,DataEx!$D:$D,0),MATCH('2020'!K$6,DataEx!$7:$7,0))</f>
        <v>0</v>
      </c>
      <c r="L63" s="213">
        <f>+INDEX(DataEx!$1:$1048576,MATCH('2020'!$A63,DataEx!$D:$D,0),MATCH('2020'!L$6,DataEx!$7:$7,0))</f>
        <v>0</v>
      </c>
      <c r="M63" s="213">
        <f>+INDEX(DataEx!$1:$1048576,MATCH('2020'!$A63,DataEx!$D:$D,0),MATCH('2020'!M$6,DataEx!$7:$7,0))</f>
        <v>0</v>
      </c>
      <c r="N63" s="213">
        <f>+INDEX(DataEx!$1:$1048576,MATCH('2020'!$A63,DataEx!$D:$D,0),MATCH('2020'!N$6,DataEx!$7:$7,0))</f>
        <v>0</v>
      </c>
      <c r="O63" s="213">
        <f>+INDEX(DataEx!$1:$1048576,MATCH('2020'!$A63,DataEx!$D:$D,0),MATCH('2020'!O$6,DataEx!$7:$7,0))</f>
        <v>0</v>
      </c>
      <c r="P63" s="213">
        <f>+INDEX(DataEx!$1:$1048576,MATCH('2020'!$A63,DataEx!$D:$D,0),MATCH('2020'!P$6,DataEx!$7:$7,0))</f>
        <v>0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500770.73</v>
      </c>
      <c r="T63" s="465">
        <f t="shared" si="4"/>
        <v>9.961027390448152E-3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43254713.130000003</v>
      </c>
      <c r="H64" s="227">
        <f t="shared" ref="H64:R64" si="13">-H59-SUM(H61:H63)</f>
        <v>66392011.640000015</v>
      </c>
      <c r="I64" s="227">
        <f t="shared" si="13"/>
        <v>0</v>
      </c>
      <c r="J64" s="227">
        <f t="shared" si="13"/>
        <v>0</v>
      </c>
      <c r="K64" s="227">
        <f t="shared" si="13"/>
        <v>0</v>
      </c>
      <c r="L64" s="227">
        <f t="shared" si="13"/>
        <v>0</v>
      </c>
      <c r="M64" s="227">
        <f t="shared" si="13"/>
        <v>0</v>
      </c>
      <c r="N64" s="227">
        <f t="shared" si="13"/>
        <v>0</v>
      </c>
      <c r="O64" s="227">
        <f t="shared" si="13"/>
        <v>0</v>
      </c>
      <c r="P64" s="227">
        <f t="shared" si="13"/>
        <v>0</v>
      </c>
      <c r="Q64" s="227">
        <f t="shared" si="13"/>
        <v>0</v>
      </c>
      <c r="R64" s="227">
        <f t="shared" si="13"/>
        <v>0</v>
      </c>
      <c r="S64" s="255">
        <f>+SUM(G64:R64)</f>
        <v>109646724.77000001</v>
      </c>
      <c r="T64" s="469">
        <f t="shared" si="4"/>
        <v>2.181026092932588</v>
      </c>
    </row>
    <row r="65" spans="18:18">
      <c r="R65" s="326"/>
    </row>
    <row r="68" spans="18:18" hidden="1"/>
    <row r="69" spans="18:18" hidden="1"/>
    <row r="70" spans="18:18" hidden="1">
      <c r="R70" s="303"/>
    </row>
    <row r="71" spans="18:18" hidden="1"/>
    <row r="72" spans="18:18" hidden="1"/>
    <row r="73" spans="18:18" hidden="1"/>
    <row r="74" spans="18:18" hidden="1"/>
    <row r="75" spans="18:18" hidden="1"/>
    <row r="76" spans="18:18" hidden="1"/>
    <row r="77" spans="18:18" hidden="1"/>
    <row r="78" spans="18:18" hidden="1"/>
    <row r="79" spans="18:18" hidden="1"/>
    <row r="80" spans="18:18" hidden="1"/>
    <row r="81" hidden="1"/>
    <row r="82" hidden="1"/>
    <row r="83" hidden="1"/>
    <row r="84" hidden="1"/>
    <row r="85" hidden="1"/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41" t="str">
        <f>+Master!G251</f>
        <v>Plan ostvarenja budžeta</v>
      </c>
      <c r="C100" s="542"/>
      <c r="D100" s="542"/>
      <c r="E100" s="542"/>
      <c r="F100" s="542"/>
      <c r="G100" s="555">
        <v>2019</v>
      </c>
      <c r="H100" s="556"/>
      <c r="I100" s="556"/>
      <c r="J100" s="556"/>
      <c r="K100" s="556"/>
      <c r="L100" s="556"/>
      <c r="M100" s="556"/>
      <c r="N100" s="556"/>
      <c r="O100" s="556"/>
      <c r="P100" s="556"/>
      <c r="Q100" s="556"/>
      <c r="R100" s="557"/>
      <c r="S100" s="107" t="str">
        <f>+S7</f>
        <v>BDP</v>
      </c>
      <c r="T100" s="108">
        <f>+T7</f>
        <v>5027300000</v>
      </c>
    </row>
    <row r="101" spans="1:21" ht="15.75" customHeight="1">
      <c r="B101" s="543"/>
      <c r="C101" s="544"/>
      <c r="D101" s="544"/>
      <c r="E101" s="544"/>
      <c r="F101" s="545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5" t="str">
        <f>+Master!G245</f>
        <v>Jan - Dec</v>
      </c>
      <c r="T101" s="557">
        <f>+T8</f>
        <v>0</v>
      </c>
    </row>
    <row r="102" spans="1:21" ht="13.5" thickBot="1">
      <c r="B102" s="546"/>
      <c r="C102" s="547"/>
      <c r="D102" s="547"/>
      <c r="E102" s="547"/>
      <c r="F102" s="548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8" t="str">
        <f>+VLOOKUP(LEFT($A103,LEN(A103)-1)*1,Master!$D$28:$G$224,4,FALSE)</f>
        <v>Prihodi budžeta</v>
      </c>
      <c r="C103" s="559"/>
      <c r="D103" s="559"/>
      <c r="E103" s="559"/>
      <c r="F103" s="559"/>
      <c r="G103" s="93">
        <f t="shared" ref="G103:R103" si="17">+G104+G112+SUM(G117:G121)</f>
        <v>94095332.844612703</v>
      </c>
      <c r="H103" s="93">
        <f t="shared" si="17"/>
        <v>118645409.17681186</v>
      </c>
      <c r="I103" s="93">
        <f t="shared" si="17"/>
        <v>153594151.34612924</v>
      </c>
      <c r="J103" s="93">
        <f t="shared" si="17"/>
        <v>204841866.48397624</v>
      </c>
      <c r="K103" s="93">
        <f t="shared" si="17"/>
        <v>147756684.6850425</v>
      </c>
      <c r="L103" s="93">
        <f t="shared" si="17"/>
        <v>150173872.29486102</v>
      </c>
      <c r="M103" s="93">
        <f t="shared" si="17"/>
        <v>227645166.67280671</v>
      </c>
      <c r="N103" s="93">
        <f t="shared" si="17"/>
        <v>179842769.37583488</v>
      </c>
      <c r="O103" s="93">
        <f t="shared" si="17"/>
        <v>175773154.73626581</v>
      </c>
      <c r="P103" s="93">
        <f t="shared" si="17"/>
        <v>163691148.1721026</v>
      </c>
      <c r="Q103" s="93">
        <f t="shared" si="17"/>
        <v>153098153.48594111</v>
      </c>
      <c r="R103" s="93">
        <f t="shared" si="17"/>
        <v>285202574.87680709</v>
      </c>
      <c r="S103" s="474">
        <f>+SUM(G103:R103)</f>
        <v>2054360284.1511922</v>
      </c>
      <c r="T103" s="475">
        <f>+S103/$T$100*100</f>
        <v>40.864087763833311</v>
      </c>
    </row>
    <row r="104" spans="1:21">
      <c r="A104" s="116" t="str">
        <f t="shared" si="16"/>
        <v>711p</v>
      </c>
      <c r="B104" s="560" t="str">
        <f>+VLOOKUP(LEFT($A104,LEN(A104)-1)*1,Master!$D$28:$G$224,4,FALSE)</f>
        <v>Porezi</v>
      </c>
      <c r="C104" s="561"/>
      <c r="D104" s="561"/>
      <c r="E104" s="561"/>
      <c r="F104" s="561"/>
      <c r="G104" s="79">
        <f t="shared" ref="G104:R104" si="18">+SUM(G105:G111)</f>
        <v>72868523.591369644</v>
      </c>
      <c r="H104" s="79">
        <f t="shared" si="18"/>
        <v>68300892.484016389</v>
      </c>
      <c r="I104" s="79">
        <f t="shared" si="18"/>
        <v>101394429.02819102</v>
      </c>
      <c r="J104" s="79">
        <f t="shared" si="18"/>
        <v>113552946.83620664</v>
      </c>
      <c r="K104" s="79">
        <f t="shared" si="18"/>
        <v>96410386.649220213</v>
      </c>
      <c r="L104" s="79">
        <f t="shared" si="18"/>
        <v>91655871.24306567</v>
      </c>
      <c r="M104" s="79">
        <f t="shared" si="18"/>
        <v>119293258.34361127</v>
      </c>
      <c r="N104" s="79">
        <f t="shared" si="18"/>
        <v>121646540.91643213</v>
      </c>
      <c r="O104" s="79">
        <f t="shared" si="18"/>
        <v>117181792.42158785</v>
      </c>
      <c r="P104" s="79">
        <f t="shared" si="18"/>
        <v>103869495.73333339</v>
      </c>
      <c r="Q104" s="79">
        <f t="shared" si="18"/>
        <v>89501407.607428327</v>
      </c>
      <c r="R104" s="80">
        <f t="shared" si="18"/>
        <v>103457319.17875919</v>
      </c>
      <c r="S104" s="111">
        <f t="shared" ref="S104:S157" si="19">+SUM(G104:R104)</f>
        <v>1199132864.0332217</v>
      </c>
      <c r="T104" s="456">
        <f t="shared" ref="T104:T157" si="20">+S104/$T$100*100</f>
        <v>23.85242305080703</v>
      </c>
      <c r="U104" s="259"/>
    </row>
    <row r="105" spans="1:21">
      <c r="A105" s="116" t="str">
        <f t="shared" si="16"/>
        <v>7111p</v>
      </c>
      <c r="B105" s="551" t="str">
        <f>+VLOOKUP(LEFT($A105,LEN(A105)-1)*1,Master!$D$28:$G$227,4,FALSE)</f>
        <v>Porez na dohodak fizičkih lica</v>
      </c>
      <c r="C105" s="552"/>
      <c r="D105" s="552"/>
      <c r="E105" s="552"/>
      <c r="F105" s="552"/>
      <c r="G105" s="87">
        <f>+SUM(DataEx!FR219)</f>
        <v>4247772.9043182321</v>
      </c>
      <c r="H105" s="87">
        <f>+SUM(DataEx!FS219)</f>
        <v>9376802.3482605685</v>
      </c>
      <c r="I105" s="87">
        <f>+SUM(DataEx!FT219)</f>
        <v>9059590.5603003595</v>
      </c>
      <c r="J105" s="87">
        <f>+SUM(DataEx!FU219)</f>
        <v>14784516.1050505</v>
      </c>
      <c r="K105" s="87">
        <f>+SUM(DataEx!FV219)</f>
        <v>10227226.83180018</v>
      </c>
      <c r="L105" s="87">
        <f>+SUM(DataEx!FW219)</f>
        <v>10142170.106392335</v>
      </c>
      <c r="M105" s="87">
        <f>+SUM(DataEx!FX219)</f>
        <v>11004516.220393213</v>
      </c>
      <c r="N105" s="87">
        <f>+SUM(DataEx!FY219)</f>
        <v>10494150.286638713</v>
      </c>
      <c r="O105" s="87">
        <f>+SUM(DataEx!FZ219)</f>
        <v>10348728.72707198</v>
      </c>
      <c r="P105" s="87">
        <f>+SUM(DataEx!GA219)</f>
        <v>10842408.697154773</v>
      </c>
      <c r="Q105" s="87">
        <f>+SUM(DataEx!GB219)</f>
        <v>10004017.895010754</v>
      </c>
      <c r="R105" s="87">
        <f>+SUM(DataEx!GC219)</f>
        <v>18671198.27068641</v>
      </c>
      <c r="S105" s="112">
        <f t="shared" si="19"/>
        <v>129203098.95307803</v>
      </c>
      <c r="T105" s="457">
        <f t="shared" si="20"/>
        <v>2.570029617350825</v>
      </c>
    </row>
    <row r="106" spans="1:21">
      <c r="A106" s="116" t="str">
        <f t="shared" si="16"/>
        <v>7112p</v>
      </c>
      <c r="B106" s="551" t="str">
        <f>+VLOOKUP(LEFT($A106,LEN(A106)-1)*1,Master!$D$28:$G$227,4,FALSE)</f>
        <v>Porez na dobit pravnih lica</v>
      </c>
      <c r="C106" s="552"/>
      <c r="D106" s="552"/>
      <c r="E106" s="552"/>
      <c r="F106" s="552"/>
      <c r="G106" s="87">
        <f>+SUM(DataEx!FR220)</f>
        <v>627782.45265207789</v>
      </c>
      <c r="H106" s="87">
        <f>+SUM(DataEx!FS220)</f>
        <v>2048312.2562287676</v>
      </c>
      <c r="I106" s="87">
        <f>+SUM(DataEx!FT220)</f>
        <v>23447396.440071519</v>
      </c>
      <c r="J106" s="87">
        <f>+SUM(DataEx!FU220)</f>
        <v>21300265.770182844</v>
      </c>
      <c r="K106" s="87">
        <f>+SUM(DataEx!FV220)</f>
        <v>4990703.2575689331</v>
      </c>
      <c r="L106" s="87">
        <f>+SUM(DataEx!FW220)</f>
        <v>3839576.3798291981</v>
      </c>
      <c r="M106" s="87">
        <f>+SUM(DataEx!FX220)</f>
        <v>5410731.6020327918</v>
      </c>
      <c r="N106" s="87">
        <f>+SUM(DataEx!FY220)</f>
        <v>3228155.7041742411</v>
      </c>
      <c r="O106" s="87">
        <f>+SUM(DataEx!FZ220)</f>
        <v>2340786.03513694</v>
      </c>
      <c r="P106" s="87">
        <f>+SUM(DataEx!GA220)</f>
        <v>720170.47195216361</v>
      </c>
      <c r="Q106" s="87">
        <f>+SUM(DataEx!GB220)</f>
        <v>918098.08431421698</v>
      </c>
      <c r="R106" s="87">
        <f>+SUM(DataEx!GC220)</f>
        <v>4473049.2199428063</v>
      </c>
      <c r="S106" s="112">
        <f t="shared" si="19"/>
        <v>73345027.674086511</v>
      </c>
      <c r="T106" s="457">
        <f t="shared" si="20"/>
        <v>1.4589347696394985</v>
      </c>
    </row>
    <row r="107" spans="1:21">
      <c r="A107" s="116" t="str">
        <f t="shared" si="16"/>
        <v>7113p</v>
      </c>
      <c r="B107" s="551" t="str">
        <f>+VLOOKUP(LEFT($A107,LEN(A107)-1)*1,Master!$D$28:$G$227,4,FALSE)</f>
        <v>Porez na promet nepokretnosti</v>
      </c>
      <c r="C107" s="552"/>
      <c r="D107" s="552"/>
      <c r="E107" s="552"/>
      <c r="F107" s="552"/>
      <c r="G107" s="87">
        <f>+SUM(DataEx!FR221)</f>
        <v>109917.2112672653</v>
      </c>
      <c r="H107" s="87">
        <f>+SUM(DataEx!FS221)</f>
        <v>157627.83703386062</v>
      </c>
      <c r="I107" s="87">
        <f>+SUM(DataEx!FT221)</f>
        <v>136046.9232149462</v>
      </c>
      <c r="J107" s="87">
        <f>+SUM(DataEx!FU221)</f>
        <v>189969.17755328628</v>
      </c>
      <c r="K107" s="87">
        <f>+SUM(DataEx!FV221)</f>
        <v>137123.3907048546</v>
      </c>
      <c r="L107" s="87">
        <f>+SUM(DataEx!FW221)</f>
        <v>147110.04103562396</v>
      </c>
      <c r="M107" s="87">
        <f>+SUM(DataEx!FX221)</f>
        <v>141936.14419131188</v>
      </c>
      <c r="N107" s="87">
        <f>+SUM(DataEx!FY221)</f>
        <v>160267.88329025259</v>
      </c>
      <c r="O107" s="87">
        <f>+SUM(DataEx!FZ221)</f>
        <v>122387.69127453606</v>
      </c>
      <c r="P107" s="87">
        <f>+SUM(DataEx!GA221)</f>
        <v>161793.16319870885</v>
      </c>
      <c r="Q107" s="87">
        <f>+SUM(DataEx!GB221)</f>
        <v>160631.62948311894</v>
      </c>
      <c r="R107" s="87">
        <f>+SUM(DataEx!GC221)</f>
        <v>268987.27918103465</v>
      </c>
      <c r="S107" s="112">
        <f t="shared" si="19"/>
        <v>1893798.3714287998</v>
      </c>
      <c r="T107" s="457">
        <f t="shared" si="20"/>
        <v>3.7670287657963514E-2</v>
      </c>
    </row>
    <row r="108" spans="1:21">
      <c r="A108" s="116" t="str">
        <f t="shared" si="16"/>
        <v>7114p</v>
      </c>
      <c r="B108" s="551" t="str">
        <f>+VLOOKUP(LEFT($A108,LEN(A108)-1)*1,Master!$D$28:$G$227,4,FALSE)</f>
        <v>Porez na dodatu vrijednost</v>
      </c>
      <c r="C108" s="552"/>
      <c r="D108" s="552"/>
      <c r="E108" s="552"/>
      <c r="F108" s="552"/>
      <c r="G108" s="87">
        <f>+SUM(DataEx!FR222)</f>
        <v>50030338.787693664</v>
      </c>
      <c r="H108" s="87">
        <f>+SUM(DataEx!FS222)</f>
        <v>40226724.69128225</v>
      </c>
      <c r="I108" s="87">
        <f>+SUM(DataEx!FT222)</f>
        <v>51494173.085536182</v>
      </c>
      <c r="J108" s="87">
        <f>+SUM(DataEx!FU222)</f>
        <v>56230397.238285325</v>
      </c>
      <c r="K108" s="87">
        <f>+SUM(DataEx!FV222)</f>
        <v>57541254.075762056</v>
      </c>
      <c r="L108" s="87">
        <f>+SUM(DataEx!FW222)</f>
        <v>54151638.146728054</v>
      </c>
      <c r="M108" s="87">
        <f>+SUM(DataEx!FX222)</f>
        <v>73039139.596671969</v>
      </c>
      <c r="N108" s="87">
        <f>+SUM(DataEx!FY222)</f>
        <v>73104235.871438459</v>
      </c>
      <c r="O108" s="87">
        <f>+SUM(DataEx!FZ222)</f>
        <v>72212989.907607689</v>
      </c>
      <c r="P108" s="87">
        <f>+SUM(DataEx!GA222)</f>
        <v>67208847.037182078</v>
      </c>
      <c r="Q108" s="87">
        <f>+SUM(DataEx!GB222)</f>
        <v>55844741.70897913</v>
      </c>
      <c r="R108" s="87">
        <f>+SUM(DataEx!GC222)</f>
        <v>58366039.987854265</v>
      </c>
      <c r="S108" s="112">
        <f t="shared" si="19"/>
        <v>709450520.13502109</v>
      </c>
      <c r="T108" s="457">
        <f t="shared" si="20"/>
        <v>14.111959105981761</v>
      </c>
    </row>
    <row r="109" spans="1:21">
      <c r="A109" s="116" t="str">
        <f t="shared" si="16"/>
        <v>7115p</v>
      </c>
      <c r="B109" s="551" t="str">
        <f>+VLOOKUP(LEFT($A109,LEN(A109)-1)*1,Master!$D$28:$G$227,4,FALSE)</f>
        <v>Akcize</v>
      </c>
      <c r="C109" s="552"/>
      <c r="D109" s="552"/>
      <c r="E109" s="552"/>
      <c r="F109" s="552"/>
      <c r="G109" s="87">
        <f>+SUM(DataEx!FR223)</f>
        <v>15582615.935145671</v>
      </c>
      <c r="H109" s="87">
        <f>+SUM(DataEx!FS223)</f>
        <v>13786728.708412785</v>
      </c>
      <c r="I109" s="87">
        <f>+SUM(DataEx!FT223)</f>
        <v>13922329.131337306</v>
      </c>
      <c r="J109" s="87">
        <f>+SUM(DataEx!FU223)</f>
        <v>17514781.558868464</v>
      </c>
      <c r="K109" s="87">
        <f>+SUM(DataEx!FV223)</f>
        <v>20060289.508355808</v>
      </c>
      <c r="L109" s="87">
        <f>+SUM(DataEx!FW223)</f>
        <v>19873285.982644927</v>
      </c>
      <c r="M109" s="87">
        <f>+SUM(DataEx!FX223)</f>
        <v>25530016.505225107</v>
      </c>
      <c r="N109" s="87">
        <f>+SUM(DataEx!FY223)</f>
        <v>30758150.572077803</v>
      </c>
      <c r="O109" s="87">
        <f>+SUM(DataEx!FZ223)</f>
        <v>28509300.373805836</v>
      </c>
      <c r="P109" s="87">
        <f>+SUM(DataEx!GA223)</f>
        <v>21428053.381139103</v>
      </c>
      <c r="Q109" s="87">
        <f>+SUM(DataEx!GB223)</f>
        <v>19472054.39091884</v>
      </c>
      <c r="R109" s="87">
        <f>+SUM(DataEx!GC223)</f>
        <v>18262634.566828799</v>
      </c>
      <c r="S109" s="112">
        <f t="shared" si="19"/>
        <v>244700240.61476046</v>
      </c>
      <c r="T109" s="457">
        <f t="shared" si="20"/>
        <v>4.8674286518560743</v>
      </c>
    </row>
    <row r="110" spans="1:21">
      <c r="A110" s="116" t="str">
        <f t="shared" si="16"/>
        <v>7116p</v>
      </c>
      <c r="B110" s="551" t="str">
        <f>+VLOOKUP(LEFT($A110,LEN(A110)-1)*1,Master!$D$28:$G$227,4,FALSE)</f>
        <v>Porez na međunarodnu trgovinu i transakcije</v>
      </c>
      <c r="C110" s="552"/>
      <c r="D110" s="552"/>
      <c r="E110" s="552"/>
      <c r="F110" s="552"/>
      <c r="G110" s="87">
        <f>+SUM(DataEx!FR224)</f>
        <v>1386941.7326399479</v>
      </c>
      <c r="H110" s="87">
        <f>+SUM(DataEx!FS224)</f>
        <v>1687520.1709283332</v>
      </c>
      <c r="I110" s="87">
        <f>+SUM(DataEx!FT224)</f>
        <v>2396502.7982573896</v>
      </c>
      <c r="J110" s="87">
        <f>+SUM(DataEx!FU224)</f>
        <v>2464332.484725228</v>
      </c>
      <c r="K110" s="87">
        <f>+SUM(DataEx!FV224)</f>
        <v>2435737.6143241315</v>
      </c>
      <c r="L110" s="87">
        <f>+SUM(DataEx!FW224)</f>
        <v>2419253.2694640565</v>
      </c>
      <c r="M110" s="87">
        <f>+SUM(DataEx!FX224)</f>
        <v>3005680.1409719805</v>
      </c>
      <c r="N110" s="87">
        <f>+SUM(DataEx!FY224)</f>
        <v>2714280.9962749984</v>
      </c>
      <c r="O110" s="87">
        <f>+SUM(DataEx!FZ224)</f>
        <v>2484992.7158025955</v>
      </c>
      <c r="P110" s="87">
        <f>+SUM(DataEx!GA224)</f>
        <v>2426179.0884626629</v>
      </c>
      <c r="Q110" s="87">
        <f>+SUM(DataEx!GB224)</f>
        <v>1969755.5171901861</v>
      </c>
      <c r="R110" s="87">
        <f>+SUM(DataEx!GC224)</f>
        <v>2374100.2770140865</v>
      </c>
      <c r="S110" s="112">
        <f t="shared" si="19"/>
        <v>27765276.806055594</v>
      </c>
      <c r="T110" s="457">
        <f t="shared" si="20"/>
        <v>0.55229003254342479</v>
      </c>
    </row>
    <row r="111" spans="1:21">
      <c r="A111" s="116" t="str">
        <f t="shared" si="16"/>
        <v>7118p</v>
      </c>
      <c r="B111" s="551" t="str">
        <f>+VLOOKUP(LEFT($A111,LEN(A111)-1)*1,Master!$D$28:$G$227,4,FALSE)</f>
        <v>Ostali državni porezi</v>
      </c>
      <c r="C111" s="552"/>
      <c r="D111" s="552"/>
      <c r="E111" s="552"/>
      <c r="F111" s="552"/>
      <c r="G111" s="87">
        <f>+SUM(DataEx!FR226)</f>
        <v>883154.56765277567</v>
      </c>
      <c r="H111" s="87">
        <f>+SUM(DataEx!FS226)</f>
        <v>1017176.4718698277</v>
      </c>
      <c r="I111" s="87">
        <f>+SUM(DataEx!FT226)</f>
        <v>938390.0894733076</v>
      </c>
      <c r="J111" s="87">
        <f>+SUM(DataEx!FU226)</f>
        <v>1068684.5015409975</v>
      </c>
      <c r="K111" s="87">
        <f>+SUM(DataEx!FV226)</f>
        <v>1018051.9707042454</v>
      </c>
      <c r="L111" s="87">
        <f>+SUM(DataEx!FW226)</f>
        <v>1082837.3169714699</v>
      </c>
      <c r="M111" s="87">
        <f>+SUM(DataEx!FX226)</f>
        <v>1161238.1341248986</v>
      </c>
      <c r="N111" s="87">
        <f>+SUM(DataEx!FY226)</f>
        <v>1187299.6025376567</v>
      </c>
      <c r="O111" s="87">
        <f>+SUM(DataEx!FZ226)</f>
        <v>1162606.9708882784</v>
      </c>
      <c r="P111" s="87">
        <f>+SUM(DataEx!GA226)</f>
        <v>1082043.8942438895</v>
      </c>
      <c r="Q111" s="87">
        <f>+SUM(DataEx!GB226)</f>
        <v>1132108.3815320772</v>
      </c>
      <c r="R111" s="87">
        <f>+SUM(DataEx!GC226)</f>
        <v>1041309.5772517719</v>
      </c>
      <c r="S111" s="112">
        <f t="shared" si="19"/>
        <v>12774901.478791194</v>
      </c>
      <c r="T111" s="457">
        <f t="shared" si="20"/>
        <v>0.25411058577747886</v>
      </c>
    </row>
    <row r="112" spans="1:21">
      <c r="A112" s="116" t="str">
        <f t="shared" si="16"/>
        <v>712p</v>
      </c>
      <c r="B112" s="553" t="str">
        <f>+VLOOKUP(LEFT($A112,LEN(A112)-1)*1,Master!$D$28:$G$227,4,FALSE)</f>
        <v>Doprinosi</v>
      </c>
      <c r="C112" s="554"/>
      <c r="D112" s="554"/>
      <c r="E112" s="554"/>
      <c r="F112" s="554"/>
      <c r="G112" s="81">
        <f>+SUM(G113:G116)</f>
        <v>15835723.169364264</v>
      </c>
      <c r="H112" s="81">
        <f t="shared" ref="H112:R112" si="21">+SUM(H113:H116)</f>
        <v>42050901.902156882</v>
      </c>
      <c r="I112" s="81">
        <f t="shared" si="21"/>
        <v>41165816.654906645</v>
      </c>
      <c r="J112" s="81">
        <f t="shared" si="21"/>
        <v>71460445.947101474</v>
      </c>
      <c r="K112" s="81">
        <f t="shared" si="21"/>
        <v>37646077.674470186</v>
      </c>
      <c r="L112" s="81">
        <f t="shared" si="21"/>
        <v>45454016.537137315</v>
      </c>
      <c r="M112" s="81">
        <f t="shared" si="21"/>
        <v>48845908.370285161</v>
      </c>
      <c r="N112" s="81">
        <f t="shared" si="21"/>
        <v>45961407.018496931</v>
      </c>
      <c r="O112" s="81">
        <f t="shared" si="21"/>
        <v>44527055.317223892</v>
      </c>
      <c r="P112" s="81">
        <f t="shared" si="21"/>
        <v>46718215.929809026</v>
      </c>
      <c r="Q112" s="81">
        <f t="shared" si="21"/>
        <v>44257264.346553147</v>
      </c>
      <c r="R112" s="82">
        <f t="shared" si="21"/>
        <v>85651782.334506199</v>
      </c>
      <c r="S112" s="113">
        <f t="shared" si="19"/>
        <v>569574615.20201111</v>
      </c>
      <c r="T112" s="458">
        <f t="shared" si="20"/>
        <v>11.329632510532713</v>
      </c>
    </row>
    <row r="113" spans="1:20">
      <c r="A113" s="116" t="str">
        <f t="shared" si="16"/>
        <v>7121p</v>
      </c>
      <c r="B113" s="551" t="str">
        <f>+VLOOKUP(LEFT($A113,LEN(A113)-1)*1,Master!$D$28:$G$227,4,FALSE)</f>
        <v>Doprinosi za penzijsko i invalidsko osiguranje</v>
      </c>
      <c r="C113" s="552"/>
      <c r="D113" s="552"/>
      <c r="E113" s="552"/>
      <c r="F113" s="552"/>
      <c r="G113" s="87">
        <f>+SUM(DataEx!FR228)</f>
        <v>9753677.1066540871</v>
      </c>
      <c r="H113" s="87">
        <f>+SUM(DataEx!FS228)</f>
        <v>25247995.638608895</v>
      </c>
      <c r="I113" s="87">
        <f>+SUM(DataEx!FT228)</f>
        <v>24560134.812409252</v>
      </c>
      <c r="J113" s="87">
        <f>+SUM(DataEx!FU228)</f>
        <v>43950798.51863493</v>
      </c>
      <c r="K113" s="87">
        <f>+SUM(DataEx!FV228)</f>
        <v>22692935.606279898</v>
      </c>
      <c r="L113" s="87">
        <f>+SUM(DataEx!FW228)</f>
        <v>27728025.490367297</v>
      </c>
      <c r="M113" s="87">
        <f>+SUM(DataEx!FX228)</f>
        <v>29734665.728275266</v>
      </c>
      <c r="N113" s="87">
        <f>+SUM(DataEx!FY228)</f>
        <v>28251243.506967958</v>
      </c>
      <c r="O113" s="87">
        <f>+SUM(DataEx!FZ228)</f>
        <v>27641975.548622753</v>
      </c>
      <c r="P113" s="87">
        <f>+SUM(DataEx!GA228)</f>
        <v>29323314.317518704</v>
      </c>
      <c r="Q113" s="87">
        <f>+SUM(DataEx!GB228)</f>
        <v>27964929.42093296</v>
      </c>
      <c r="R113" s="87">
        <f>+SUM(DataEx!GC228)</f>
        <v>54599579.934650965</v>
      </c>
      <c r="S113" s="112">
        <f t="shared" si="19"/>
        <v>351449275.62992293</v>
      </c>
      <c r="T113" s="457">
        <f t="shared" si="20"/>
        <v>6.9908156590997734</v>
      </c>
    </row>
    <row r="114" spans="1:20">
      <c r="A114" s="116" t="str">
        <f t="shared" si="16"/>
        <v>7122p</v>
      </c>
      <c r="B114" s="551" t="str">
        <f>+VLOOKUP(LEFT($A114,LEN(A114)-1)*1,Master!$D$28:$G$227,4,FALSE)</f>
        <v>Doprinosi za zdravstveno osiguranje</v>
      </c>
      <c r="C114" s="552"/>
      <c r="D114" s="552"/>
      <c r="E114" s="552"/>
      <c r="F114" s="552"/>
      <c r="G114" s="87">
        <f>+SUM(DataEx!FR229)</f>
        <v>5256146.905831675</v>
      </c>
      <c r="H114" s="87">
        <f>+SUM(DataEx!FS229)</f>
        <v>14597766.28354576</v>
      </c>
      <c r="I114" s="87">
        <f>+SUM(DataEx!FT229)</f>
        <v>14264533.110637551</v>
      </c>
      <c r="J114" s="87">
        <f>+SUM(DataEx!FU229)</f>
        <v>23884940.168937128</v>
      </c>
      <c r="K114" s="87">
        <f>+SUM(DataEx!FV229)</f>
        <v>12991990.821242537</v>
      </c>
      <c r="L114" s="87">
        <f>+SUM(DataEx!FW229)</f>
        <v>15373191.401835907</v>
      </c>
      <c r="M114" s="87">
        <f>+SUM(DataEx!FX229)</f>
        <v>16606376.199806731</v>
      </c>
      <c r="N114" s="87">
        <f>+SUM(DataEx!FY229)</f>
        <v>15310350.125251874</v>
      </c>
      <c r="O114" s="87">
        <f>+SUM(DataEx!FZ229)</f>
        <v>14498491.002978249</v>
      </c>
      <c r="P114" s="87">
        <f>+SUM(DataEx!GA229)</f>
        <v>14811904.639849145</v>
      </c>
      <c r="Q114" s="87">
        <f>+SUM(DataEx!GB229)</f>
        <v>13882878.988506734</v>
      </c>
      <c r="R114" s="87">
        <f>+SUM(DataEx!GC229)</f>
        <v>26337283.273071673</v>
      </c>
      <c r="S114" s="112">
        <f t="shared" si="19"/>
        <v>187815852.92149499</v>
      </c>
      <c r="T114" s="457">
        <f t="shared" si="20"/>
        <v>3.7359189410119744</v>
      </c>
    </row>
    <row r="115" spans="1:20">
      <c r="A115" s="116" t="str">
        <f t="shared" si="16"/>
        <v>7123p</v>
      </c>
      <c r="B115" s="551" t="str">
        <f>+VLOOKUP(LEFT($A115,LEN(A115)-1)*1,Master!$D$28:$G$227,4,FALSE)</f>
        <v>Doprinosi za osiguranje od nezaposlenosti</v>
      </c>
      <c r="C115" s="552"/>
      <c r="D115" s="552"/>
      <c r="E115" s="552"/>
      <c r="F115" s="552"/>
      <c r="G115" s="87">
        <f>+SUM(DataEx!FR230)</f>
        <v>473453.158457916</v>
      </c>
      <c r="H115" s="87">
        <f>+SUM(DataEx!FS230)</f>
        <v>1245019.9031552123</v>
      </c>
      <c r="I115" s="87">
        <f>+SUM(DataEx!FT230)</f>
        <v>1218679.9210013372</v>
      </c>
      <c r="J115" s="87">
        <f>+SUM(DataEx!FU230)</f>
        <v>1998933.8340953649</v>
      </c>
      <c r="K115" s="87">
        <f>+SUM(DataEx!FV230)</f>
        <v>1121012.6510790826</v>
      </c>
      <c r="L115" s="87">
        <f>+SUM(DataEx!FW230)</f>
        <v>1312015.54447653</v>
      </c>
      <c r="M115" s="87">
        <f>+SUM(DataEx!FX230)</f>
        <v>1413141.9482049055</v>
      </c>
      <c r="N115" s="87">
        <f>+SUM(DataEx!FY230)</f>
        <v>1348238.7551276963</v>
      </c>
      <c r="O115" s="87">
        <f>+SUM(DataEx!FZ230)</f>
        <v>1333394.0994209074</v>
      </c>
      <c r="P115" s="87">
        <f>+SUM(DataEx!GA230)</f>
        <v>1407047.2496787095</v>
      </c>
      <c r="Q115" s="87">
        <f>+SUM(DataEx!GB230)</f>
        <v>1322932.7166010505</v>
      </c>
      <c r="R115" s="87">
        <f>+SUM(DataEx!GC230)</f>
        <v>2554998.3125818875</v>
      </c>
      <c r="S115" s="112">
        <f t="shared" si="19"/>
        <v>16748868.093880599</v>
      </c>
      <c r="T115" s="457">
        <f t="shared" si="20"/>
        <v>0.33315831746425717</v>
      </c>
    </row>
    <row r="116" spans="1:20">
      <c r="A116" s="116" t="str">
        <f t="shared" si="16"/>
        <v>7124p</v>
      </c>
      <c r="B116" s="551" t="str">
        <f>+VLOOKUP(LEFT($A116,LEN(A116)-1)*1,Master!$D$28:$G$227,4,FALSE)</f>
        <v>Ostali doprinosi</v>
      </c>
      <c r="C116" s="552"/>
      <c r="D116" s="552"/>
      <c r="E116" s="552"/>
      <c r="F116" s="552"/>
      <c r="G116" s="87">
        <f>+SUM(DataEx!FR231)</f>
        <v>352445.99842058652</v>
      </c>
      <c r="H116" s="87">
        <f>+SUM(DataEx!FS231)</f>
        <v>960120.0768470125</v>
      </c>
      <c r="I116" s="87">
        <f>+SUM(DataEx!FT231)</f>
        <v>1122468.8108585002</v>
      </c>
      <c r="J116" s="87">
        <f>+SUM(DataEx!FU231)</f>
        <v>1625773.4254340553</v>
      </c>
      <c r="K116" s="87">
        <f>+SUM(DataEx!FV231)</f>
        <v>840138.59586867213</v>
      </c>
      <c r="L116" s="87">
        <f>+SUM(DataEx!FW231)</f>
        <v>1040784.1004575822</v>
      </c>
      <c r="M116" s="87">
        <f>+SUM(DataEx!FX231)</f>
        <v>1091724.493998257</v>
      </c>
      <c r="N116" s="87">
        <f>+SUM(DataEx!FY231)</f>
        <v>1051574.6311493963</v>
      </c>
      <c r="O116" s="87">
        <f>+SUM(DataEx!FZ231)</f>
        <v>1053194.6662019892</v>
      </c>
      <c r="P116" s="87">
        <f>+SUM(DataEx!GA231)</f>
        <v>1175949.7227624629</v>
      </c>
      <c r="Q116" s="87">
        <f>+SUM(DataEx!GB231)</f>
        <v>1086523.2205123967</v>
      </c>
      <c r="R116" s="87">
        <f>+SUM(DataEx!GC231)</f>
        <v>2159920.8142016884</v>
      </c>
      <c r="S116" s="112">
        <f t="shared" si="19"/>
        <v>13560618.556712599</v>
      </c>
      <c r="T116" s="457">
        <f t="shared" si="20"/>
        <v>0.26973959295670835</v>
      </c>
    </row>
    <row r="117" spans="1:20">
      <c r="A117" s="116" t="str">
        <f t="shared" si="16"/>
        <v>713p</v>
      </c>
      <c r="B117" s="562" t="str">
        <f>+VLOOKUP(LEFT($A117,LEN(A117)-1)*1,Master!$D$28:$G$227,4,FALSE)</f>
        <v>Takse</v>
      </c>
      <c r="C117" s="563"/>
      <c r="D117" s="563"/>
      <c r="E117" s="563"/>
      <c r="F117" s="563"/>
      <c r="G117" s="83">
        <f>+SUM(DataEx!FR232)</f>
        <v>838274.25244836276</v>
      </c>
      <c r="H117" s="83">
        <f>+SUM(DataEx!FS232)</f>
        <v>1031159.7172819173</v>
      </c>
      <c r="I117" s="83">
        <f>+SUM(DataEx!FT232)</f>
        <v>1058599.0247181079</v>
      </c>
      <c r="J117" s="83">
        <f>+SUM(DataEx!FU232)</f>
        <v>1278415.3274854394</v>
      </c>
      <c r="K117" s="83">
        <f>+SUM(DataEx!FV232)</f>
        <v>1186114.5213560322</v>
      </c>
      <c r="L117" s="83">
        <f>+SUM(DataEx!FW232)</f>
        <v>1223149.8772133829</v>
      </c>
      <c r="M117" s="83">
        <f>+SUM(DataEx!FX232)</f>
        <v>1820465.3980111273</v>
      </c>
      <c r="N117" s="83">
        <f>+SUM(DataEx!FY232)</f>
        <v>1567183.3935036326</v>
      </c>
      <c r="O117" s="83">
        <f>+SUM(DataEx!FZ232)</f>
        <v>1518874.003713707</v>
      </c>
      <c r="P117" s="83">
        <f>+SUM(DataEx!GA232)</f>
        <v>1325889.7849942853</v>
      </c>
      <c r="Q117" s="83">
        <f>+SUM(DataEx!GB232)</f>
        <v>984764.77375819325</v>
      </c>
      <c r="R117" s="83">
        <f>+SUM(DataEx!GC232)</f>
        <v>1304228.0724088144</v>
      </c>
      <c r="S117" s="113">
        <f t="shared" si="19"/>
        <v>15137118.146893002</v>
      </c>
      <c r="T117" s="458">
        <f t="shared" si="20"/>
        <v>0.30109836586026301</v>
      </c>
    </row>
    <row r="118" spans="1:20">
      <c r="A118" s="116" t="str">
        <f t="shared" si="16"/>
        <v>714p</v>
      </c>
      <c r="B118" s="562" t="str">
        <f>+VLOOKUP(LEFT($A118,LEN(A118)-1)*1,Master!$D$28:$G$227,4,FALSE)</f>
        <v>Naknade</v>
      </c>
      <c r="C118" s="563"/>
      <c r="D118" s="563"/>
      <c r="E118" s="563"/>
      <c r="F118" s="563"/>
      <c r="G118" s="83">
        <f>+SUM(DataEx!FR237)</f>
        <v>2127985.1400677105</v>
      </c>
      <c r="H118" s="83">
        <f>+SUM(DataEx!FS237)</f>
        <v>2815664.7061615512</v>
      </c>
      <c r="I118" s="83">
        <f>+SUM(DataEx!FT237)</f>
        <v>3702792.3992022369</v>
      </c>
      <c r="J118" s="83">
        <f>+SUM(DataEx!FU237)</f>
        <v>4622117.3107319139</v>
      </c>
      <c r="K118" s="83">
        <f>+SUM(DataEx!FV237)</f>
        <v>3096098.445869002</v>
      </c>
      <c r="L118" s="83">
        <f>+SUM(DataEx!FW237)</f>
        <v>3359690.6837037057</v>
      </c>
      <c r="M118" s="83">
        <f>+SUM(DataEx!FX237)</f>
        <v>4012029.6153947674</v>
      </c>
      <c r="N118" s="83">
        <f>+SUM(DataEx!FY237)</f>
        <v>3286215.8430469781</v>
      </c>
      <c r="O118" s="83">
        <f>+SUM(DataEx!FZ237)</f>
        <v>5654334.4343122868</v>
      </c>
      <c r="P118" s="83">
        <f>+SUM(DataEx!GA237)</f>
        <v>5777934.2539584497</v>
      </c>
      <c r="Q118" s="83">
        <f>+SUM(DataEx!GB237)</f>
        <v>5705295.0770046022</v>
      </c>
      <c r="R118" s="83">
        <f>+SUM(DataEx!GC237)</f>
        <v>77901626.409101993</v>
      </c>
      <c r="S118" s="113">
        <f t="shared" si="19"/>
        <v>122061784.31855521</v>
      </c>
      <c r="T118" s="458">
        <f t="shared" si="20"/>
        <v>2.4279789214599328</v>
      </c>
    </row>
    <row r="119" spans="1:20">
      <c r="A119" s="116" t="str">
        <f t="shared" si="16"/>
        <v>715p</v>
      </c>
      <c r="B119" s="562" t="str">
        <f>+VLOOKUP(LEFT($A119,LEN(A119)-1)*1,Master!$D$28:$G$227,4,FALSE)</f>
        <v>Ostali prihodi</v>
      </c>
      <c r="C119" s="563"/>
      <c r="D119" s="563"/>
      <c r="E119" s="563"/>
      <c r="F119" s="563"/>
      <c r="G119" s="83">
        <f>+SUM(DataEx!FR244)</f>
        <v>1330256.6509912466</v>
      </c>
      <c r="H119" s="83">
        <f>+SUM(DataEx!FS244)</f>
        <v>2455519.2816252089</v>
      </c>
      <c r="I119" s="83">
        <f>+SUM(DataEx!FT244)</f>
        <v>3531486.6926609674</v>
      </c>
      <c r="J119" s="83">
        <f>+SUM(DataEx!FU244)</f>
        <v>2559820.2618320761</v>
      </c>
      <c r="K119" s="83">
        <f>+SUM(DataEx!FV244)</f>
        <v>6350540.8870507348</v>
      </c>
      <c r="L119" s="83">
        <f>+SUM(DataEx!FW244)</f>
        <v>3812972.1399327824</v>
      </c>
      <c r="M119" s="83">
        <f>+SUM(DataEx!FX244)</f>
        <v>50910584.108463854</v>
      </c>
      <c r="N119" s="83">
        <f>+SUM(DataEx!FY244)</f>
        <v>3064596.0568633731</v>
      </c>
      <c r="O119" s="83">
        <f>+SUM(DataEx!FZ244)</f>
        <v>2335863.3949431945</v>
      </c>
      <c r="P119" s="83">
        <f>+SUM(DataEx!GA244)</f>
        <v>2676284.4099278194</v>
      </c>
      <c r="Q119" s="83">
        <f>+SUM(DataEx!GB244)</f>
        <v>2426469.1424762914</v>
      </c>
      <c r="R119" s="83">
        <f>+SUM(DataEx!GC244)</f>
        <v>4690123.8057052456</v>
      </c>
      <c r="S119" s="113">
        <f t="shared" si="19"/>
        <v>86144516.832472786</v>
      </c>
      <c r="T119" s="458">
        <f t="shared" si="20"/>
        <v>1.7135344386146198</v>
      </c>
    </row>
    <row r="120" spans="1:20">
      <c r="A120" s="116" t="str">
        <f t="shared" si="16"/>
        <v>73p</v>
      </c>
      <c r="B120" s="562" t="str">
        <f>+VLOOKUP(LEFT($A120,LEN(A120)-1)*1,Master!$D$28:$G$227,4,FALSE)</f>
        <v>Primici od otplate kredita i sredstva prenesena iz prethodne godine</v>
      </c>
      <c r="C120" s="563"/>
      <c r="D120" s="563"/>
      <c r="E120" s="563"/>
      <c r="F120" s="563"/>
      <c r="G120" s="83">
        <f>+SUM(DataEx!FR252)</f>
        <v>73937.02287171864</v>
      </c>
      <c r="H120" s="83">
        <f>+SUM(DataEx!FS252)</f>
        <v>404477.17367200274</v>
      </c>
      <c r="I120" s="83">
        <f>+SUM(DataEx!FT252)</f>
        <v>274940.89702216175</v>
      </c>
      <c r="J120" s="83">
        <f>+SUM(DataEx!FU252)</f>
        <v>9373366.9939747583</v>
      </c>
      <c r="K120" s="83">
        <f>+SUM(DataEx!FV252)</f>
        <v>864525.77272604418</v>
      </c>
      <c r="L120" s="83">
        <f>+SUM(DataEx!FW252)</f>
        <v>1388483.8816750895</v>
      </c>
      <c r="M120" s="83">
        <f>+SUM(DataEx!FX252)</f>
        <v>143951.6424026876</v>
      </c>
      <c r="N120" s="83">
        <f>+SUM(DataEx!FY252)</f>
        <v>1385329.832858559</v>
      </c>
      <c r="O120" s="83">
        <f>+SUM(DataEx!FZ252)</f>
        <v>196298.2666342413</v>
      </c>
      <c r="P120" s="83">
        <f>+SUM(DataEx!GA252)</f>
        <v>238698.26519018281</v>
      </c>
      <c r="Q120" s="83">
        <f>+SUM(DataEx!GB252)</f>
        <v>1545080.2961025378</v>
      </c>
      <c r="R120" s="83">
        <f>+SUM(DataEx!GC252)</f>
        <v>1784295.5729080152</v>
      </c>
      <c r="S120" s="113">
        <f t="shared" si="19"/>
        <v>17673385.618037995</v>
      </c>
      <c r="T120" s="458">
        <f t="shared" si="20"/>
        <v>0.3515482588673442</v>
      </c>
    </row>
    <row r="121" spans="1:20" ht="13.5" thickBot="1">
      <c r="A121" s="116" t="str">
        <f t="shared" si="16"/>
        <v>74p</v>
      </c>
      <c r="B121" s="564" t="str">
        <f>+VLOOKUP(LEFT($A121,LEN(A121)-1)*1,Master!$D$28:$G$227,4,FALSE)</f>
        <v>Donacije i transferi</v>
      </c>
      <c r="C121" s="565"/>
      <c r="D121" s="565"/>
      <c r="E121" s="565"/>
      <c r="F121" s="565"/>
      <c r="G121" s="83">
        <f>+SUM(DataEx!FR255)</f>
        <v>1020633.0174997598</v>
      </c>
      <c r="H121" s="83">
        <f>+SUM(DataEx!FS255)</f>
        <v>1586793.9118979024</v>
      </c>
      <c r="I121" s="83">
        <f>+SUM(DataEx!FT255)</f>
        <v>2466086.6494281176</v>
      </c>
      <c r="J121" s="83">
        <f>+SUM(DataEx!FU255)</f>
        <v>1994753.8066439503</v>
      </c>
      <c r="K121" s="83">
        <f>+SUM(DataEx!FV255)</f>
        <v>2202940.7343502743</v>
      </c>
      <c r="L121" s="83">
        <f>+SUM(DataEx!FW255)</f>
        <v>3279687.9321330618</v>
      </c>
      <c r="M121" s="83">
        <f>+SUM(DataEx!FX255)</f>
        <v>2618969.1946378555</v>
      </c>
      <c r="N121" s="83">
        <f>+SUM(DataEx!FY255)</f>
        <v>2931496.3146332828</v>
      </c>
      <c r="O121" s="83">
        <f>+SUM(DataEx!FZ255)</f>
        <v>4358936.8978506373</v>
      </c>
      <c r="P121" s="83">
        <f>+SUM(DataEx!GA255)</f>
        <v>3084629.7948894487</v>
      </c>
      <c r="Q121" s="83">
        <f>+SUM(DataEx!GB255)</f>
        <v>8677872.2426180262</v>
      </c>
      <c r="R121" s="83">
        <f>+SUM(DataEx!GC255)</f>
        <v>10413199.503417684</v>
      </c>
      <c r="S121" s="114">
        <f t="shared" si="19"/>
        <v>44636000</v>
      </c>
      <c r="T121" s="459">
        <f t="shared" si="20"/>
        <v>0.88787221769140501</v>
      </c>
    </row>
    <row r="122" spans="1:20" ht="13.5" thickBot="1">
      <c r="A122" s="116" t="str">
        <f t="shared" si="16"/>
        <v>4p</v>
      </c>
      <c r="B122" s="566" t="str">
        <f>+VLOOKUP(LEFT($A122,LEN(A122)-1)*1,Master!$D$28:$G$227,4,FALSE)</f>
        <v>Izdaci</v>
      </c>
      <c r="C122" s="567"/>
      <c r="D122" s="567"/>
      <c r="E122" s="567"/>
      <c r="F122" s="567"/>
      <c r="G122" s="93">
        <f t="shared" ref="G122:R122" si="22">+G123+G133+G139+SUM(G140:G144)</f>
        <v>183248022.56999999</v>
      </c>
      <c r="H122" s="93">
        <f t="shared" si="22"/>
        <v>185516550.24000001</v>
      </c>
      <c r="I122" s="93">
        <f t="shared" si="22"/>
        <v>201419720.75000003</v>
      </c>
      <c r="J122" s="93">
        <f t="shared" si="22"/>
        <v>188362392.50999999</v>
      </c>
      <c r="K122" s="93">
        <f t="shared" si="22"/>
        <v>165818497.27999997</v>
      </c>
      <c r="L122" s="93">
        <f t="shared" si="22"/>
        <v>171108266.16999999</v>
      </c>
      <c r="M122" s="93">
        <f t="shared" si="22"/>
        <v>173957445.42999998</v>
      </c>
      <c r="N122" s="93">
        <f t="shared" si="22"/>
        <v>164356526.47</v>
      </c>
      <c r="O122" s="93">
        <f t="shared" si="22"/>
        <v>167457675.06999999</v>
      </c>
      <c r="P122" s="93">
        <f t="shared" si="22"/>
        <v>177245726.50999999</v>
      </c>
      <c r="Q122" s="93">
        <f t="shared" si="22"/>
        <v>162510724.48000002</v>
      </c>
      <c r="R122" s="93">
        <f t="shared" si="22"/>
        <v>163318985.84000003</v>
      </c>
      <c r="S122" s="472">
        <f>+SUM(G122:R122)</f>
        <v>2104320533.3200002</v>
      </c>
      <c r="T122" s="473">
        <f t="shared" si="20"/>
        <v>41.857866714140798</v>
      </c>
    </row>
    <row r="123" spans="1:20">
      <c r="A123" s="116" t="str">
        <f t="shared" si="16"/>
        <v>41p</v>
      </c>
      <c r="B123" s="568" t="str">
        <f>+VLOOKUP(LEFT($A123,LEN(A123)-1)*1,Master!$D$28:$G$227,4,FALSE)</f>
        <v>Tekući izdaci</v>
      </c>
      <c r="C123" s="569"/>
      <c r="D123" s="569"/>
      <c r="E123" s="569"/>
      <c r="F123" s="569"/>
      <c r="G123" s="85">
        <f t="shared" ref="G123:R123" si="23">+SUM(G124:G132)</f>
        <v>73121776.390000001</v>
      </c>
      <c r="H123" s="85">
        <f t="shared" si="23"/>
        <v>71870828.99000001</v>
      </c>
      <c r="I123" s="85">
        <f t="shared" si="23"/>
        <v>95642253.130000025</v>
      </c>
      <c r="J123" s="85">
        <f t="shared" si="23"/>
        <v>87796650.030000016</v>
      </c>
      <c r="K123" s="85">
        <f t="shared" si="23"/>
        <v>64869388.919999987</v>
      </c>
      <c r="L123" s="85">
        <f t="shared" si="23"/>
        <v>69984443.599999994</v>
      </c>
      <c r="M123" s="85">
        <f t="shared" si="23"/>
        <v>73009274.849999994</v>
      </c>
      <c r="N123" s="85">
        <f t="shared" si="23"/>
        <v>65898586.389999993</v>
      </c>
      <c r="O123" s="85">
        <f t="shared" si="23"/>
        <v>66575045.359999999</v>
      </c>
      <c r="P123" s="85">
        <f t="shared" si="23"/>
        <v>81368521.700000003</v>
      </c>
      <c r="Q123" s="85">
        <f t="shared" si="23"/>
        <v>67724484.359999999</v>
      </c>
      <c r="R123" s="86">
        <f t="shared" si="23"/>
        <v>68615730.879999995</v>
      </c>
      <c r="S123" s="111">
        <f t="shared" si="19"/>
        <v>886476984.60000014</v>
      </c>
      <c r="T123" s="456">
        <f t="shared" si="20"/>
        <v>17.633262081037536</v>
      </c>
    </row>
    <row r="124" spans="1:20">
      <c r="A124" s="116" t="str">
        <f t="shared" si="16"/>
        <v>411p</v>
      </c>
      <c r="B124" s="551" t="str">
        <f>+VLOOKUP(LEFT($A124,LEN(A124)-1)*1,Master!$D$28:$G$227,4,FALSE)</f>
        <v>Bruto zarade i doprinosi na teret poslodavca</v>
      </c>
      <c r="C124" s="552"/>
      <c r="D124" s="552"/>
      <c r="E124" s="552"/>
      <c r="F124" s="552"/>
      <c r="G124" s="87">
        <f>+SUM(DataEx!FR264)</f>
        <v>42434580.240000002</v>
      </c>
      <c r="H124" s="87">
        <f>+SUM(DataEx!FS264)</f>
        <v>41847774.170000002</v>
      </c>
      <c r="I124" s="87">
        <f>+SUM(DataEx!FT264)</f>
        <v>41897572.5</v>
      </c>
      <c r="J124" s="87">
        <f>+SUM(DataEx!FU264)</f>
        <v>41897572.5</v>
      </c>
      <c r="K124" s="87">
        <f>+SUM(DataEx!FV264)</f>
        <v>41897572.5</v>
      </c>
      <c r="L124" s="87">
        <f>+SUM(DataEx!FW264)</f>
        <v>41897572.5</v>
      </c>
      <c r="M124" s="87">
        <f>+SUM(DataEx!FX264)</f>
        <v>41894572.5</v>
      </c>
      <c r="N124" s="87">
        <f>+SUM(DataEx!FY264)</f>
        <v>41416531.799999997</v>
      </c>
      <c r="O124" s="87">
        <f>+SUM(DataEx!FZ264)</f>
        <v>41894403.790000007</v>
      </c>
      <c r="P124" s="87">
        <f>+SUM(DataEx!GA264)</f>
        <v>41897572.5</v>
      </c>
      <c r="Q124" s="87">
        <f>+SUM(DataEx!GB264)</f>
        <v>41897572.5</v>
      </c>
      <c r="R124" s="87">
        <f>+SUM(DataEx!GC264)</f>
        <v>41897572.57</v>
      </c>
      <c r="S124" s="112">
        <f t="shared" si="19"/>
        <v>502770870.06999999</v>
      </c>
      <c r="T124" s="457">
        <f t="shared" si="20"/>
        <v>10.000812962624073</v>
      </c>
    </row>
    <row r="125" spans="1:20">
      <c r="A125" s="116" t="str">
        <f t="shared" si="16"/>
        <v>412p</v>
      </c>
      <c r="B125" s="551" t="str">
        <f>+VLOOKUP(LEFT($A125,LEN(A125)-1)*1,Master!$D$28:$G$227,4,FALSE)</f>
        <v>Ostala lična primanja</v>
      </c>
      <c r="C125" s="552"/>
      <c r="D125" s="552"/>
      <c r="E125" s="552"/>
      <c r="F125" s="552"/>
      <c r="G125" s="87">
        <f>+SUM(DataEx!FR270)</f>
        <v>1448675.27</v>
      </c>
      <c r="H125" s="87">
        <f>+SUM(DataEx!FS270)</f>
        <v>1561133.83</v>
      </c>
      <c r="I125" s="87">
        <f>+SUM(DataEx!FT270)</f>
        <v>1445828.82</v>
      </c>
      <c r="J125" s="87">
        <f>+SUM(DataEx!FU270)</f>
        <v>1391393.49</v>
      </c>
      <c r="K125" s="87">
        <f>+SUM(DataEx!FV270)</f>
        <v>1377640.0499999998</v>
      </c>
      <c r="L125" s="87">
        <f>+SUM(DataEx!FW270)</f>
        <v>1378631.17</v>
      </c>
      <c r="M125" s="87">
        <f>+SUM(DataEx!FX270)</f>
        <v>1433162.28</v>
      </c>
      <c r="N125" s="87">
        <f>+SUM(DataEx!FY270)</f>
        <v>1393806.43</v>
      </c>
      <c r="O125" s="87">
        <f>+SUM(DataEx!FZ270)</f>
        <v>1393671.53</v>
      </c>
      <c r="P125" s="87">
        <f>+SUM(DataEx!GA270)</f>
        <v>1395138.18</v>
      </c>
      <c r="Q125" s="87">
        <f>+SUM(DataEx!GB270)</f>
        <v>1394593.29</v>
      </c>
      <c r="R125" s="87">
        <f>+SUM(DataEx!GC270)</f>
        <v>1396820.3399999999</v>
      </c>
      <c r="S125" s="112">
        <f t="shared" si="19"/>
        <v>17010494.679999996</v>
      </c>
      <c r="T125" s="457">
        <f t="shared" si="20"/>
        <v>0.3383624347065024</v>
      </c>
    </row>
    <row r="126" spans="1:20">
      <c r="A126" s="116" t="str">
        <f t="shared" si="16"/>
        <v>413p</v>
      </c>
      <c r="B126" s="551" t="str">
        <f>+VLOOKUP(LEFT($A126,LEN(A126)-1)*1,Master!$D$28:$G$227,4,FALSE)</f>
        <v>Rashodi za materijal</v>
      </c>
      <c r="C126" s="552"/>
      <c r="D126" s="552"/>
      <c r="E126" s="552"/>
      <c r="F126" s="552"/>
      <c r="G126" s="87">
        <f>+SUM(DataEx!FR278)</f>
        <v>2913477.5999999996</v>
      </c>
      <c r="H126" s="87">
        <f>+SUM(DataEx!FS278)</f>
        <v>4599941.68</v>
      </c>
      <c r="I126" s="87">
        <f>+SUM(DataEx!FT278)</f>
        <v>2843521.78</v>
      </c>
      <c r="J126" s="87">
        <f>+SUM(DataEx!FU278)</f>
        <v>3026563.65</v>
      </c>
      <c r="K126" s="87">
        <f>+SUM(DataEx!FV278)</f>
        <v>2920958.79</v>
      </c>
      <c r="L126" s="87">
        <f>+SUM(DataEx!FW278)</f>
        <v>3043164.1899999995</v>
      </c>
      <c r="M126" s="87">
        <f>+SUM(DataEx!FX278)</f>
        <v>3045456.5199999996</v>
      </c>
      <c r="N126" s="87">
        <f>+SUM(DataEx!FY278)</f>
        <v>3251568.8699999996</v>
      </c>
      <c r="O126" s="87">
        <f>+SUM(DataEx!FZ278)</f>
        <v>3041875.55</v>
      </c>
      <c r="P126" s="87">
        <f>+SUM(DataEx!GA278)</f>
        <v>3030231.67</v>
      </c>
      <c r="Q126" s="87">
        <f>+SUM(DataEx!GB278)</f>
        <v>2979256.38</v>
      </c>
      <c r="R126" s="87">
        <f>+SUM(DataEx!GC278)</f>
        <v>2918296.34</v>
      </c>
      <c r="S126" s="112">
        <f t="shared" si="19"/>
        <v>37614313.019999996</v>
      </c>
      <c r="T126" s="457">
        <f t="shared" si="20"/>
        <v>0.74820108248960659</v>
      </c>
    </row>
    <row r="127" spans="1:20">
      <c r="A127" s="116" t="str">
        <f t="shared" si="16"/>
        <v>414p</v>
      </c>
      <c r="B127" s="551" t="str">
        <f>+VLOOKUP(LEFT($A127,LEN(A127)-1)*1,Master!$D$28:$G$227,4,FALSE)</f>
        <v>Rashodi za usluge</v>
      </c>
      <c r="C127" s="552"/>
      <c r="D127" s="552"/>
      <c r="E127" s="552"/>
      <c r="F127" s="552"/>
      <c r="G127" s="87">
        <f>+SUM(DataEx!FR285)</f>
        <v>8019348.2499999981</v>
      </c>
      <c r="H127" s="87">
        <f>+SUM(DataEx!FS285)</f>
        <v>8893323</v>
      </c>
      <c r="I127" s="87">
        <f>+SUM(DataEx!FT285)</f>
        <v>8029537.5599999996</v>
      </c>
      <c r="J127" s="87">
        <f>+SUM(DataEx!FU285)</f>
        <v>7480808.8299999991</v>
      </c>
      <c r="K127" s="87">
        <f>+SUM(DataEx!FV285)</f>
        <v>7364420.5999999996</v>
      </c>
      <c r="L127" s="87">
        <f>+SUM(DataEx!FW285)</f>
        <v>6977502.8499999996</v>
      </c>
      <c r="M127" s="87">
        <f>+SUM(DataEx!FX285)</f>
        <v>7618217.8999999994</v>
      </c>
      <c r="N127" s="87">
        <f>+SUM(DataEx!FY285)</f>
        <v>7591097.3899999997</v>
      </c>
      <c r="O127" s="87">
        <f>+SUM(DataEx!FZ285)</f>
        <v>7567244.7899999991</v>
      </c>
      <c r="P127" s="87">
        <f>+SUM(DataEx!GA285)</f>
        <v>7318936.6699999999</v>
      </c>
      <c r="Q127" s="87">
        <f>+SUM(DataEx!GB285)</f>
        <v>7329719.0700000003</v>
      </c>
      <c r="R127" s="87">
        <f>+SUM(DataEx!GC285)</f>
        <v>7250078.3400000008</v>
      </c>
      <c r="S127" s="112">
        <f t="shared" si="19"/>
        <v>91440235.25</v>
      </c>
      <c r="T127" s="457">
        <f t="shared" si="20"/>
        <v>1.8188736548445488</v>
      </c>
    </row>
    <row r="128" spans="1:20">
      <c r="A128" s="116" t="str">
        <f t="shared" si="16"/>
        <v>415p</v>
      </c>
      <c r="B128" s="551" t="str">
        <f>+VLOOKUP(LEFT($A128,LEN(A128)-1)*1,Master!$D$28:$G$227,4,FALSE)</f>
        <v>Rashodi za tekuće održavanje</v>
      </c>
      <c r="C128" s="552"/>
      <c r="D128" s="552"/>
      <c r="E128" s="552"/>
      <c r="F128" s="552"/>
      <c r="G128" s="87">
        <f>+SUM(DataEx!FR295)</f>
        <v>2286478.65</v>
      </c>
      <c r="H128" s="87">
        <f>+SUM(DataEx!FS295)</f>
        <v>2696315.32</v>
      </c>
      <c r="I128" s="87">
        <f>+SUM(DataEx!FT295)</f>
        <v>2201685.66</v>
      </c>
      <c r="J128" s="87">
        <f>+SUM(DataEx!FU295)</f>
        <v>2099351.77</v>
      </c>
      <c r="K128" s="87">
        <f>+SUM(DataEx!FV295)</f>
        <v>2095618.4400000002</v>
      </c>
      <c r="L128" s="87">
        <f>+SUM(DataEx!FW295)</f>
        <v>2114652.44</v>
      </c>
      <c r="M128" s="87">
        <f>+SUM(DataEx!FX295)</f>
        <v>2156960.7999999998</v>
      </c>
      <c r="N128" s="87">
        <f>+SUM(DataEx!FY295)</f>
        <v>2238795.79</v>
      </c>
      <c r="O128" s="87">
        <f>+SUM(DataEx!FZ295)</f>
        <v>2144222.69</v>
      </c>
      <c r="P128" s="87">
        <f>+SUM(DataEx!GA295)</f>
        <v>2082319.17</v>
      </c>
      <c r="Q128" s="87">
        <f>+SUM(DataEx!GB295)</f>
        <v>2095277.52</v>
      </c>
      <c r="R128" s="87">
        <f>+SUM(DataEx!GC295)</f>
        <v>2062841.6800000002</v>
      </c>
      <c r="S128" s="112">
        <f t="shared" si="19"/>
        <v>26274519.929999996</v>
      </c>
      <c r="T128" s="457">
        <f t="shared" si="20"/>
        <v>0.52263680166292037</v>
      </c>
    </row>
    <row r="129" spans="1:20">
      <c r="A129" s="116" t="str">
        <f t="shared" si="16"/>
        <v>416p</v>
      </c>
      <c r="B129" s="551" t="str">
        <f>+VLOOKUP(LEFT($A129,LEN(A129)-1)*1,Master!$D$28:$G$227,4,FALSE)</f>
        <v>Kamate</v>
      </c>
      <c r="C129" s="552"/>
      <c r="D129" s="552"/>
      <c r="E129" s="552"/>
      <c r="F129" s="552"/>
      <c r="G129" s="87">
        <f>+SUM(DataEx!FR299)</f>
        <v>7335723.4099999992</v>
      </c>
      <c r="H129" s="87">
        <f>+SUM(DataEx!FS299)</f>
        <v>928779.86</v>
      </c>
      <c r="I129" s="87">
        <f>+SUM(DataEx!FT299)</f>
        <v>28199649.48</v>
      </c>
      <c r="J129" s="87">
        <f>+SUM(DataEx!FU299)</f>
        <v>23249046.659999996</v>
      </c>
      <c r="K129" s="87">
        <f>+SUM(DataEx!FV299)</f>
        <v>1037535.54</v>
      </c>
      <c r="L129" s="87">
        <f>+SUM(DataEx!FW299)</f>
        <v>5389892.4699999997</v>
      </c>
      <c r="M129" s="87">
        <f>+SUM(DataEx!FX299)</f>
        <v>7774686.2800000003</v>
      </c>
      <c r="N129" s="87">
        <f>+SUM(DataEx!FY299)</f>
        <v>978609.86</v>
      </c>
      <c r="O129" s="87">
        <f>+SUM(DataEx!FZ299)</f>
        <v>2382646</v>
      </c>
      <c r="P129" s="87">
        <f>+SUM(DataEx!GA299)</f>
        <v>17563137.57</v>
      </c>
      <c r="Q129" s="87">
        <f>+SUM(DataEx!GB299)</f>
        <v>4162851.0300000003</v>
      </c>
      <c r="R129" s="87">
        <f>+SUM(DataEx!GC299)</f>
        <v>5247085.92</v>
      </c>
      <c r="S129" s="112">
        <f t="shared" si="19"/>
        <v>104249644.08</v>
      </c>
      <c r="T129" s="457">
        <f t="shared" si="20"/>
        <v>2.0736706399061124</v>
      </c>
    </row>
    <row r="130" spans="1:20">
      <c r="A130" s="116" t="str">
        <f t="shared" si="16"/>
        <v>417p</v>
      </c>
      <c r="B130" s="551" t="str">
        <f>+VLOOKUP(LEFT($A130,LEN(A130)-1)*1,Master!$D$28:$G$227,4,FALSE)</f>
        <v>Renta</v>
      </c>
      <c r="C130" s="552"/>
      <c r="D130" s="552"/>
      <c r="E130" s="552"/>
      <c r="F130" s="552"/>
      <c r="G130" s="87">
        <f>+SUM(DataEx!FR302)</f>
        <v>945137.55</v>
      </c>
      <c r="H130" s="87">
        <f>+SUM(DataEx!FS302)</f>
        <v>912063.00000000012</v>
      </c>
      <c r="I130" s="87">
        <f>+SUM(DataEx!FT302)</f>
        <v>901321.29</v>
      </c>
      <c r="J130" s="87">
        <f>+SUM(DataEx!FU302)</f>
        <v>900771.29</v>
      </c>
      <c r="K130" s="87">
        <f>+SUM(DataEx!FV302)</f>
        <v>900771.29</v>
      </c>
      <c r="L130" s="87">
        <f>+SUM(DataEx!FW302)</f>
        <v>900771.31</v>
      </c>
      <c r="M130" s="87">
        <f>+SUM(DataEx!FX302)</f>
        <v>905771.31000000017</v>
      </c>
      <c r="N130" s="87">
        <f>+SUM(DataEx!FY302)</f>
        <v>898771.30000000016</v>
      </c>
      <c r="O130" s="87">
        <f>+SUM(DataEx!FZ302)</f>
        <v>898756.30000000016</v>
      </c>
      <c r="P130" s="87">
        <f>+SUM(DataEx!GA302)</f>
        <v>895696.31000000017</v>
      </c>
      <c r="Q130" s="87">
        <f>+SUM(DataEx!GB302)</f>
        <v>885862.9800000001</v>
      </c>
      <c r="R130" s="87">
        <f>+SUM(DataEx!GC302)</f>
        <v>885862.83</v>
      </c>
      <c r="S130" s="112">
        <f t="shared" si="19"/>
        <v>10831556.760000002</v>
      </c>
      <c r="T130" s="457">
        <f t="shared" si="20"/>
        <v>0.21545475225270028</v>
      </c>
    </row>
    <row r="131" spans="1:20">
      <c r="A131" s="116" t="str">
        <f t="shared" si="16"/>
        <v>418p</v>
      </c>
      <c r="B131" s="551" t="str">
        <f>+VLOOKUP(LEFT($A131,LEN(A131)-1)*1,Master!$D$28:$G$227,4,FALSE)</f>
        <v>Subvencije</v>
      </c>
      <c r="C131" s="552"/>
      <c r="D131" s="552"/>
      <c r="E131" s="552"/>
      <c r="F131" s="552"/>
      <c r="G131" s="87">
        <f>+SUM(DataEx!FR306)</f>
        <v>3622778.29</v>
      </c>
      <c r="H131" s="87">
        <f>+SUM(DataEx!FS306)</f>
        <v>3639444.95</v>
      </c>
      <c r="I131" s="87">
        <f>+SUM(DataEx!FT306)</f>
        <v>3925861.62</v>
      </c>
      <c r="J131" s="87">
        <f>+SUM(DataEx!FU306)</f>
        <v>3925861.62</v>
      </c>
      <c r="K131" s="87">
        <f>+SUM(DataEx!FV306)</f>
        <v>3672111.62</v>
      </c>
      <c r="L131" s="87">
        <f>+SUM(DataEx!FW306)</f>
        <v>3472111.62</v>
      </c>
      <c r="M131" s="87">
        <f>+SUM(DataEx!FX306)</f>
        <v>3355444.96</v>
      </c>
      <c r="N131" s="87">
        <f>+SUM(DataEx!FY306)</f>
        <v>3355444.96</v>
      </c>
      <c r="O131" s="87">
        <f>+SUM(DataEx!FZ306)</f>
        <v>3455444.97</v>
      </c>
      <c r="P131" s="87">
        <f>+SUM(DataEx!GA306)</f>
        <v>3555444.97</v>
      </c>
      <c r="Q131" s="87">
        <f>+SUM(DataEx!GB306)</f>
        <v>3455444.97</v>
      </c>
      <c r="R131" s="87">
        <f>+SUM(DataEx!GC306)</f>
        <v>3307944.98</v>
      </c>
      <c r="S131" s="112">
        <f t="shared" si="19"/>
        <v>42743339.530000001</v>
      </c>
      <c r="T131" s="457">
        <f t="shared" si="20"/>
        <v>0.85022456447795047</v>
      </c>
    </row>
    <row r="132" spans="1:20">
      <c r="A132" s="116" t="str">
        <f t="shared" si="16"/>
        <v>419p</v>
      </c>
      <c r="B132" s="551" t="str">
        <f>+VLOOKUP(LEFT($A132,LEN(A132)-1)*1,Master!$D$28:$G$227,4,FALSE)</f>
        <v>Ostali izdaci</v>
      </c>
      <c r="C132" s="552"/>
      <c r="D132" s="552"/>
      <c r="E132" s="552"/>
      <c r="F132" s="552"/>
      <c r="G132" s="87">
        <f>+SUM(DataEx!FR310)</f>
        <v>4115577.13</v>
      </c>
      <c r="H132" s="87">
        <f>+SUM(DataEx!FS310)</f>
        <v>6792053.1799999997</v>
      </c>
      <c r="I132" s="87">
        <f>+SUM(DataEx!FT310)</f>
        <v>6197274.4199999999</v>
      </c>
      <c r="J132" s="87">
        <f>+SUM(DataEx!FU310)</f>
        <v>3825280.2199999997</v>
      </c>
      <c r="K132" s="87">
        <f>+SUM(DataEx!FV310)</f>
        <v>3602760.09</v>
      </c>
      <c r="L132" s="87">
        <f>+SUM(DataEx!FW310)</f>
        <v>4810145.05</v>
      </c>
      <c r="M132" s="87">
        <f>+SUM(DataEx!FX310)</f>
        <v>4825002.3</v>
      </c>
      <c r="N132" s="87">
        <f>+SUM(DataEx!FY310)</f>
        <v>4773959.99</v>
      </c>
      <c r="O132" s="87">
        <f>+SUM(DataEx!FZ310)</f>
        <v>3796779.7399999998</v>
      </c>
      <c r="P132" s="87">
        <f>+SUM(DataEx!GA310)</f>
        <v>3630044.6599999997</v>
      </c>
      <c r="Q132" s="87">
        <f>+SUM(DataEx!GB310)</f>
        <v>3523906.6199999996</v>
      </c>
      <c r="R132" s="87">
        <f>+SUM(DataEx!GC310)</f>
        <v>3649227.88</v>
      </c>
      <c r="S132" s="112">
        <f t="shared" si="19"/>
        <v>53542011.279999994</v>
      </c>
      <c r="T132" s="457">
        <f t="shared" si="20"/>
        <v>1.0650251880731205</v>
      </c>
    </row>
    <row r="133" spans="1:20">
      <c r="A133" s="116" t="str">
        <f t="shared" si="16"/>
        <v>42p</v>
      </c>
      <c r="B133" s="570" t="str">
        <f>+VLOOKUP(LEFT($A133,LEN(A133)-1)*1,Master!$D$28:$G$227,4,FALSE)</f>
        <v>Transferi za socijalnu zaštitu</v>
      </c>
      <c r="C133" s="571"/>
      <c r="D133" s="571"/>
      <c r="E133" s="571"/>
      <c r="F133" s="571"/>
      <c r="G133" s="84">
        <f t="shared" ref="G133:R133" si="24">+SUM(G134:G138)</f>
        <v>47723189.039999999</v>
      </c>
      <c r="H133" s="84">
        <f t="shared" si="24"/>
        <v>48997792.730000004</v>
      </c>
      <c r="I133" s="84">
        <f t="shared" si="24"/>
        <v>48715192.849999994</v>
      </c>
      <c r="J133" s="84">
        <f t="shared" si="24"/>
        <v>48715192.829999998</v>
      </c>
      <c r="K133" s="84">
        <f t="shared" si="24"/>
        <v>48715192.829999998</v>
      </c>
      <c r="L133" s="84">
        <f t="shared" si="24"/>
        <v>48715192.82</v>
      </c>
      <c r="M133" s="84">
        <f t="shared" si="24"/>
        <v>48715192.829999998</v>
      </c>
      <c r="N133" s="84">
        <f t="shared" si="24"/>
        <v>48715192.840000004</v>
      </c>
      <c r="O133" s="84">
        <f t="shared" si="24"/>
        <v>48715192.840000004</v>
      </c>
      <c r="P133" s="84">
        <f t="shared" si="24"/>
        <v>46644429.549999997</v>
      </c>
      <c r="Q133" s="84">
        <f t="shared" si="24"/>
        <v>46644429.880000003</v>
      </c>
      <c r="R133" s="84">
        <f t="shared" si="24"/>
        <v>46644429.670000009</v>
      </c>
      <c r="S133" s="113">
        <f t="shared" si="19"/>
        <v>577660620.71000004</v>
      </c>
      <c r="T133" s="458">
        <f t="shared" si="20"/>
        <v>11.490474423845802</v>
      </c>
    </row>
    <row r="134" spans="1:20">
      <c r="A134" s="116" t="str">
        <f t="shared" si="16"/>
        <v>421p</v>
      </c>
      <c r="B134" s="551" t="str">
        <f>+VLOOKUP(LEFT($A134,LEN(A134)-1)*1,Master!$D$28:$G$227,4,FALSE)</f>
        <v>Prava iz oblasti socijalne zaštite</v>
      </c>
      <c r="C134" s="552"/>
      <c r="D134" s="552"/>
      <c r="E134" s="552"/>
      <c r="F134" s="552"/>
      <c r="G134" s="87">
        <f>SUM(DataEx!FR321)</f>
        <v>6449804</v>
      </c>
      <c r="H134" s="87">
        <f>SUM(DataEx!FS321)</f>
        <v>7724407.6900000004</v>
      </c>
      <c r="I134" s="87">
        <f>SUM(DataEx!FT321)</f>
        <v>7441807.8099999996</v>
      </c>
      <c r="J134" s="87">
        <f>SUM(DataEx!FU321)</f>
        <v>7441807.79</v>
      </c>
      <c r="K134" s="87">
        <f>SUM(DataEx!FV321)</f>
        <v>7441807.79</v>
      </c>
      <c r="L134" s="87">
        <f>SUM(DataEx!FW321)</f>
        <v>7441807.7800000003</v>
      </c>
      <c r="M134" s="87">
        <f>SUM(DataEx!FX321)</f>
        <v>7441807.79</v>
      </c>
      <c r="N134" s="87">
        <f>SUM(DataEx!FY321)</f>
        <v>7441807.7999999998</v>
      </c>
      <c r="O134" s="87">
        <f>SUM(DataEx!FZ321)</f>
        <v>7441807.7999999998</v>
      </c>
      <c r="P134" s="87">
        <f>SUM(DataEx!GA321)</f>
        <v>5371044.5099999998</v>
      </c>
      <c r="Q134" s="87">
        <f>SUM(DataEx!GB321)</f>
        <v>5371044.8400000008</v>
      </c>
      <c r="R134" s="87">
        <f>SUM(DataEx!GC321)</f>
        <v>5371044.4000000004</v>
      </c>
      <c r="S134" s="112">
        <f t="shared" si="19"/>
        <v>82380000</v>
      </c>
      <c r="T134" s="457">
        <f t="shared" si="20"/>
        <v>1.638652954866429</v>
      </c>
    </row>
    <row r="135" spans="1:20">
      <c r="A135" s="116" t="str">
        <f t="shared" si="16"/>
        <v>422p</v>
      </c>
      <c r="B135" s="551" t="str">
        <f>+VLOOKUP(LEFT($A135,LEN(A135)-1)*1,Master!$D$28:$G$227,4,FALSE)</f>
        <v>Sredstva za tehnološke viškove</v>
      </c>
      <c r="C135" s="552"/>
      <c r="D135" s="552"/>
      <c r="E135" s="552"/>
      <c r="F135" s="552"/>
      <c r="G135" s="87">
        <f>SUM(DataEx!FR330)</f>
        <v>1873352</v>
      </c>
      <c r="H135" s="87">
        <f>SUM(DataEx!FS330)</f>
        <v>1873352</v>
      </c>
      <c r="I135" s="87">
        <f>SUM(DataEx!FT330)</f>
        <v>1873352</v>
      </c>
      <c r="J135" s="87">
        <f>SUM(DataEx!FU330)</f>
        <v>1873352</v>
      </c>
      <c r="K135" s="87">
        <f>SUM(DataEx!FV330)</f>
        <v>1873352</v>
      </c>
      <c r="L135" s="87">
        <f>SUM(DataEx!FW330)</f>
        <v>1873352</v>
      </c>
      <c r="M135" s="87">
        <f>SUM(DataEx!FX330)</f>
        <v>1873352</v>
      </c>
      <c r="N135" s="87">
        <f>SUM(DataEx!FY330)</f>
        <v>1873352</v>
      </c>
      <c r="O135" s="87">
        <f>SUM(DataEx!FZ330)</f>
        <v>1873352</v>
      </c>
      <c r="P135" s="87">
        <f>SUM(DataEx!GA330)</f>
        <v>1873352</v>
      </c>
      <c r="Q135" s="87">
        <f>SUM(DataEx!GB330)</f>
        <v>1873352</v>
      </c>
      <c r="R135" s="87">
        <f>SUM(DataEx!GC330)</f>
        <v>1873352.1700000002</v>
      </c>
      <c r="S135" s="112">
        <f t="shared" si="19"/>
        <v>22480224.170000002</v>
      </c>
      <c r="T135" s="457">
        <f t="shared" si="20"/>
        <v>0.44716297356433876</v>
      </c>
    </row>
    <row r="136" spans="1:20">
      <c r="A136" s="116" t="str">
        <f t="shared" si="16"/>
        <v>423p</v>
      </c>
      <c r="B136" s="551" t="str">
        <f>+VLOOKUP(LEFT($A136,LEN(A136)-1)*1,Master!$D$28:$G$227,4,FALSE)</f>
        <v>Prava iz oblasti penzijskog i invalidskog osiguranja</v>
      </c>
      <c r="C136" s="552"/>
      <c r="D136" s="552"/>
      <c r="E136" s="552"/>
      <c r="F136" s="552"/>
      <c r="G136" s="87">
        <f>SUM(DataEx!FR336)</f>
        <v>36847949.539999999</v>
      </c>
      <c r="H136" s="87">
        <f>SUM(DataEx!FS336)</f>
        <v>36847949.539999999</v>
      </c>
      <c r="I136" s="87">
        <f>SUM(DataEx!FT336)</f>
        <v>36847949.539999999</v>
      </c>
      <c r="J136" s="87">
        <f>SUM(DataEx!FU336)</f>
        <v>36847949.539999999</v>
      </c>
      <c r="K136" s="87">
        <f>SUM(DataEx!FV336)</f>
        <v>36847949.539999999</v>
      </c>
      <c r="L136" s="87">
        <f>SUM(DataEx!FW336)</f>
        <v>36847949.539999999</v>
      </c>
      <c r="M136" s="87">
        <f>SUM(DataEx!FX336)</f>
        <v>36847949.539999999</v>
      </c>
      <c r="N136" s="87">
        <f>SUM(DataEx!FY336)</f>
        <v>36847949.539999999</v>
      </c>
      <c r="O136" s="87">
        <f>SUM(DataEx!FZ336)</f>
        <v>36847949.539999999</v>
      </c>
      <c r="P136" s="87">
        <f>SUM(DataEx!GA336)</f>
        <v>36847949.539999999</v>
      </c>
      <c r="Q136" s="87">
        <f>SUM(DataEx!GB336)</f>
        <v>36847949.539999999</v>
      </c>
      <c r="R136" s="87">
        <f>SUM(DataEx!GC336)</f>
        <v>36847949.600000009</v>
      </c>
      <c r="S136" s="112">
        <f t="shared" si="19"/>
        <v>442175394.54000008</v>
      </c>
      <c r="T136" s="457">
        <f t="shared" si="20"/>
        <v>8.7954845451833013</v>
      </c>
    </row>
    <row r="137" spans="1:20">
      <c r="A137" s="116" t="str">
        <f t="shared" si="16"/>
        <v>424p</v>
      </c>
      <c r="B137" s="551" t="str">
        <f>+VLOOKUP(LEFT($A137,LEN(A137)-1)*1,Master!$D$28:$G$227,4,FALSE)</f>
        <v>Ostala prava iz oblasti zdravstvene zaštite</v>
      </c>
      <c r="C137" s="552"/>
      <c r="D137" s="552"/>
      <c r="E137" s="552"/>
      <c r="F137" s="552"/>
      <c r="G137" s="87">
        <f>SUM(DataEx!FR344)</f>
        <v>1666666.75</v>
      </c>
      <c r="H137" s="87">
        <f>SUM(DataEx!FS344)</f>
        <v>1666666.75</v>
      </c>
      <c r="I137" s="87">
        <f>SUM(DataEx!FT344)</f>
        <v>1666666.75</v>
      </c>
      <c r="J137" s="87">
        <f>SUM(DataEx!FU344)</f>
        <v>1666666.75</v>
      </c>
      <c r="K137" s="87">
        <f>SUM(DataEx!FV344)</f>
        <v>1666666.75</v>
      </c>
      <c r="L137" s="87">
        <f>SUM(DataEx!FW344)</f>
        <v>1666666.75</v>
      </c>
      <c r="M137" s="87">
        <f>SUM(DataEx!FX344)</f>
        <v>1666666.75</v>
      </c>
      <c r="N137" s="87">
        <f>SUM(DataEx!FY344)</f>
        <v>1666666.75</v>
      </c>
      <c r="O137" s="87">
        <f>SUM(DataEx!FZ344)</f>
        <v>1666666.75</v>
      </c>
      <c r="P137" s="87">
        <f>SUM(DataEx!GA344)</f>
        <v>1666666.75</v>
      </c>
      <c r="Q137" s="87">
        <f>SUM(DataEx!GB344)</f>
        <v>1666666.75</v>
      </c>
      <c r="R137" s="87">
        <f>SUM(DataEx!GC344)</f>
        <v>1666666.75</v>
      </c>
      <c r="S137" s="112">
        <f t="shared" si="19"/>
        <v>20000001</v>
      </c>
      <c r="T137" s="457">
        <f t="shared" si="20"/>
        <v>0.3978278797764207</v>
      </c>
    </row>
    <row r="138" spans="1:20">
      <c r="A138" s="116" t="str">
        <f t="shared" si="16"/>
        <v>425p</v>
      </c>
      <c r="B138" s="551" t="str">
        <f>+VLOOKUP(LEFT($A138,LEN(A138)-1)*1,Master!$D$28:$G$227,4,FALSE)</f>
        <v>Ostala prava iz zdravstvenog osiguranja</v>
      </c>
      <c r="C138" s="552"/>
      <c r="D138" s="552"/>
      <c r="E138" s="552"/>
      <c r="F138" s="552"/>
      <c r="G138" s="87">
        <f>SUM(DataEx!FR346)</f>
        <v>885416.75</v>
      </c>
      <c r="H138" s="87">
        <f>SUM(DataEx!FS346)</f>
        <v>885416.75</v>
      </c>
      <c r="I138" s="87">
        <f>SUM(DataEx!FT346)</f>
        <v>885416.75</v>
      </c>
      <c r="J138" s="87">
        <f>SUM(DataEx!FU346)</f>
        <v>885416.75</v>
      </c>
      <c r="K138" s="87">
        <f>SUM(DataEx!FV346)</f>
        <v>885416.75</v>
      </c>
      <c r="L138" s="87">
        <f>SUM(DataEx!FW346)</f>
        <v>885416.75</v>
      </c>
      <c r="M138" s="87">
        <f>SUM(DataEx!FX346)</f>
        <v>885416.75</v>
      </c>
      <c r="N138" s="87">
        <f>SUM(DataEx!FY346)</f>
        <v>885416.75</v>
      </c>
      <c r="O138" s="87">
        <f>SUM(DataEx!FZ346)</f>
        <v>885416.75</v>
      </c>
      <c r="P138" s="87">
        <f>SUM(DataEx!GA346)</f>
        <v>885416.75</v>
      </c>
      <c r="Q138" s="87">
        <f>SUM(DataEx!GB346)</f>
        <v>885416.75</v>
      </c>
      <c r="R138" s="87">
        <f>SUM(DataEx!GC346)</f>
        <v>885416.75</v>
      </c>
      <c r="S138" s="112">
        <f t="shared" si="19"/>
        <v>10625001</v>
      </c>
      <c r="T138" s="457">
        <f t="shared" si="20"/>
        <v>0.21134607045531401</v>
      </c>
    </row>
    <row r="139" spans="1:20">
      <c r="A139" s="116" t="str">
        <f t="shared" si="16"/>
        <v>43p</v>
      </c>
      <c r="B139" s="576" t="str">
        <f>+VLOOKUP(LEFT($A139,LEN(A139)-1)*1,Master!$D$28:$G$227,4,FALSE)</f>
        <v xml:space="preserve">Transferi institucijama, pojedincima, nevladinom i javnom sektoru </v>
      </c>
      <c r="C139" s="577"/>
      <c r="D139" s="577"/>
      <c r="E139" s="577"/>
      <c r="F139" s="577"/>
      <c r="G139" s="83">
        <f>SUM(DataEx!FR350)</f>
        <v>31948493.089999996</v>
      </c>
      <c r="H139" s="83">
        <f>SUM(DataEx!FS350)</f>
        <v>31441965.730000004</v>
      </c>
      <c r="I139" s="83">
        <f>SUM(DataEx!FT350)</f>
        <v>26207657.279999997</v>
      </c>
      <c r="J139" s="83">
        <f>SUM(DataEx!FU350)</f>
        <v>22319102.07</v>
      </c>
      <c r="K139" s="83">
        <f>SUM(DataEx!FV350)</f>
        <v>22373307.649999999</v>
      </c>
      <c r="L139" s="83">
        <f>SUM(DataEx!FW350)</f>
        <v>22652165.879999999</v>
      </c>
      <c r="M139" s="83">
        <f>SUM(DataEx!FX350)</f>
        <v>21963404.309999999</v>
      </c>
      <c r="N139" s="83">
        <f>SUM(DataEx!FY350)</f>
        <v>20219844.279999997</v>
      </c>
      <c r="O139" s="83">
        <f>SUM(DataEx!FZ350)</f>
        <v>22297775.369999997</v>
      </c>
      <c r="P139" s="83">
        <f>SUM(DataEx!GA350)</f>
        <v>19929669.639999997</v>
      </c>
      <c r="Q139" s="83">
        <f>SUM(DataEx!GB350)</f>
        <v>18914091.279999997</v>
      </c>
      <c r="R139" s="83">
        <f>SUM(DataEx!GC350)</f>
        <v>18836341.310000002</v>
      </c>
      <c r="S139" s="113">
        <f>+SUM(G139:R139)</f>
        <v>279103817.88999999</v>
      </c>
      <c r="T139" s="458">
        <f t="shared" si="20"/>
        <v>5.5517637278459606</v>
      </c>
    </row>
    <row r="140" spans="1:20">
      <c r="A140" s="116" t="str">
        <f t="shared" si="16"/>
        <v>44p</v>
      </c>
      <c r="B140" s="576" t="str">
        <f>+VLOOKUP(LEFT($A140,LEN(A140)-1)*1,Master!$D$28:$G$227,4,FALSE)</f>
        <v>Kapitalni izdaci</v>
      </c>
      <c r="C140" s="577"/>
      <c r="D140" s="577"/>
      <c r="E140" s="577"/>
      <c r="F140" s="577"/>
      <c r="G140" s="83">
        <f>SUM(DataEx!FR368)</f>
        <v>21519942.029999997</v>
      </c>
      <c r="H140" s="83">
        <f>SUM(DataEx!FS368)</f>
        <v>24306340.929999996</v>
      </c>
      <c r="I140" s="83">
        <f>SUM(DataEx!FT368)</f>
        <v>21977496.549999997</v>
      </c>
      <c r="J140" s="83">
        <f>SUM(DataEx!FU368)</f>
        <v>20664326.639999997</v>
      </c>
      <c r="K140" s="83">
        <f>SUM(DataEx!FV368)</f>
        <v>20988486.939999994</v>
      </c>
      <c r="L140" s="83">
        <f>SUM(DataEx!FW368)</f>
        <v>20884342.929999996</v>
      </c>
      <c r="M140" s="83">
        <f>SUM(DataEx!FX368)</f>
        <v>21398452.499999996</v>
      </c>
      <c r="N140" s="83">
        <f>SUM(DataEx!FY368)</f>
        <v>20656782.02</v>
      </c>
      <c r="O140" s="83">
        <f>SUM(DataEx!FZ368)</f>
        <v>21003540.559999999</v>
      </c>
      <c r="P140" s="83">
        <f>SUM(DataEx!GA368)</f>
        <v>20436984.68</v>
      </c>
      <c r="Q140" s="83">
        <f>SUM(DataEx!GB368)</f>
        <v>20361598.02</v>
      </c>
      <c r="R140" s="83">
        <f>SUM(DataEx!GC368)</f>
        <v>20355363.090000004</v>
      </c>
      <c r="S140" s="113">
        <f t="shared" si="19"/>
        <v>254553656.89000002</v>
      </c>
      <c r="T140" s="458">
        <f t="shared" si="20"/>
        <v>5.063426827322818</v>
      </c>
    </row>
    <row r="141" spans="1:20">
      <c r="A141" s="116" t="str">
        <f t="shared" si="16"/>
        <v>451p</v>
      </c>
      <c r="B141" s="572" t="str">
        <f>+VLOOKUP(LEFT($A141,LEN(A141)-1)*1,Master!$D$28:$G$227,4,FALSE)</f>
        <v>Pozajmice i krediti</v>
      </c>
      <c r="C141" s="573"/>
      <c r="D141" s="573"/>
      <c r="E141" s="573"/>
      <c r="F141" s="573"/>
      <c r="G141" s="87">
        <f>SUM(DataEx!FR378)</f>
        <v>140000.09</v>
      </c>
      <c r="H141" s="87">
        <f>SUM(DataEx!FS378)</f>
        <v>140000.09</v>
      </c>
      <c r="I141" s="87">
        <f>SUM(DataEx!FT378)</f>
        <v>140000.09</v>
      </c>
      <c r="J141" s="87">
        <f>SUM(DataEx!FU378)</f>
        <v>140000.09</v>
      </c>
      <c r="K141" s="87">
        <f>SUM(DataEx!FV378)</f>
        <v>140000.09</v>
      </c>
      <c r="L141" s="87">
        <f>SUM(DataEx!FW378)</f>
        <v>140000.09</v>
      </c>
      <c r="M141" s="87">
        <f>SUM(DataEx!FX378)</f>
        <v>140000.09</v>
      </c>
      <c r="N141" s="87">
        <f>SUM(DataEx!FY378)</f>
        <v>140000.09</v>
      </c>
      <c r="O141" s="87">
        <f>SUM(DataEx!FZ378)</f>
        <v>140000.09</v>
      </c>
      <c r="P141" s="87">
        <f>SUM(DataEx!GA378)</f>
        <v>140000.09</v>
      </c>
      <c r="Q141" s="87">
        <f>SUM(DataEx!GB378)</f>
        <v>140000.09</v>
      </c>
      <c r="R141" s="87">
        <f>SUM(DataEx!GC378)</f>
        <v>140000.01</v>
      </c>
      <c r="S141" s="112">
        <f t="shared" si="19"/>
        <v>1680001.0000000002</v>
      </c>
      <c r="T141" s="457">
        <f t="shared" si="20"/>
        <v>3.3417560121735329E-2</v>
      </c>
    </row>
    <row r="142" spans="1:20">
      <c r="A142" s="116" t="str">
        <f t="shared" si="16"/>
        <v>47p</v>
      </c>
      <c r="B142" s="572" t="str">
        <f>+VLOOKUP(LEFT($A142,LEN(A142)-1)*1,Master!$D$28:$G$227,4,FALSE)</f>
        <v>Rezerve</v>
      </c>
      <c r="C142" s="573"/>
      <c r="D142" s="573"/>
      <c r="E142" s="573"/>
      <c r="F142" s="573"/>
      <c r="G142" s="87">
        <f>SUM(DataEx!FR393)</f>
        <v>7375000</v>
      </c>
      <c r="H142" s="87">
        <f>SUM(DataEx!FS393)</f>
        <v>7375000</v>
      </c>
      <c r="I142" s="87">
        <f>SUM(DataEx!FT393)</f>
        <v>7375000</v>
      </c>
      <c r="J142" s="87">
        <f>SUM(DataEx!FU393)</f>
        <v>7375000</v>
      </c>
      <c r="K142" s="87">
        <f>SUM(DataEx!FV393)</f>
        <v>7375000</v>
      </c>
      <c r="L142" s="87">
        <f>SUM(DataEx!FW393)</f>
        <v>7375000</v>
      </c>
      <c r="M142" s="87">
        <f>SUM(DataEx!FX393)</f>
        <v>7375000</v>
      </c>
      <c r="N142" s="87">
        <f>SUM(DataEx!FY393)</f>
        <v>7375000</v>
      </c>
      <c r="O142" s="87">
        <f>SUM(DataEx!FZ393)</f>
        <v>7375000</v>
      </c>
      <c r="P142" s="87">
        <f>SUM(DataEx!GA393)</f>
        <v>7375000</v>
      </c>
      <c r="Q142" s="87">
        <f>SUM(DataEx!GB393)</f>
        <v>7375000</v>
      </c>
      <c r="R142" s="87">
        <f>SUM(DataEx!GC393)</f>
        <v>7375000</v>
      </c>
      <c r="S142" s="112">
        <f t="shared" si="19"/>
        <v>88500000</v>
      </c>
      <c r="T142" s="457">
        <f t="shared" si="20"/>
        <v>1.7603882799912478</v>
      </c>
    </row>
    <row r="143" spans="1:20">
      <c r="A143" s="116" t="str">
        <f t="shared" si="16"/>
        <v>462p</v>
      </c>
      <c r="B143" s="572" t="str">
        <f>+VLOOKUP(LEFT($A143,LEN(A143)-1)*1,Master!$D$28:$G$227,4,FALSE)</f>
        <v>Otplata garancija</v>
      </c>
      <c r="C143" s="573"/>
      <c r="D143" s="573"/>
      <c r="E143" s="573"/>
      <c r="F143" s="573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7">
        <f t="shared" si="20"/>
        <v>0</v>
      </c>
    </row>
    <row r="144" spans="1:20">
      <c r="A144" s="117" t="str">
        <f t="shared" si="16"/>
        <v>4630p</v>
      </c>
      <c r="B144" s="572" t="str">
        <f>+VLOOKUP(LEFT($A144,LEN(A144)-1)*1,Master!$D$28:$G$227,4,FALSE)</f>
        <v>Otplata obaveza iz prethodnog perioda</v>
      </c>
      <c r="C144" s="573"/>
      <c r="D144" s="573"/>
      <c r="E144" s="573"/>
      <c r="F144" s="573"/>
      <c r="G144" s="96">
        <f>SUM(DataEx!FR392)</f>
        <v>1419621.9300000002</v>
      </c>
      <c r="H144" s="96">
        <f>SUM(DataEx!FS392)</f>
        <v>1384621.77</v>
      </c>
      <c r="I144" s="96">
        <f>SUM(DataEx!FT392)</f>
        <v>1362120.85</v>
      </c>
      <c r="J144" s="96">
        <f>SUM(DataEx!FU392)</f>
        <v>1352120.85</v>
      </c>
      <c r="K144" s="96">
        <f>SUM(DataEx!FV392)</f>
        <v>1357120.85</v>
      </c>
      <c r="L144" s="96">
        <f>SUM(DataEx!FW392)</f>
        <v>1357120.85</v>
      </c>
      <c r="M144" s="96">
        <f>SUM(DataEx!FX392)</f>
        <v>1356120.85</v>
      </c>
      <c r="N144" s="96">
        <f>SUM(DataEx!FY392)</f>
        <v>1351120.85</v>
      </c>
      <c r="O144" s="96">
        <f>SUM(DataEx!FZ392)</f>
        <v>1351120.85</v>
      </c>
      <c r="P144" s="96">
        <f>SUM(DataEx!GA392)</f>
        <v>1351120.85</v>
      </c>
      <c r="Q144" s="96">
        <f>SUM(DataEx!GB392)</f>
        <v>1351120.85</v>
      </c>
      <c r="R144" s="96">
        <f>SUM(DataEx!GC392)</f>
        <v>1352120.8800000001</v>
      </c>
      <c r="S144" s="103">
        <f>+SUM(G144:R144)</f>
        <v>16345452.229999999</v>
      </c>
      <c r="T144" s="465">
        <f t="shared" si="20"/>
        <v>0.32513381397569269</v>
      </c>
    </row>
    <row r="145" spans="1:20" ht="13.5" thickBot="1">
      <c r="A145" s="116">
        <v>1005</v>
      </c>
      <c r="B145" s="572" t="s">
        <v>687</v>
      </c>
      <c r="C145" s="573"/>
      <c r="D145" s="573"/>
      <c r="E145" s="573"/>
      <c r="F145" s="573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2">
        <f t="shared" si="20"/>
        <v>0</v>
      </c>
    </row>
    <row r="146" spans="1:20" ht="13.5" thickBot="1">
      <c r="A146" s="117" t="str">
        <f>+CONCATENATE(A53,"p")</f>
        <v>1000p</v>
      </c>
      <c r="B146" s="574" t="str">
        <f>+VLOOKUP(LEFT($A146,LEN(A146)-1)*1,Master!$D$28:$G$224,4,FALSE)</f>
        <v>Suficit / deficit</v>
      </c>
      <c r="C146" s="575"/>
      <c r="D146" s="575"/>
      <c r="E146" s="575"/>
      <c r="F146" s="575"/>
      <c r="G146" s="93">
        <f t="shared" ref="G146:R146" si="25">+G103-G122</f>
        <v>-89152689.72538729</v>
      </c>
      <c r="H146" s="93">
        <f t="shared" si="25"/>
        <v>-66871141.063188151</v>
      </c>
      <c r="I146" s="93">
        <f t="shared" si="25"/>
        <v>-47825569.403870791</v>
      </c>
      <c r="J146" s="93">
        <f t="shared" si="25"/>
        <v>16479473.973976254</v>
      </c>
      <c r="K146" s="93">
        <f t="shared" si="25"/>
        <v>-18061812.594957471</v>
      </c>
      <c r="L146" s="93">
        <f t="shared" si="25"/>
        <v>-20934393.875138968</v>
      </c>
      <c r="M146" s="93">
        <f t="shared" si="25"/>
        <v>53687721.242806733</v>
      </c>
      <c r="N146" s="93">
        <f t="shared" si="25"/>
        <v>15486242.905834883</v>
      </c>
      <c r="O146" s="93">
        <f t="shared" si="25"/>
        <v>8315479.6662658155</v>
      </c>
      <c r="P146" s="93">
        <f t="shared" si="25"/>
        <v>-13554578.33789739</v>
      </c>
      <c r="Q146" s="93">
        <f t="shared" si="25"/>
        <v>-9412570.994058907</v>
      </c>
      <c r="R146" s="93">
        <f t="shared" si="25"/>
        <v>121883589.03680706</v>
      </c>
      <c r="S146" s="106">
        <f t="shared" si="19"/>
        <v>-49960249.168808222</v>
      </c>
      <c r="T146" s="463">
        <f t="shared" si="20"/>
        <v>-0.99377895030748553</v>
      </c>
    </row>
    <row r="147" spans="1:20" ht="13.5" thickBot="1">
      <c r="A147" s="117" t="str">
        <f>+CONCATENATE(A54,"p")</f>
        <v>1001p</v>
      </c>
      <c r="B147" s="580" t="str">
        <f>+VLOOKUP(LEFT($A147,LEN(A147)-1)*1,Master!$D$28:$G$224,4,FALSE)</f>
        <v>Primarni suficit/deficit</v>
      </c>
      <c r="C147" s="581"/>
      <c r="D147" s="581"/>
      <c r="E147" s="581"/>
      <c r="F147" s="581"/>
      <c r="G147" s="94">
        <f t="shared" ref="G147:R147" si="26">+G146+G129</f>
        <v>-81816966.315387294</v>
      </c>
      <c r="H147" s="94">
        <f t="shared" si="26"/>
        <v>-65942361.203188151</v>
      </c>
      <c r="I147" s="94">
        <f t="shared" si="26"/>
        <v>-19625919.923870791</v>
      </c>
      <c r="J147" s="94">
        <f t="shared" si="26"/>
        <v>39728520.633976251</v>
      </c>
      <c r="K147" s="94">
        <f t="shared" si="26"/>
        <v>-17024277.054957472</v>
      </c>
      <c r="L147" s="94">
        <f t="shared" si="26"/>
        <v>-15544501.405138969</v>
      </c>
      <c r="M147" s="94">
        <f t="shared" si="26"/>
        <v>61462407.522806734</v>
      </c>
      <c r="N147" s="94">
        <f t="shared" si="26"/>
        <v>16464852.765834883</v>
      </c>
      <c r="O147" s="94">
        <f t="shared" si="26"/>
        <v>10698125.666265815</v>
      </c>
      <c r="P147" s="94">
        <f t="shared" si="26"/>
        <v>4008559.2321026102</v>
      </c>
      <c r="Q147" s="94">
        <f t="shared" si="26"/>
        <v>-5249719.9640589068</v>
      </c>
      <c r="R147" s="94">
        <f t="shared" si="26"/>
        <v>127130674.95680706</v>
      </c>
      <c r="S147" s="106">
        <f t="shared" si="19"/>
        <v>54289394.911191776</v>
      </c>
      <c r="T147" s="463">
        <f t="shared" si="20"/>
        <v>1.079891689598627</v>
      </c>
    </row>
    <row r="148" spans="1:20">
      <c r="A148" s="117" t="str">
        <f>+CONCATENATE(A55,"p")</f>
        <v>46p</v>
      </c>
      <c r="B148" s="570" t="str">
        <f>+VLOOKUP(LEFT($A148,LEN(A148)-1)*1,Master!$D$28:$G$224,4,FALSE)</f>
        <v>Otplata dugova</v>
      </c>
      <c r="C148" s="571"/>
      <c r="D148" s="571"/>
      <c r="E148" s="571"/>
      <c r="F148" s="571"/>
      <c r="G148" s="84">
        <f t="shared" ref="G148:R148" si="27">+SUM(G149:G150)</f>
        <v>1725839.0999999999</v>
      </c>
      <c r="H148" s="84">
        <f t="shared" si="27"/>
        <v>3305317.26</v>
      </c>
      <c r="I148" s="84">
        <f t="shared" si="27"/>
        <v>339468444.25999999</v>
      </c>
      <c r="J148" s="84">
        <f t="shared" si="27"/>
        <v>17477408.559999999</v>
      </c>
      <c r="K148" s="84">
        <f t="shared" si="27"/>
        <v>15441444.539999999</v>
      </c>
      <c r="L148" s="84">
        <f t="shared" si="27"/>
        <v>12046825.949999999</v>
      </c>
      <c r="M148" s="84">
        <f t="shared" si="27"/>
        <v>11726652.870000001</v>
      </c>
      <c r="N148" s="84">
        <f t="shared" si="27"/>
        <v>8624889.1799999997</v>
      </c>
      <c r="O148" s="84">
        <f t="shared" si="27"/>
        <v>18011093.800000001</v>
      </c>
      <c r="P148" s="84">
        <f t="shared" si="27"/>
        <v>9855652.5999999996</v>
      </c>
      <c r="Q148" s="84">
        <f t="shared" si="27"/>
        <v>89792355.439999998</v>
      </c>
      <c r="R148" s="84">
        <f t="shared" si="27"/>
        <v>12114076.439999999</v>
      </c>
      <c r="S148" s="104">
        <f t="shared" si="19"/>
        <v>539590000.00000012</v>
      </c>
      <c r="T148" s="464">
        <f t="shared" si="20"/>
        <v>10.733196745768108</v>
      </c>
    </row>
    <row r="149" spans="1:20">
      <c r="A149" s="117" t="str">
        <f>+CONCATENATE(A56,"p")</f>
        <v>4611p</v>
      </c>
      <c r="B149" s="578" t="str">
        <f>+VLOOKUP(LEFT($A149,LEN(A149)-1)*1,Master!$D$28:$G$224,4,FALSE)</f>
        <v>Otplata hartija od vrijednosti i kredita rezidentima</v>
      </c>
      <c r="C149" s="579"/>
      <c r="D149" s="579"/>
      <c r="E149" s="579"/>
      <c r="F149" s="57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5">
        <f t="shared" si="20"/>
        <v>2.3811986553418336</v>
      </c>
    </row>
    <row r="150" spans="1:20" ht="13.5" thickBot="1">
      <c r="A150" s="117" t="str">
        <f>+CONCATENATE(A57,"p")</f>
        <v>4612p</v>
      </c>
      <c r="B150" s="572" t="str">
        <f>+VLOOKUP(LEFT($A150,LEN(A150)-1)*1,Master!$D$28:$G$224,4,FALSE)</f>
        <v>Otplata hartija od vrijednosti i kredita nerezidentima</v>
      </c>
      <c r="C150" s="573"/>
      <c r="D150" s="573"/>
      <c r="E150" s="573"/>
      <c r="F150" s="573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5">
        <f t="shared" si="20"/>
        <v>8.3519980904262709</v>
      </c>
    </row>
    <row r="151" spans="1:20" ht="13.5" thickBot="1">
      <c r="A151" s="117"/>
      <c r="B151" s="566" t="s">
        <v>338</v>
      </c>
      <c r="C151" s="567"/>
      <c r="D151" s="567"/>
      <c r="E151" s="567"/>
      <c r="F151" s="567"/>
      <c r="G151" s="93">
        <f>+DataEx!FR376</f>
        <v>84166.66</v>
      </c>
      <c r="H151" s="93">
        <f>+DataEx!FS376</f>
        <v>84166.66</v>
      </c>
      <c r="I151" s="93">
        <f>+DataEx!FT376</f>
        <v>84166.66</v>
      </c>
      <c r="J151" s="93">
        <f>+DataEx!FU376</f>
        <v>84166.66</v>
      </c>
      <c r="K151" s="93">
        <f>+DataEx!FV376</f>
        <v>84166.66</v>
      </c>
      <c r="L151" s="93">
        <f>+DataEx!FW376</f>
        <v>84166.66</v>
      </c>
      <c r="M151" s="93">
        <f>+DataEx!FX376</f>
        <v>84166.66</v>
      </c>
      <c r="N151" s="93">
        <f>+DataEx!FY376</f>
        <v>84166.66</v>
      </c>
      <c r="O151" s="93">
        <f>+DataEx!FZ376</f>
        <v>84166.66</v>
      </c>
      <c r="P151" s="93">
        <f>+DataEx!GA376</f>
        <v>84166.66</v>
      </c>
      <c r="Q151" s="93">
        <f>+DataEx!GB376</f>
        <v>84166.66</v>
      </c>
      <c r="R151" s="93">
        <f>+DataEx!GC376</f>
        <v>84166.74</v>
      </c>
      <c r="S151" s="470">
        <f t="shared" si="19"/>
        <v>1010000.0000000002</v>
      </c>
      <c r="T151" s="471">
        <f t="shared" si="20"/>
        <v>2.0090306924193904E-2</v>
      </c>
    </row>
    <row r="152" spans="1:20" ht="13.5" thickBot="1">
      <c r="A152" s="117" t="str">
        <f t="shared" ref="A152:A157" si="28">+CONCATENATE(A59,"p")</f>
        <v>1002p</v>
      </c>
      <c r="B152" s="582" t="str">
        <f>+VLOOKUP(LEFT($A152,LEN(A152)-1)*1,Master!$D$28:$G$224,4,FALSE)</f>
        <v>Nedostajuća sredstva</v>
      </c>
      <c r="C152" s="583"/>
      <c r="D152" s="583"/>
      <c r="E152" s="583"/>
      <c r="F152" s="583"/>
      <c r="G152" s="77">
        <f t="shared" ref="G152:R152" si="29">+G146-G148-G151</f>
        <v>-90962695.485387281</v>
      </c>
      <c r="H152" s="77">
        <f t="shared" si="29"/>
        <v>-70260624.983188152</v>
      </c>
      <c r="I152" s="77">
        <f t="shared" si="29"/>
        <v>-387378180.32387084</v>
      </c>
      <c r="J152" s="77">
        <f t="shared" si="29"/>
        <v>-1082101.2460237441</v>
      </c>
      <c r="K152" s="77">
        <f t="shared" si="29"/>
        <v>-33587423.794957466</v>
      </c>
      <c r="L152" s="77">
        <f t="shared" si="29"/>
        <v>-33065386.485138968</v>
      </c>
      <c r="M152" s="77">
        <f t="shared" si="29"/>
        <v>41876901.712806731</v>
      </c>
      <c r="N152" s="77">
        <f t="shared" si="29"/>
        <v>6777187.0658348836</v>
      </c>
      <c r="O152" s="77">
        <f t="shared" si="29"/>
        <v>-9779780.7937341854</v>
      </c>
      <c r="P152" s="77">
        <f t="shared" si="29"/>
        <v>-23494397.597897392</v>
      </c>
      <c r="Q152" s="77">
        <f t="shared" si="29"/>
        <v>-99289093.094058901</v>
      </c>
      <c r="R152" s="77">
        <f t="shared" si="29"/>
        <v>109685345.85680707</v>
      </c>
      <c r="S152" s="109">
        <f t="shared" si="19"/>
        <v>-590560249.16880834</v>
      </c>
      <c r="T152" s="467">
        <f t="shared" si="20"/>
        <v>-11.747066002999789</v>
      </c>
    </row>
    <row r="153" spans="1:20" ht="13.5" thickBot="1">
      <c r="A153" s="117" t="str">
        <f t="shared" si="28"/>
        <v>1003p</v>
      </c>
      <c r="B153" s="566" t="str">
        <f>+VLOOKUP(LEFT($A153,LEN(A153)-1)*1,Master!$D$28:$G$224,4,FALSE)</f>
        <v>Finansiranje</v>
      </c>
      <c r="C153" s="567"/>
      <c r="D153" s="567"/>
      <c r="E153" s="567"/>
      <c r="F153" s="567"/>
      <c r="G153" s="93">
        <f t="shared" ref="G153:R153" si="30">+SUM(G154:G157)</f>
        <v>90962695.485387281</v>
      </c>
      <c r="H153" s="93">
        <f t="shared" si="30"/>
        <v>70260624.983188152</v>
      </c>
      <c r="I153" s="93">
        <f t="shared" si="30"/>
        <v>387378180.32387084</v>
      </c>
      <c r="J153" s="93">
        <f t="shared" si="30"/>
        <v>1082101.2460237443</v>
      </c>
      <c r="K153" s="93">
        <f t="shared" si="30"/>
        <v>33587423.794957466</v>
      </c>
      <c r="L153" s="93">
        <f t="shared" si="30"/>
        <v>33065386.485138968</v>
      </c>
      <c r="M153" s="93">
        <f t="shared" si="30"/>
        <v>-41876901.712806731</v>
      </c>
      <c r="N153" s="93">
        <f t="shared" si="30"/>
        <v>-6777187.0658348836</v>
      </c>
      <c r="O153" s="93">
        <f t="shared" si="30"/>
        <v>9779780.7937341854</v>
      </c>
      <c r="P153" s="93">
        <f t="shared" si="30"/>
        <v>23494397.597897392</v>
      </c>
      <c r="Q153" s="93">
        <f t="shared" si="30"/>
        <v>99289093.094058901</v>
      </c>
      <c r="R153" s="93">
        <f t="shared" si="30"/>
        <v>-109685345.85680707</v>
      </c>
      <c r="S153" s="110">
        <f t="shared" si="19"/>
        <v>590560249.16880834</v>
      </c>
      <c r="T153" s="468">
        <f t="shared" si="20"/>
        <v>11.747066002999789</v>
      </c>
    </row>
    <row r="154" spans="1:20">
      <c r="A154" s="117" t="str">
        <f t="shared" si="28"/>
        <v>7511p</v>
      </c>
      <c r="B154" s="578" t="str">
        <f>+VLOOKUP(LEFT($A154,LEN(A154)-1)*1,Master!$D$28:$G$224,4,FALSE)</f>
        <v>Pozajmice i krediti od domaćih izvora</v>
      </c>
      <c r="C154" s="579"/>
      <c r="D154" s="579"/>
      <c r="E154" s="579"/>
      <c r="F154" s="57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65">
        <f t="shared" si="20"/>
        <v>0</v>
      </c>
    </row>
    <row r="155" spans="1:20">
      <c r="A155" s="117" t="str">
        <f t="shared" si="28"/>
        <v>7512p</v>
      </c>
      <c r="B155" s="572" t="str">
        <f>+VLOOKUP(LEFT($A155,LEN(A155)-1)*1,Master!$D$28:$G$224,4,FALSE)</f>
        <v>Pozajmice i krediti od inostranih izvora</v>
      </c>
      <c r="C155" s="573"/>
      <c r="D155" s="573"/>
      <c r="E155" s="573"/>
      <c r="F155" s="573"/>
      <c r="G155" s="96">
        <f>+DataEx!FR261</f>
        <v>0</v>
      </c>
      <c r="H155" s="96">
        <f>+DataEx!FS261</f>
        <v>0</v>
      </c>
      <c r="I155" s="96">
        <f>+DataEx!FT261</f>
        <v>10000000</v>
      </c>
      <c r="J155" s="96">
        <f>+DataEx!FU261</f>
        <v>10000000</v>
      </c>
      <c r="K155" s="96">
        <f>+DataEx!FV261</f>
        <v>10000000</v>
      </c>
      <c r="L155" s="96">
        <f>+DataEx!FW261</f>
        <v>10000000</v>
      </c>
      <c r="M155" s="96">
        <f>+DataEx!FX261</f>
        <v>10000000</v>
      </c>
      <c r="N155" s="96">
        <f>+DataEx!FY261</f>
        <v>10000000</v>
      </c>
      <c r="O155" s="96">
        <f>+DataEx!FZ261</f>
        <v>10000000</v>
      </c>
      <c r="P155" s="96">
        <f>+DataEx!GA261</f>
        <v>10000000</v>
      </c>
      <c r="Q155" s="96">
        <f>+DataEx!GB261</f>
        <v>10000000</v>
      </c>
      <c r="R155" s="96">
        <f>+DataEx!GC261</f>
        <v>10000000</v>
      </c>
      <c r="S155" s="103">
        <f t="shared" si="19"/>
        <v>100000000</v>
      </c>
      <c r="T155" s="465">
        <f t="shared" si="20"/>
        <v>1.9891392994251387</v>
      </c>
    </row>
    <row r="156" spans="1:20">
      <c r="A156" s="117" t="str">
        <f t="shared" si="28"/>
        <v>72p</v>
      </c>
      <c r="B156" s="572" t="str">
        <f>+VLOOKUP(LEFT($A156,LEN(A156)-1)*1,Master!$D$28:$G$224,4,FALSE)</f>
        <v>Primici od prodaje imovine</v>
      </c>
      <c r="C156" s="573"/>
      <c r="D156" s="573"/>
      <c r="E156" s="573"/>
      <c r="F156" s="573"/>
      <c r="G156" s="96">
        <f>+DataEx!FR249</f>
        <v>0</v>
      </c>
      <c r="H156" s="96">
        <f>+DataEx!FS249</f>
        <v>0</v>
      </c>
      <c r="I156" s="96">
        <f>+DataEx!FT249</f>
        <v>0</v>
      </c>
      <c r="J156" s="96">
        <f>+DataEx!FU249</f>
        <v>0</v>
      </c>
      <c r="K156" s="96">
        <f>+DataEx!FV249</f>
        <v>0</v>
      </c>
      <c r="L156" s="96">
        <f>+DataEx!FW249</f>
        <v>0</v>
      </c>
      <c r="M156" s="96">
        <f>+DataEx!FX249</f>
        <v>0</v>
      </c>
      <c r="N156" s="96">
        <f>+DataEx!FY249</f>
        <v>0</v>
      </c>
      <c r="O156" s="96">
        <f>+DataEx!FZ249</f>
        <v>0</v>
      </c>
      <c r="P156" s="96">
        <f>+DataEx!GA249</f>
        <v>0</v>
      </c>
      <c r="Q156" s="96">
        <f>+DataEx!GB249</f>
        <v>0</v>
      </c>
      <c r="R156" s="96">
        <f>+DataEx!GC249</f>
        <v>0</v>
      </c>
      <c r="S156" s="103">
        <f t="shared" si="19"/>
        <v>0</v>
      </c>
      <c r="T156" s="465">
        <f t="shared" si="20"/>
        <v>0</v>
      </c>
    </row>
    <row r="157" spans="1:20" ht="13.5" thickBot="1">
      <c r="A157" s="117" t="str">
        <f t="shared" si="28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1">-G152-SUM(G154:G156)</f>
        <v>90962695.485387281</v>
      </c>
      <c r="H157" s="97">
        <f t="shared" si="31"/>
        <v>70260624.983188152</v>
      </c>
      <c r="I157" s="97">
        <f t="shared" si="31"/>
        <v>377378180.32387084</v>
      </c>
      <c r="J157" s="97">
        <f t="shared" si="31"/>
        <v>-8917898.7539762557</v>
      </c>
      <c r="K157" s="97">
        <f t="shared" si="31"/>
        <v>23587423.794957466</v>
      </c>
      <c r="L157" s="97">
        <f t="shared" si="31"/>
        <v>23065386.485138968</v>
      </c>
      <c r="M157" s="97">
        <f t="shared" si="31"/>
        <v>-51876901.712806731</v>
      </c>
      <c r="N157" s="97">
        <f t="shared" si="31"/>
        <v>-16777187.065834884</v>
      </c>
      <c r="O157" s="97">
        <f t="shared" si="31"/>
        <v>-220219.2062658146</v>
      </c>
      <c r="P157" s="97">
        <f t="shared" si="31"/>
        <v>13494397.597897392</v>
      </c>
      <c r="Q157" s="97">
        <f t="shared" si="31"/>
        <v>89289093.094058901</v>
      </c>
      <c r="R157" s="97">
        <f t="shared" si="31"/>
        <v>-119685345.85680707</v>
      </c>
      <c r="S157" s="105">
        <f t="shared" si="19"/>
        <v>490560249.1688084</v>
      </c>
      <c r="T157" s="469">
        <f t="shared" si="20"/>
        <v>9.7579267035746504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G7" sqref="G7:R7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761</v>
      </c>
      <c r="H6" s="236" t="s">
        <v>762</v>
      </c>
      <c r="I6" s="236" t="s">
        <v>763</v>
      </c>
      <c r="J6" s="236" t="s">
        <v>764</v>
      </c>
      <c r="K6" s="236" t="s">
        <v>765</v>
      </c>
      <c r="L6" s="236" t="s">
        <v>766</v>
      </c>
      <c r="M6" s="236" t="s">
        <v>767</v>
      </c>
      <c r="N6" s="236" t="s">
        <v>768</v>
      </c>
      <c r="O6" s="236" t="s">
        <v>769</v>
      </c>
      <c r="P6" s="236" t="s">
        <v>770</v>
      </c>
      <c r="Q6" s="236" t="s">
        <v>771</v>
      </c>
      <c r="R6" s="236" t="s">
        <v>772</v>
      </c>
      <c r="S6" s="235"/>
      <c r="T6" s="235"/>
    </row>
    <row r="7" spans="1:20" ht="15" customHeight="1" thickBot="1">
      <c r="A7" s="146"/>
      <c r="B7" s="528" t="str">
        <f>+[1]Master!G251</f>
        <v>Ostvarenje budžeta</v>
      </c>
      <c r="C7" s="509"/>
      <c r="D7" s="509"/>
      <c r="E7" s="509"/>
      <c r="F7" s="509"/>
      <c r="G7" s="517">
        <v>2019</v>
      </c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21"/>
      <c r="S7" s="237" t="str">
        <f>+[1]Master!G248</f>
        <v>BDP</v>
      </c>
      <c r="T7" s="238">
        <v>4817100000</v>
      </c>
    </row>
    <row r="8" spans="1:20" ht="16.5" customHeight="1">
      <c r="A8" s="146"/>
      <c r="B8" s="510"/>
      <c r="C8" s="511"/>
      <c r="D8" s="511"/>
      <c r="E8" s="511"/>
      <c r="F8" s="512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517" t="str">
        <f>+[1]Master!G245</f>
        <v>Jan - Dec</v>
      </c>
      <c r="T8" s="521"/>
    </row>
    <row r="9" spans="1:20" ht="13.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476" t="str">
        <f>+VLOOKUP($A10,[1]Master!$D$27:$G$225,4,FALSE)</f>
        <v>Prihodi budžeta</v>
      </c>
      <c r="C10" s="477"/>
      <c r="D10" s="477"/>
      <c r="E10" s="477"/>
      <c r="F10" s="477"/>
      <c r="G10" s="153">
        <f t="shared" ref="G10:R10" si="1">+G11+G19+SUM(G24:G28)</f>
        <v>107257200.93000001</v>
      </c>
      <c r="H10" s="153">
        <f t="shared" si="1"/>
        <v>116543983.53</v>
      </c>
      <c r="I10" s="153">
        <f t="shared" si="1"/>
        <v>147544399.37</v>
      </c>
      <c r="J10" s="153">
        <f t="shared" si="1"/>
        <v>165044617.93000001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165941160.95000002</v>
      </c>
      <c r="P10" s="153">
        <f t="shared" si="1"/>
        <v>156600980.84999999</v>
      </c>
      <c r="Q10" s="153">
        <f t="shared" si="1"/>
        <v>147278935.88</v>
      </c>
      <c r="R10" s="153">
        <f t="shared" si="1"/>
        <v>243093452.31999999</v>
      </c>
      <c r="S10" s="402">
        <f>+SUM(G10:R10)</f>
        <v>1885130543.5699999</v>
      </c>
      <c r="T10" s="387">
        <f>+S10/$T$7</f>
        <v>0.39134137625749932</v>
      </c>
    </row>
    <row r="11" spans="1:20">
      <c r="A11" s="152">
        <v>711</v>
      </c>
      <c r="B11" s="478" t="str">
        <f>+VLOOKUP($A11,[1]Master!$D$27:$G$225,4,FALSE)</f>
        <v>Porezi</v>
      </c>
      <c r="C11" s="479"/>
      <c r="D11" s="479"/>
      <c r="E11" s="479"/>
      <c r="F11" s="479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5" si="3">+SUM(G11:R11)</f>
        <v>1172748653.1199999</v>
      </c>
      <c r="T11" s="388">
        <f t="shared" ref="T11:T66" si="4">+S11/$T$7</f>
        <v>0.24345532646613105</v>
      </c>
    </row>
    <row r="12" spans="1:20">
      <c r="A12" s="152">
        <v>7111</v>
      </c>
      <c r="B12" s="480" t="str">
        <f>+VLOOKUP($A12,[1]Master!$D$27:$G$225,4,FALSE)</f>
        <v>Porez na dohodak fizičkih lica</v>
      </c>
      <c r="C12" s="481"/>
      <c r="D12" s="481"/>
      <c r="E12" s="481"/>
      <c r="F12" s="481"/>
      <c r="G12" s="165">
        <f>+INDEX([1]DataEx!$1:$1048576,MATCH('2019'!$A12,[1]DataEx!$D:$D,0),MATCH('2019'!G$6,[1]DataEx!$7:$7,0))</f>
        <v>4240913.8099999996</v>
      </c>
      <c r="H12" s="165">
        <f>+INDEX([1]DataEx!$1:$1048576,MATCH('2019'!$A12,[1]DataEx!$D:$D,0),MATCH('2019'!H$6,[1]DataEx!$7:$7,0))</f>
        <v>9361661.1500000004</v>
      </c>
      <c r="I12" s="165">
        <f>+INDEX([1]DataEx!$1:$1048576,MATCH('2019'!$A12,[1]DataEx!$D:$D,0),MATCH('2019'!I$6,[1]DataEx!$7:$7,0))</f>
        <v>9044961.5800000001</v>
      </c>
      <c r="J12" s="165">
        <f>+INDEX([1]DataEx!$1:$1048576,MATCH('2019'!$A12,[1]DataEx!$D:$D,0),MATCH('2019'!J$6,[1]DataEx!$7:$7,0))</f>
        <v>10767101.800000001</v>
      </c>
      <c r="K12" s="165">
        <f>+INDEX([1]DataEx!$1:$1048576,MATCH('2019'!$A12,[1]DataEx!$D:$D,0),MATCH('2019'!K$6,[1]DataEx!$7:$7,0))</f>
        <v>10210712.41</v>
      </c>
      <c r="L12" s="165">
        <f>+INDEX([1]DataEx!$1:$1048576,MATCH('2019'!$A12,[1]DataEx!$D:$D,0),MATCH('2019'!L$6,[1]DataEx!$7:$7,0))</f>
        <v>10125793.029999999</v>
      </c>
      <c r="M12" s="165">
        <f>+INDEX([1]DataEx!$1:$1048576,MATCH('2019'!$A12,[1]DataEx!$D:$D,0),MATCH('2019'!M$6,[1]DataEx!$7:$7,0))</f>
        <v>10986746.67</v>
      </c>
      <c r="N12" s="165">
        <f>+INDEX([1]DataEx!$1:$1048576,MATCH('2019'!$A12,[1]DataEx!$D:$D,0),MATCH('2019'!N$6,[1]DataEx!$7:$7,0))</f>
        <v>10477204.85</v>
      </c>
      <c r="O12" s="165">
        <f>+INDEX([1]DataEx!$1:$1048576,MATCH('2019'!$A12,[1]DataEx!$D:$D,0),MATCH('2019'!O$6,[1]DataEx!$7:$7,0))</f>
        <v>10332018.109999999</v>
      </c>
      <c r="P12" s="165">
        <f>+INDEX([1]DataEx!$1:$1048576,MATCH('2019'!$A12,[1]DataEx!$D:$D,0),MATCH('2019'!P$6,[1]DataEx!$7:$7,0))</f>
        <v>10824900.91</v>
      </c>
      <c r="Q12" s="165">
        <f>+INDEX([1]DataEx!$1:$1048576,MATCH('2019'!$A12,[1]DataEx!$D:$D,0),MATCH('2019'!Q$6,[1]DataEx!$7:$7,0))</f>
        <v>9987863.9000000004</v>
      </c>
      <c r="R12" s="165">
        <f>+INDEX([1]DataEx!$1:$1048576,MATCH('2019'!$A12,[1]DataEx!$D:$D,0),MATCH('2019'!R$6,[1]DataEx!$7:$7,0))</f>
        <v>18641048.940000001</v>
      </c>
      <c r="S12" s="404">
        <f t="shared" si="3"/>
        <v>125000927.16</v>
      </c>
      <c r="T12" s="389">
        <f t="shared" si="4"/>
        <v>2.5949415033941582E-2</v>
      </c>
    </row>
    <row r="13" spans="1:20">
      <c r="A13" s="152">
        <v>7112</v>
      </c>
      <c r="B13" s="480" t="str">
        <f>+VLOOKUP($A13,[1]Master!$D$27:$G$225,4,FALSE)</f>
        <v>Porez na dobit pravnih lica</v>
      </c>
      <c r="C13" s="481"/>
      <c r="D13" s="481"/>
      <c r="E13" s="481"/>
      <c r="F13" s="481"/>
      <c r="G13" s="165">
        <f>+INDEX([1]DataEx!$1:$1048576,MATCH('2019'!$A13,[1]DataEx!$D:$D,0),MATCH('2019'!G$6,[1]DataEx!$7:$7,0))</f>
        <v>936843.13</v>
      </c>
      <c r="H13" s="165">
        <f>+INDEX([1]DataEx!$1:$1048576,MATCH('2019'!$A13,[1]DataEx!$D:$D,0),MATCH('2019'!H$6,[1]DataEx!$7:$7,0))</f>
        <v>1962550.32</v>
      </c>
      <c r="I13" s="165">
        <f>+INDEX([1]DataEx!$1:$1048576,MATCH('2019'!$A13,[1]DataEx!$D:$D,0),MATCH('2019'!I$6,[1]DataEx!$7:$7,0))</f>
        <v>22465664.23</v>
      </c>
      <c r="J13" s="165">
        <f>+INDEX([1]DataEx!$1:$1048576,MATCH('2019'!$A13,[1]DataEx!$D:$D,0),MATCH('2019'!J$6,[1]DataEx!$7:$7,0))</f>
        <v>20408432.98</v>
      </c>
      <c r="K13" s="165">
        <f>+INDEX([1]DataEx!$1:$1048576,MATCH('2019'!$A13,[1]DataEx!$D:$D,0),MATCH('2019'!K$6,[1]DataEx!$7:$7,0))</f>
        <v>4781744.7</v>
      </c>
      <c r="L13" s="165">
        <f>+INDEX([1]DataEx!$1:$1048576,MATCH('2019'!$A13,[1]DataEx!$D:$D,0),MATCH('2019'!L$6,[1]DataEx!$7:$7,0))</f>
        <v>3678815</v>
      </c>
      <c r="M13" s="165">
        <f>+INDEX([1]DataEx!$1:$1048576,MATCH('2019'!$A13,[1]DataEx!$D:$D,0),MATCH('2019'!M$6,[1]DataEx!$7:$7,0))</f>
        <v>3890710.55</v>
      </c>
      <c r="N13" s="165">
        <f>+INDEX([1]DataEx!$1:$1048576,MATCH('2019'!$A13,[1]DataEx!$D:$D,0),MATCH('2019'!N$6,[1]DataEx!$7:$7,0))</f>
        <v>3092994.24</v>
      </c>
      <c r="O13" s="165">
        <f>+INDEX([1]DataEx!$1:$1048576,MATCH('2019'!$A13,[1]DataEx!$D:$D,0),MATCH('2019'!O$6,[1]DataEx!$7:$7,0))</f>
        <v>2242778.35</v>
      </c>
      <c r="P13" s="165">
        <f>+INDEX([1]DataEx!$1:$1048576,MATCH('2019'!$A13,[1]DataEx!$D:$D,0),MATCH('2019'!P$6,[1]DataEx!$7:$7,0))</f>
        <v>690017.25</v>
      </c>
      <c r="Q13" s="165">
        <f>+INDEX([1]DataEx!$1:$1048576,MATCH('2019'!$A13,[1]DataEx!$D:$D,0),MATCH('2019'!Q$6,[1]DataEx!$7:$7,0))</f>
        <v>879657.72</v>
      </c>
      <c r="R13" s="165">
        <f>+INDEX([1]DataEx!$1:$1048576,MATCH('2019'!$A13,[1]DataEx!$D:$D,0),MATCH('2019'!R$6,[1]DataEx!$7:$7,0))</f>
        <v>7785764.6100000003</v>
      </c>
      <c r="S13" s="404">
        <f t="shared" si="3"/>
        <v>72815973.079999998</v>
      </c>
      <c r="T13" s="389">
        <f t="shared" si="4"/>
        <v>1.5116143131759772E-2</v>
      </c>
    </row>
    <row r="14" spans="1:20">
      <c r="A14" s="152">
        <v>7113</v>
      </c>
      <c r="B14" s="480" t="str">
        <f>+VLOOKUP($A14,[1]Master!$D$27:$G$225,4,FALSE)</f>
        <v>Porez na promet nepokretnosti</v>
      </c>
      <c r="C14" s="481"/>
      <c r="D14" s="481"/>
      <c r="E14" s="481"/>
      <c r="F14" s="481"/>
      <c r="G14" s="165">
        <f>+INDEX([1]DataEx!$1:$1048576,MATCH('2019'!$A14,[1]DataEx!$D:$D,0),MATCH('2019'!G$6,[1]DataEx!$7:$7,0))</f>
        <v>118243.45</v>
      </c>
      <c r="H14" s="165">
        <f>+INDEX([1]DataEx!$1:$1048576,MATCH('2019'!$A14,[1]DataEx!$D:$D,0),MATCH('2019'!H$6,[1]DataEx!$7:$7,0))</f>
        <v>169568.16</v>
      </c>
      <c r="I14" s="165">
        <f>+INDEX([1]DataEx!$1:$1048576,MATCH('2019'!$A14,[1]DataEx!$D:$D,0),MATCH('2019'!I$6,[1]DataEx!$7:$7,0))</f>
        <v>146352.49</v>
      </c>
      <c r="J14" s="165">
        <f>+INDEX([1]DataEx!$1:$1048576,MATCH('2019'!$A14,[1]DataEx!$D:$D,0),MATCH('2019'!J$6,[1]DataEx!$7:$7,0))</f>
        <v>204359.36</v>
      </c>
      <c r="K14" s="165">
        <f>+INDEX([1]DataEx!$1:$1048576,MATCH('2019'!$A14,[1]DataEx!$D:$D,0),MATCH('2019'!K$6,[1]DataEx!$7:$7,0))</f>
        <v>147510.5</v>
      </c>
      <c r="L14" s="165">
        <f>+INDEX([1]DataEx!$1:$1048576,MATCH('2019'!$A14,[1]DataEx!$D:$D,0),MATCH('2019'!L$6,[1]DataEx!$7:$7,0))</f>
        <v>158253.64000000001</v>
      </c>
      <c r="M14" s="165">
        <f>+INDEX([1]DataEx!$1:$1048576,MATCH('2019'!$A14,[1]DataEx!$D:$D,0),MATCH('2019'!M$6,[1]DataEx!$7:$7,0))</f>
        <v>152687.82</v>
      </c>
      <c r="N14" s="165">
        <f>+INDEX([1]DataEx!$1:$1048576,MATCH('2019'!$A14,[1]DataEx!$D:$D,0),MATCH('2019'!N$6,[1]DataEx!$7:$7,0))</f>
        <v>172408.19</v>
      </c>
      <c r="O14" s="165">
        <f>+INDEX([1]DataEx!$1:$1048576,MATCH('2019'!$A14,[1]DataEx!$D:$D,0),MATCH('2019'!O$6,[1]DataEx!$7:$7,0))</f>
        <v>131658.57</v>
      </c>
      <c r="P14" s="165">
        <f>+INDEX([1]DataEx!$1:$1048576,MATCH('2019'!$A14,[1]DataEx!$D:$D,0),MATCH('2019'!P$6,[1]DataEx!$7:$7,0))</f>
        <v>174049.01</v>
      </c>
      <c r="Q14" s="165">
        <f>+INDEX([1]DataEx!$1:$1048576,MATCH('2019'!$A14,[1]DataEx!$D:$D,0),MATCH('2019'!Q$6,[1]DataEx!$7:$7,0))</f>
        <v>172799.49</v>
      </c>
      <c r="R14" s="165">
        <f>+INDEX([1]DataEx!$1:$1048576,MATCH('2019'!$A14,[1]DataEx!$D:$D,0),MATCH('2019'!R$6,[1]DataEx!$7:$7,0))</f>
        <v>289363.09000000003</v>
      </c>
      <c r="S14" s="404">
        <f t="shared" si="3"/>
        <v>2037253.77</v>
      </c>
      <c r="T14" s="389">
        <f t="shared" si="4"/>
        <v>4.2292121193249053E-4</v>
      </c>
    </row>
    <row r="15" spans="1:20">
      <c r="A15" s="152">
        <v>7114</v>
      </c>
      <c r="B15" s="480" t="str">
        <f>+VLOOKUP($A15,[1]Master!$D$27:$G$225,4,FALSE)</f>
        <v>Porez na dodatu vrijednost</v>
      </c>
      <c r="C15" s="481"/>
      <c r="D15" s="481"/>
      <c r="E15" s="481"/>
      <c r="F15" s="481"/>
      <c r="G15" s="165">
        <f>+INDEX([1]DataEx!$1:$1048576,MATCH('2019'!$A15,[1]DataEx!$D:$D,0),MATCH('2019'!G$6,[1]DataEx!$7:$7,0))</f>
        <v>49847223.18</v>
      </c>
      <c r="H15" s="165">
        <f>+INDEX([1]DataEx!$1:$1048576,MATCH('2019'!$A15,[1]DataEx!$D:$D,0),MATCH('2019'!H$6,[1]DataEx!$7:$7,0))</f>
        <v>38958365.399999999</v>
      </c>
      <c r="I15" s="165">
        <f>+INDEX([1]DataEx!$1:$1048576,MATCH('2019'!$A15,[1]DataEx!$D:$D,0),MATCH('2019'!I$6,[1]DataEx!$7:$7,0))</f>
        <v>50498218.18</v>
      </c>
      <c r="J15" s="165">
        <f>+INDEX([1]DataEx!$1:$1048576,MATCH('2019'!$A15,[1]DataEx!$D:$D,0),MATCH('2019'!J$6,[1]DataEx!$7:$7,0))</f>
        <v>55142838.460000001</v>
      </c>
      <c r="K15" s="165">
        <f>+INDEX([1]DataEx!$1:$1048576,MATCH('2019'!$A15,[1]DataEx!$D:$D,0),MATCH('2019'!K$6,[1]DataEx!$7:$7,0))</f>
        <v>56428341.859999999</v>
      </c>
      <c r="L15" s="165">
        <f>+INDEX([1]DataEx!$1:$1048576,MATCH('2019'!$A15,[1]DataEx!$D:$D,0),MATCH('2019'!L$6,[1]DataEx!$7:$7,0))</f>
        <v>52810087.229999997</v>
      </c>
      <c r="M15" s="165">
        <f>+INDEX([1]DataEx!$1:$1048576,MATCH('2019'!$A15,[1]DataEx!$D:$D,0),MATCH('2019'!M$6,[1]DataEx!$7:$7,0))</f>
        <v>71626480.939999998</v>
      </c>
      <c r="N15" s="165">
        <f>+INDEX([1]DataEx!$1:$1048576,MATCH('2019'!$A15,[1]DataEx!$D:$D,0),MATCH('2019'!N$6,[1]DataEx!$7:$7,0))</f>
        <v>71690318.180000007</v>
      </c>
      <c r="O15" s="165">
        <f>+INDEX([1]DataEx!$1:$1048576,MATCH('2019'!$A15,[1]DataEx!$D:$D,0),MATCH('2019'!O$6,[1]DataEx!$7:$7,0))</f>
        <v>70816309.909999996</v>
      </c>
      <c r="P15" s="165">
        <f>+INDEX([1]DataEx!$1:$1048576,MATCH('2019'!$A15,[1]DataEx!$D:$D,0),MATCH('2019'!P$6,[1]DataEx!$7:$7,0))</f>
        <v>65908952.759999998</v>
      </c>
      <c r="Q15" s="165">
        <f>+INDEX([1]DataEx!$1:$1048576,MATCH('2019'!$A15,[1]DataEx!$D:$D,0),MATCH('2019'!Q$6,[1]DataEx!$7:$7,0))</f>
        <v>54764641.939999998</v>
      </c>
      <c r="R15" s="165">
        <f>+INDEX([1]DataEx!$1:$1048576,MATCH('2019'!$A15,[1]DataEx!$D:$D,0),MATCH('2019'!R$6,[1]DataEx!$7:$7,0))</f>
        <v>57237175.490000002</v>
      </c>
      <c r="S15" s="404">
        <f t="shared" si="3"/>
        <v>695728953.52999997</v>
      </c>
      <c r="T15" s="389">
        <f t="shared" si="4"/>
        <v>0.14442900365987835</v>
      </c>
    </row>
    <row r="16" spans="1:20">
      <c r="A16" s="152">
        <v>7115</v>
      </c>
      <c r="B16" s="480" t="str">
        <f>+VLOOKUP($A16,[1]Master!$D$27:$G$225,4,FALSE)</f>
        <v>Akcize</v>
      </c>
      <c r="C16" s="481"/>
      <c r="D16" s="481"/>
      <c r="E16" s="481"/>
      <c r="F16" s="481"/>
      <c r="G16" s="165">
        <f>+INDEX([1]DataEx!$1:$1048576,MATCH('2019'!$A16,[1]DataEx!$D:$D,0),MATCH('2019'!G$6,[1]DataEx!$7:$7,0))</f>
        <v>15141217.210000001</v>
      </c>
      <c r="H16" s="165">
        <f>+INDEX([1]DataEx!$1:$1048576,MATCH('2019'!$A16,[1]DataEx!$D:$D,0),MATCH('2019'!H$6,[1]DataEx!$7:$7,0))</f>
        <v>13186126.23</v>
      </c>
      <c r="I16" s="165">
        <f>+INDEX([1]DataEx!$1:$1048576,MATCH('2019'!$A16,[1]DataEx!$D:$D,0),MATCH('2019'!I$6,[1]DataEx!$7:$7,0))</f>
        <v>13315087.640000001</v>
      </c>
      <c r="J16" s="165">
        <f>+INDEX([1]DataEx!$1:$1048576,MATCH('2019'!$A16,[1]DataEx!$D:$D,0),MATCH('2019'!J$6,[1]DataEx!$7:$7,0))</f>
        <v>16826313.73</v>
      </c>
      <c r="K16" s="165">
        <f>+INDEX([1]DataEx!$1:$1048576,MATCH('2019'!$A16,[1]DataEx!$D:$D,0),MATCH('2019'!K$6,[1]DataEx!$7:$7,0))</f>
        <v>19442485.359999999</v>
      </c>
      <c r="L16" s="165">
        <f>+INDEX([1]DataEx!$1:$1048576,MATCH('2019'!$A16,[1]DataEx!$D:$D,0),MATCH('2019'!L$6,[1]DataEx!$7:$7,0))</f>
        <v>19205497.870000001</v>
      </c>
      <c r="M16" s="165">
        <f>+INDEX([1]DataEx!$1:$1048576,MATCH('2019'!$A16,[1]DataEx!$D:$D,0),MATCH('2019'!M$6,[1]DataEx!$7:$7,0))</f>
        <v>24612824.059999999</v>
      </c>
      <c r="N16" s="165">
        <f>+INDEX([1]DataEx!$1:$1048576,MATCH('2019'!$A16,[1]DataEx!$D:$D,0),MATCH('2019'!N$6,[1]DataEx!$7:$7,0))</f>
        <v>29562766.32</v>
      </c>
      <c r="O16" s="165">
        <f>+INDEX([1]DataEx!$1:$1048576,MATCH('2019'!$A16,[1]DataEx!$D:$D,0),MATCH('2019'!O$6,[1]DataEx!$7:$7,0))</f>
        <v>27417042.280000001</v>
      </c>
      <c r="P16" s="165">
        <f>+INDEX([1]DataEx!$1:$1048576,MATCH('2019'!$A16,[1]DataEx!$D:$D,0),MATCH('2019'!P$6,[1]DataEx!$7:$7,0))</f>
        <v>20585777.449999999</v>
      </c>
      <c r="Q16" s="165">
        <f>+INDEX([1]DataEx!$1:$1048576,MATCH('2019'!$A16,[1]DataEx!$D:$D,0),MATCH('2019'!Q$6,[1]DataEx!$7:$7,0))</f>
        <v>18663851.199999999</v>
      </c>
      <c r="R16" s="165">
        <f>+INDEX([1]DataEx!$1:$1048576,MATCH('2019'!$A16,[1]DataEx!$D:$D,0),MATCH('2019'!R$6,[1]DataEx!$7:$7,0))</f>
        <v>17559308.390000001</v>
      </c>
      <c r="S16" s="404">
        <f t="shared" si="3"/>
        <v>235518297.74000001</v>
      </c>
      <c r="T16" s="389">
        <f t="shared" si="4"/>
        <v>4.8892133802495276E-2</v>
      </c>
    </row>
    <row r="17" spans="1:25">
      <c r="A17" s="152">
        <v>7116</v>
      </c>
      <c r="B17" s="480" t="str">
        <f>+VLOOKUP($A17,[1]Master!$D$27:$G$225,4,FALSE)</f>
        <v>Porez na međunarodnu trgovinu i transakcije</v>
      </c>
      <c r="C17" s="481"/>
      <c r="D17" s="481"/>
      <c r="E17" s="481"/>
      <c r="F17" s="481"/>
      <c r="G17" s="165">
        <f>+INDEX([1]DataEx!$1:$1048576,MATCH('2019'!$A17,[1]DataEx!$D:$D,0),MATCH('2019'!G$6,[1]DataEx!$7:$7,0))</f>
        <v>1424968.68</v>
      </c>
      <c r="H17" s="165">
        <f>+INDEX([1]DataEx!$1:$1048576,MATCH('2019'!$A17,[1]DataEx!$D:$D,0),MATCH('2019'!H$6,[1]DataEx!$7:$7,0))</f>
        <v>1733788.33</v>
      </c>
      <c r="I17" s="165">
        <f>+INDEX([1]DataEx!$1:$1048576,MATCH('2019'!$A17,[1]DataEx!$D:$D,0),MATCH('2019'!I$6,[1]DataEx!$7:$7,0))</f>
        <v>2462209.73</v>
      </c>
      <c r="J17" s="165">
        <f>+INDEX([1]DataEx!$1:$1048576,MATCH('2019'!$A17,[1]DataEx!$D:$D,0),MATCH('2019'!J$6,[1]DataEx!$7:$7,0))</f>
        <v>2531899.16</v>
      </c>
      <c r="K17" s="165">
        <f>+INDEX([1]DataEx!$1:$1048576,MATCH('2019'!$A17,[1]DataEx!$D:$D,0),MATCH('2019'!K$6,[1]DataEx!$7:$7,0))</f>
        <v>2502520.2799999998</v>
      </c>
      <c r="L17" s="165">
        <f>+INDEX([1]DataEx!$1:$1048576,MATCH('2019'!$A17,[1]DataEx!$D:$D,0),MATCH('2019'!L$6,[1]DataEx!$7:$7,0))</f>
        <v>2485583.9700000002</v>
      </c>
      <c r="M17" s="165">
        <f>+INDEX([1]DataEx!$1:$1048576,MATCH('2019'!$A17,[1]DataEx!$D:$D,0),MATCH('2019'!M$6,[1]DataEx!$7:$7,0))</f>
        <v>3088089.4</v>
      </c>
      <c r="N17" s="165">
        <f>+INDEX([1]DataEx!$1:$1048576,MATCH('2019'!$A17,[1]DataEx!$D:$D,0),MATCH('2019'!N$6,[1]DataEx!$7:$7,0))</f>
        <v>2788700.72</v>
      </c>
      <c r="O17" s="165">
        <f>+INDEX([1]DataEx!$1:$1048576,MATCH('2019'!$A17,[1]DataEx!$D:$D,0),MATCH('2019'!O$6,[1]DataEx!$7:$7,0))</f>
        <v>2553125.85</v>
      </c>
      <c r="P17" s="165">
        <f>+INDEX([1]DataEx!$1:$1048576,MATCH('2019'!$A17,[1]DataEx!$D:$D,0),MATCH('2019'!P$6,[1]DataEx!$7:$7,0))</f>
        <v>2492699.6800000002</v>
      </c>
      <c r="Q17" s="165">
        <f>+INDEX([1]DataEx!$1:$1048576,MATCH('2019'!$A17,[1]DataEx!$D:$D,0),MATCH('2019'!Q$6,[1]DataEx!$7:$7,0))</f>
        <v>2023761.96</v>
      </c>
      <c r="R17" s="165">
        <f>+INDEX([1]DataEx!$1:$1048576,MATCH('2019'!$A17,[1]DataEx!$D:$D,0),MATCH('2019'!R$6,[1]DataEx!$7:$7,0))</f>
        <v>2439192.98</v>
      </c>
      <c r="S17" s="404">
        <f t="shared" si="3"/>
        <v>28526540.740000002</v>
      </c>
      <c r="T17" s="389">
        <f t="shared" si="4"/>
        <v>5.921932436528202E-3</v>
      </c>
    </row>
    <row r="18" spans="1:25">
      <c r="A18" s="152">
        <v>7118</v>
      </c>
      <c r="B18" s="480" t="str">
        <f>+VLOOKUP($A18,[1]Master!$D$27:$G$225,4,FALSE)</f>
        <v>Ostali državni porezi</v>
      </c>
      <c r="C18" s="481"/>
      <c r="D18" s="481"/>
      <c r="E18" s="481"/>
      <c r="F18" s="481"/>
      <c r="G18" s="165">
        <f>+INDEX([1]DataEx!$1:$1048576,MATCH('2019'!$A18,[1]DataEx!$D:$D,0),MATCH('2019'!G$6,[1]DataEx!$7:$7,0))</f>
        <v>720320.96</v>
      </c>
      <c r="H18" s="165">
        <f>+INDEX([1]DataEx!$1:$1048576,MATCH('2019'!$A18,[1]DataEx!$D:$D,0),MATCH('2019'!H$6,[1]DataEx!$7:$7,0))</f>
        <v>3098848.85</v>
      </c>
      <c r="I18" s="165">
        <f>+INDEX([1]DataEx!$1:$1048576,MATCH('2019'!$A18,[1]DataEx!$D:$D,0),MATCH('2019'!I$6,[1]DataEx!$7:$7,0))</f>
        <v>777051.66</v>
      </c>
      <c r="J18" s="165">
        <f>+INDEX([1]DataEx!$1:$1048576,MATCH('2019'!$A18,[1]DataEx!$D:$D,0),MATCH('2019'!J$6,[1]DataEx!$7:$7,0))</f>
        <v>910873.03</v>
      </c>
      <c r="K18" s="165">
        <f>+INDEX([1]DataEx!$1:$1048576,MATCH('2019'!$A18,[1]DataEx!$D:$D,0),MATCH('2019'!K$6,[1]DataEx!$7:$7,0))</f>
        <v>858869.92</v>
      </c>
      <c r="L18" s="165">
        <f>+INDEX([1]DataEx!$1:$1048576,MATCH('2019'!$A18,[1]DataEx!$D:$D,0),MATCH('2019'!L$6,[1]DataEx!$7:$7,0))</f>
        <v>925408.95</v>
      </c>
      <c r="M18" s="165">
        <f>+INDEX([1]DataEx!$1:$1048576,MATCH('2019'!$A18,[1]DataEx!$D:$D,0),MATCH('2019'!M$6,[1]DataEx!$7:$7,0))</f>
        <v>1005932.01</v>
      </c>
      <c r="N18" s="165">
        <f>+INDEX([1]DataEx!$1:$1048576,MATCH('2019'!$A18,[1]DataEx!$D:$D,0),MATCH('2019'!N$6,[1]DataEx!$7:$7,0))</f>
        <v>1032698.94</v>
      </c>
      <c r="O18" s="165">
        <f>+INDEX([1]DataEx!$1:$1048576,MATCH('2019'!$A18,[1]DataEx!$D:$D,0),MATCH('2019'!O$6,[1]DataEx!$7:$7,0))</f>
        <v>1007337.9</v>
      </c>
      <c r="P18" s="165">
        <f>+INDEX([1]DataEx!$1:$1048576,MATCH('2019'!$A18,[1]DataEx!$D:$D,0),MATCH('2019'!P$6,[1]DataEx!$7:$7,0))</f>
        <v>924594.05</v>
      </c>
      <c r="Q18" s="165">
        <f>+INDEX([1]DataEx!$1:$1048576,MATCH('2019'!$A18,[1]DataEx!$D:$D,0),MATCH('2019'!Q$6,[1]DataEx!$7:$7,0))</f>
        <v>976013.74</v>
      </c>
      <c r="R18" s="165">
        <f>+INDEX([1]DataEx!$1:$1048576,MATCH('2019'!$A18,[1]DataEx!$D:$D,0),MATCH('2019'!R$6,[1]DataEx!$7:$7,0))</f>
        <v>882757.09</v>
      </c>
      <c r="S18" s="404">
        <f t="shared" si="3"/>
        <v>13120707.100000001</v>
      </c>
      <c r="T18" s="389">
        <f t="shared" si="4"/>
        <v>2.7237771895953999E-3</v>
      </c>
    </row>
    <row r="19" spans="1:25">
      <c r="A19" s="152">
        <v>712</v>
      </c>
      <c r="B19" s="484" t="str">
        <f>+VLOOKUP($A19,[1]Master!$D$27:$G$225,4,FALSE)</f>
        <v>Doprinosi</v>
      </c>
      <c r="C19" s="485"/>
      <c r="D19" s="485"/>
      <c r="E19" s="485"/>
      <c r="F19" s="485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0.11340137612671526</v>
      </c>
    </row>
    <row r="20" spans="1:25">
      <c r="A20" s="152">
        <v>7121</v>
      </c>
      <c r="B20" s="480" t="str">
        <f>+VLOOKUP($A20,[1]Master!$D$27:$G$225,4,FALSE)</f>
        <v>Doprinosi za penzijsko i invalidsko osiguranje</v>
      </c>
      <c r="C20" s="481"/>
      <c r="D20" s="481"/>
      <c r="E20" s="481"/>
      <c r="F20" s="481"/>
      <c r="G20" s="165">
        <f>+INDEX([1]DataEx!$1:$1048576,MATCH('2019'!$A20,[1]DataEx!$D:$D,0),MATCH('2019'!G$6,[1]DataEx!$7:$7,0))</f>
        <v>9695765.5800000001</v>
      </c>
      <c r="H20" s="165">
        <f>+INDEX([1]DataEx!$1:$1048576,MATCH('2019'!$A20,[1]DataEx!$D:$D,0),MATCH('2019'!H$6,[1]DataEx!$7:$7,0))</f>
        <v>24593790.260000002</v>
      </c>
      <c r="I20" s="165">
        <f>+INDEX([1]DataEx!$1:$1048576,MATCH('2019'!$A20,[1]DataEx!$D:$D,0),MATCH('2019'!I$6,[1]DataEx!$7:$7,0))</f>
        <v>23923752.719999999</v>
      </c>
      <c r="J20" s="165">
        <f>+INDEX([1]DataEx!$1:$1048576,MATCH('2019'!$A20,[1]DataEx!$D:$D,0),MATCH('2019'!J$6,[1]DataEx!$7:$7,0))</f>
        <v>29650595.870000001</v>
      </c>
      <c r="K20" s="165">
        <f>+INDEX([1]DataEx!$1:$1048576,MATCH('2019'!$A20,[1]DataEx!$D:$D,0),MATCH('2019'!K$6,[1]DataEx!$7:$7,0))</f>
        <v>22104934.850000001</v>
      </c>
      <c r="L20" s="165">
        <f>+INDEX([1]DataEx!$1:$1048576,MATCH('2019'!$A20,[1]DataEx!$D:$D,0),MATCH('2019'!L$6,[1]DataEx!$7:$7,0))</f>
        <v>27009559.609999999</v>
      </c>
      <c r="M20" s="165">
        <f>+INDEX([1]DataEx!$1:$1048576,MATCH('2019'!$A20,[1]DataEx!$D:$D,0),MATCH('2019'!M$6,[1]DataEx!$7:$7,0))</f>
        <v>28964205.43</v>
      </c>
      <c r="N20" s="165">
        <f>+INDEX([1]DataEx!$1:$1048576,MATCH('2019'!$A20,[1]DataEx!$D:$D,0),MATCH('2019'!N$6,[1]DataEx!$7:$7,0))</f>
        <v>27519220.43</v>
      </c>
      <c r="O20" s="165">
        <f>+INDEX([1]DataEx!$1:$1048576,MATCH('2019'!$A20,[1]DataEx!$D:$D,0),MATCH('2019'!O$6,[1]DataEx!$7:$7,0))</f>
        <v>26730921.559999999</v>
      </c>
      <c r="P20" s="165">
        <f>+INDEX([1]DataEx!$1:$1048576,MATCH('2019'!$A20,[1]DataEx!$D:$D,0),MATCH('2019'!P$6,[1]DataEx!$7:$7,0))</f>
        <v>28563512.620000001</v>
      </c>
      <c r="Q20" s="165">
        <f>+INDEX([1]DataEx!$1:$1048576,MATCH('2019'!$A20,[1]DataEx!$D:$D,0),MATCH('2019'!Q$6,[1]DataEx!$7:$7,0))</f>
        <v>27240325.079999998</v>
      </c>
      <c r="R20" s="165">
        <f>+INDEX([1]DataEx!$1:$1048576,MATCH('2019'!$A20,[1]DataEx!$D:$D,0),MATCH('2019'!R$6,[1]DataEx!$7:$7,0))</f>
        <v>53184840.350000001</v>
      </c>
      <c r="S20" s="404">
        <f>+SUM(G20:R20)</f>
        <v>329181424.36000001</v>
      </c>
      <c r="T20" s="389">
        <f t="shared" si="4"/>
        <v>6.8336016350086154E-2</v>
      </c>
    </row>
    <row r="21" spans="1:25">
      <c r="A21" s="152">
        <v>7122</v>
      </c>
      <c r="B21" s="480" t="str">
        <f>+VLOOKUP($A21,[1]Master!$D$27:$G$225,4,FALSE)</f>
        <v>Doprinosi za zdravstveno osiguranje</v>
      </c>
      <c r="C21" s="481"/>
      <c r="D21" s="481"/>
      <c r="E21" s="481"/>
      <c r="F21" s="481"/>
      <c r="G21" s="165">
        <f>+INDEX([1]DataEx!$1:$1048576,MATCH('2019'!$A21,[1]DataEx!$D:$D,0),MATCH('2019'!G$6,[1]DataEx!$7:$7,0))</f>
        <v>5963049.2000000002</v>
      </c>
      <c r="H21" s="165">
        <f>+INDEX([1]DataEx!$1:$1048576,MATCH('2019'!$A21,[1]DataEx!$D:$D,0),MATCH('2019'!H$6,[1]DataEx!$7:$7,0))</f>
        <v>15122476.890000001</v>
      </c>
      <c r="I21" s="165">
        <f>+INDEX([1]DataEx!$1:$1048576,MATCH('2019'!$A21,[1]DataEx!$D:$D,0),MATCH('2019'!I$6,[1]DataEx!$7:$7,0))</f>
        <v>14777265.789999999</v>
      </c>
      <c r="J21" s="165">
        <f>+INDEX([1]DataEx!$1:$1048576,MATCH('2019'!$A21,[1]DataEx!$D:$D,0),MATCH('2019'!J$6,[1]DataEx!$7:$7,0))</f>
        <v>17925167.550000001</v>
      </c>
      <c r="K21" s="165">
        <f>+INDEX([1]DataEx!$1:$1048576,MATCH('2019'!$A21,[1]DataEx!$D:$D,0),MATCH('2019'!K$6,[1]DataEx!$7:$7,0))</f>
        <v>13458982.5</v>
      </c>
      <c r="L21" s="165">
        <f>+INDEX([1]DataEx!$1:$1048576,MATCH('2019'!$A21,[1]DataEx!$D:$D,0),MATCH('2019'!L$6,[1]DataEx!$7:$7,0))</f>
        <v>15925774.34</v>
      </c>
      <c r="M21" s="165">
        <f>+INDEX([1]DataEx!$1:$1048576,MATCH('2019'!$A21,[1]DataEx!$D:$D,0),MATCH('2019'!M$6,[1]DataEx!$7:$7,0))</f>
        <v>17203285.449999999</v>
      </c>
      <c r="N21" s="165">
        <f>+INDEX([1]DataEx!$1:$1048576,MATCH('2019'!$A21,[1]DataEx!$D:$D,0),MATCH('2019'!N$6,[1]DataEx!$7:$7,0))</f>
        <v>15860674.26</v>
      </c>
      <c r="O21" s="165">
        <f>+INDEX([1]DataEx!$1:$1048576,MATCH('2019'!$A21,[1]DataEx!$D:$D,0),MATCH('2019'!O$6,[1]DataEx!$7:$7,0))</f>
        <v>14501660.91</v>
      </c>
      <c r="P21" s="165">
        <f>+INDEX([1]DataEx!$1:$1048576,MATCH('2019'!$A21,[1]DataEx!$D:$D,0),MATCH('2019'!P$6,[1]DataEx!$7:$7,0))</f>
        <v>15344312.359999999</v>
      </c>
      <c r="Q21" s="165">
        <f>+INDEX([1]DataEx!$1:$1048576,MATCH('2019'!$A21,[1]DataEx!$D:$D,0),MATCH('2019'!Q$6,[1]DataEx!$7:$7,0))</f>
        <v>14381893.27</v>
      </c>
      <c r="R21" s="165">
        <f>+INDEX([1]DataEx!$1:$1048576,MATCH('2019'!$A21,[1]DataEx!$D:$D,0),MATCH('2019'!R$6,[1]DataEx!$7:$7,0))</f>
        <v>27283965.91</v>
      </c>
      <c r="S21" s="404">
        <f t="shared" si="3"/>
        <v>187748508.43000001</v>
      </c>
      <c r="T21" s="389">
        <f t="shared" si="4"/>
        <v>3.8975422646405515E-2</v>
      </c>
    </row>
    <row r="22" spans="1:25">
      <c r="A22" s="152">
        <v>7123</v>
      </c>
      <c r="B22" s="480" t="str">
        <f>+VLOOKUP($A22,[1]Master!$D$27:$G$225,4,FALSE)</f>
        <v>Doprinosi za osiguranje od nezaposlenosti</v>
      </c>
      <c r="C22" s="481"/>
      <c r="D22" s="481"/>
      <c r="E22" s="481"/>
      <c r="F22" s="481"/>
      <c r="G22" s="165">
        <f>+INDEX([1]DataEx!$1:$1048576,MATCH('2019'!$A22,[1]DataEx!$D:$D,0),MATCH('2019'!G$6,[1]DataEx!$7:$7,0))</f>
        <v>459881.42</v>
      </c>
      <c r="H22" s="165">
        <f>+INDEX([1]DataEx!$1:$1048576,MATCH('2019'!$A22,[1]DataEx!$D:$D,0),MATCH('2019'!H$6,[1]DataEx!$7:$7,0))</f>
        <v>1160315.8500000001</v>
      </c>
      <c r="I22" s="165">
        <f>+INDEX([1]DataEx!$1:$1048576,MATCH('2019'!$A22,[1]DataEx!$D:$D,0),MATCH('2019'!I$6,[1]DataEx!$7:$7,0))</f>
        <v>1135767.8899999999</v>
      </c>
      <c r="J22" s="165">
        <f>+INDEX([1]DataEx!$1:$1048576,MATCH('2019'!$A22,[1]DataEx!$D:$D,0),MATCH('2019'!J$6,[1]DataEx!$7:$7,0))</f>
        <v>1375720.59</v>
      </c>
      <c r="K22" s="165">
        <f>+INDEX([1]DataEx!$1:$1048576,MATCH('2019'!$A22,[1]DataEx!$D:$D,0),MATCH('2019'!K$6,[1]DataEx!$7:$7,0))</f>
        <v>1026106.03</v>
      </c>
      <c r="L22" s="165">
        <f>+INDEX([1]DataEx!$1:$1048576,MATCH('2019'!$A22,[1]DataEx!$D:$D,0),MATCH('2019'!L$6,[1]DataEx!$7:$7,0))</f>
        <v>1222753.49</v>
      </c>
      <c r="M22" s="165">
        <f>+INDEX([1]DataEx!$1:$1048576,MATCH('2019'!$A22,[1]DataEx!$D:$D,0),MATCH('2019'!M$6,[1]DataEx!$7:$7,0))</f>
        <v>1316999.83</v>
      </c>
      <c r="N22" s="165">
        <f>+INDEX([1]DataEx!$1:$1048576,MATCH('2019'!$A22,[1]DataEx!$D:$D,0),MATCH('2019'!N$6,[1]DataEx!$7:$7,0))</f>
        <v>1256512.28</v>
      </c>
      <c r="O22" s="165">
        <f>+INDEX([1]DataEx!$1:$1048576,MATCH('2019'!$A22,[1]DataEx!$D:$D,0),MATCH('2019'!O$6,[1]DataEx!$7:$7,0))</f>
        <v>1242677.57</v>
      </c>
      <c r="P22" s="165">
        <f>+INDEX([1]DataEx!$1:$1048576,MATCH('2019'!$A22,[1]DataEx!$D:$D,0),MATCH('2019'!P$6,[1]DataEx!$7:$7,0))</f>
        <v>1311319.78</v>
      </c>
      <c r="Q22" s="165">
        <f>+INDEX([1]DataEx!$1:$1048576,MATCH('2019'!$A22,[1]DataEx!$D:$D,0),MATCH('2019'!Q$6,[1]DataEx!$7:$7,0))</f>
        <v>1232927.92</v>
      </c>
      <c r="R22" s="165">
        <f>+INDEX([1]DataEx!$1:$1048576,MATCH('2019'!$A22,[1]DataEx!$D:$D,0),MATCH('2019'!R$6,[1]DataEx!$7:$7,0))</f>
        <v>2381170.7999999998</v>
      </c>
      <c r="S22" s="404">
        <f t="shared" si="3"/>
        <v>15122153.449999999</v>
      </c>
      <c r="T22" s="389">
        <f t="shared" si="4"/>
        <v>3.1392650038404848E-3</v>
      </c>
    </row>
    <row r="23" spans="1:25">
      <c r="A23" s="152">
        <v>7124</v>
      </c>
      <c r="B23" s="480" t="str">
        <f>+VLOOKUP($A23,[1]Master!$D$27:$G$225,4,FALSE)</f>
        <v>Ostali doprinosi</v>
      </c>
      <c r="C23" s="481"/>
      <c r="D23" s="481"/>
      <c r="E23" s="481"/>
      <c r="F23" s="481"/>
      <c r="G23" s="165">
        <f>+INDEX([1]DataEx!$1:$1048576,MATCH('2019'!$A23,[1]DataEx!$D:$D,0),MATCH('2019'!G$6,[1]DataEx!$7:$7,0))</f>
        <v>380185.28</v>
      </c>
      <c r="H23" s="165">
        <f>+INDEX([1]DataEx!$1:$1048576,MATCH('2019'!$A23,[1]DataEx!$D:$D,0),MATCH('2019'!H$6,[1]DataEx!$7:$7,0))</f>
        <v>1035686.38</v>
      </c>
      <c r="I23" s="165">
        <f>+INDEX([1]DataEx!$1:$1048576,MATCH('2019'!$A23,[1]DataEx!$D:$D,0),MATCH('2019'!I$6,[1]DataEx!$7:$7,0))</f>
        <v>1210812.78</v>
      </c>
      <c r="J23" s="165">
        <f>+INDEX([1]DataEx!$1:$1048576,MATCH('2019'!$A23,[1]DataEx!$D:$D,0),MATCH('2019'!J$6,[1]DataEx!$7:$7,0))</f>
        <v>1339504.93</v>
      </c>
      <c r="K23" s="165">
        <f>+INDEX([1]DataEx!$1:$1048576,MATCH('2019'!$A23,[1]DataEx!$D:$D,0),MATCH('2019'!K$6,[1]DataEx!$7:$7,0))</f>
        <v>906261.75</v>
      </c>
      <c r="L23" s="165">
        <f>+INDEX([1]DataEx!$1:$1048576,MATCH('2019'!$A23,[1]DataEx!$D:$D,0),MATCH('2019'!L$6,[1]DataEx!$7:$7,0))</f>
        <v>1122699.07</v>
      </c>
      <c r="M23" s="165">
        <f>+INDEX([1]DataEx!$1:$1048576,MATCH('2019'!$A23,[1]DataEx!$D:$D,0),MATCH('2019'!M$6,[1]DataEx!$7:$7,0))</f>
        <v>1177648.73</v>
      </c>
      <c r="N23" s="165">
        <f>+INDEX([1]DataEx!$1:$1048576,MATCH('2019'!$A23,[1]DataEx!$D:$D,0),MATCH('2019'!N$6,[1]DataEx!$7:$7,0))</f>
        <v>1134338.8700000001</v>
      </c>
      <c r="O23" s="165">
        <f>+INDEX([1]DataEx!$1:$1048576,MATCH('2019'!$A23,[1]DataEx!$D:$D,0),MATCH('2019'!O$6,[1]DataEx!$7:$7,0))</f>
        <v>1136086.4099999999</v>
      </c>
      <c r="P23" s="165">
        <f>+INDEX([1]DataEx!$1:$1048576,MATCH('2019'!$A23,[1]DataEx!$D:$D,0),MATCH('2019'!P$6,[1]DataEx!$7:$7,0))</f>
        <v>1268502.9099999999</v>
      </c>
      <c r="Q23" s="165">
        <f>+INDEX([1]DataEx!$1:$1048576,MATCH('2019'!$A23,[1]DataEx!$D:$D,0),MATCH('2019'!Q$6,[1]DataEx!$7:$7,0))</f>
        <v>1172038.0900000001</v>
      </c>
      <c r="R23" s="165">
        <f>+INDEX([1]DataEx!$1:$1048576,MATCH('2019'!$A23,[1]DataEx!$D:$D,0),MATCH('2019'!R$6,[1]DataEx!$7:$7,0))</f>
        <v>2329917.5</v>
      </c>
      <c r="S23" s="404">
        <f t="shared" si="3"/>
        <v>14213682.699999999</v>
      </c>
      <c r="T23" s="389">
        <f t="shared" si="4"/>
        <v>2.9506721263830933E-3</v>
      </c>
      <c r="Y23" s="319"/>
    </row>
    <row r="24" spans="1:25">
      <c r="A24" s="152">
        <v>713</v>
      </c>
      <c r="B24" s="482" t="str">
        <f>+VLOOKUP($A24,[1]Master!$D$27:$G$225,4,FALSE)</f>
        <v>Takse</v>
      </c>
      <c r="C24" s="483"/>
      <c r="D24" s="483"/>
      <c r="E24" s="483"/>
      <c r="F24" s="483"/>
      <c r="G24" s="177">
        <f>+INDEX([1]DataEx!$1:$1048576,MATCH('2019'!$A24,[1]DataEx!$D:$D,0),MATCH('2019'!G$6,[1]DataEx!$7:$7,0))</f>
        <v>851162.27</v>
      </c>
      <c r="H24" s="177">
        <f>+INDEX([1]DataEx!$1:$1048576,MATCH('2019'!$A24,[1]DataEx!$D:$D,0),MATCH('2019'!H$6,[1]DataEx!$7:$7,0))</f>
        <v>1041125.3899999999</v>
      </c>
      <c r="I24" s="177">
        <f>+INDEX([1]DataEx!$1:$1048576,MATCH('2019'!$A24,[1]DataEx!$D:$D,0),MATCH('2019'!I$6,[1]DataEx!$7:$7,0))</f>
        <v>1066481.8799999999</v>
      </c>
      <c r="J24" s="177">
        <f>+INDEX([1]DataEx!$1:$1048576,MATCH('2019'!$A24,[1]DataEx!$D:$D,0),MATCH('2019'!J$6,[1]DataEx!$7:$7,0))</f>
        <v>1290371.49</v>
      </c>
      <c r="K24" s="177">
        <f>+INDEX([1]DataEx!$1:$1048576,MATCH('2019'!$A24,[1]DataEx!$D:$D,0),MATCH('2019'!K$6,[1]DataEx!$7:$7,0))</f>
        <v>1208813.17</v>
      </c>
      <c r="L24" s="177">
        <f>+INDEX([1]DataEx!$1:$1048576,MATCH('2019'!$A24,[1]DataEx!$D:$D,0),MATCH('2019'!L$6,[1]DataEx!$7:$7,0))</f>
        <v>1252534.6599999999</v>
      </c>
      <c r="M24" s="177">
        <f>+INDEX([1]DataEx!$1:$1048576,MATCH('2019'!$A24,[1]DataEx!$D:$D,0),MATCH('2019'!M$6,[1]DataEx!$7:$7,0))</f>
        <v>1880947.5899999999</v>
      </c>
      <c r="N24" s="177">
        <f>+INDEX([1]DataEx!$1:$1048576,MATCH('2019'!$A24,[1]DataEx!$D:$D,0),MATCH('2019'!N$6,[1]DataEx!$7:$7,0))</f>
        <v>1630940.38</v>
      </c>
      <c r="O24" s="177">
        <f>+INDEX([1]DataEx!$1:$1048576,MATCH('2019'!$A24,[1]DataEx!$D:$D,0),MATCH('2019'!O$6,[1]DataEx!$7:$7,0))</f>
        <v>1570845.07</v>
      </c>
      <c r="P24" s="177">
        <f>+INDEX([1]DataEx!$1:$1048576,MATCH('2019'!$A24,[1]DataEx!$D:$D,0),MATCH('2019'!P$6,[1]DataEx!$7:$7,0))</f>
        <v>1362143.29</v>
      </c>
      <c r="Q24" s="177">
        <f>+INDEX([1]DataEx!$1:$1048576,MATCH('2019'!$A24,[1]DataEx!$D:$D,0),MATCH('2019'!Q$6,[1]DataEx!$7:$7,0))</f>
        <v>1005591.42</v>
      </c>
      <c r="R24" s="246">
        <f>+INDEX([1]DataEx!$1:$1048576,MATCH('2019'!$A24,[1]DataEx!$D:$D,0),MATCH('2019'!R$6,[1]DataEx!$7:$7,0))</f>
        <v>1445452.81</v>
      </c>
      <c r="S24" s="405">
        <f t="shared" si="3"/>
        <v>15606409.419999998</v>
      </c>
      <c r="T24" s="390">
        <f t="shared" si="4"/>
        <v>3.2397935313777993E-3</v>
      </c>
      <c r="Y24" s="319"/>
    </row>
    <row r="25" spans="1:25">
      <c r="A25" s="152">
        <v>714</v>
      </c>
      <c r="B25" s="482" t="str">
        <f>+VLOOKUP($A25,[1]Master!$D$27:$G$225,4,FALSE)</f>
        <v>Naknade</v>
      </c>
      <c r="C25" s="483"/>
      <c r="D25" s="483"/>
      <c r="E25" s="483"/>
      <c r="F25" s="483"/>
      <c r="G25" s="177">
        <f>+INDEX([1]DataEx!$1:$1048576,MATCH('2019'!$A25,[1]DataEx!$D:$D,0),MATCH('2019'!G$6,[1]DataEx!$7:$7,0))</f>
        <v>2315003.25</v>
      </c>
      <c r="H25" s="177">
        <f>+INDEX([1]DataEx!$1:$1048576,MATCH('2019'!$A25,[1]DataEx!$D:$D,0),MATCH('2019'!H$6,[1]DataEx!$7:$7,0))</f>
        <v>1541397.86</v>
      </c>
      <c r="I25" s="177">
        <f>+INDEX([1]DataEx!$1:$1048576,MATCH('2019'!$A25,[1]DataEx!$D:$D,0),MATCH('2019'!I$6,[1]DataEx!$7:$7,0))</f>
        <v>2408517.5</v>
      </c>
      <c r="J25" s="177">
        <f>+INDEX([1]DataEx!$1:$1048576,MATCH('2019'!$A25,[1]DataEx!$D:$D,0),MATCH('2019'!J$6,[1]DataEx!$7:$7,0))</f>
        <v>3310133.38</v>
      </c>
      <c r="K25" s="177">
        <f>+INDEX([1]DataEx!$1:$1048576,MATCH('2019'!$A25,[1]DataEx!$D:$D,0),MATCH('2019'!K$6,[1]DataEx!$7:$7,0))</f>
        <v>1792591.2</v>
      </c>
      <c r="L25" s="177">
        <f>+INDEX([1]DataEx!$1:$1048576,MATCH('2019'!$A25,[1]DataEx!$D:$D,0),MATCH('2019'!L$6,[1]DataEx!$7:$7,0))</f>
        <v>2081141.31</v>
      </c>
      <c r="M25" s="177">
        <f>+INDEX([1]DataEx!$1:$1048576,MATCH('2019'!$A25,[1]DataEx!$D:$D,0),MATCH('2019'!M$6,[1]DataEx!$7:$7,0))</f>
        <v>2697450.35</v>
      </c>
      <c r="N25" s="177">
        <f>+INDEX([1]DataEx!$1:$1048576,MATCH('2019'!$A25,[1]DataEx!$D:$D,0),MATCH('2019'!N$6,[1]DataEx!$7:$7,0))</f>
        <v>1985377.1099999999</v>
      </c>
      <c r="O25" s="177">
        <f>+INDEX([1]DataEx!$1:$1048576,MATCH('2019'!$A25,[1]DataEx!$D:$D,0),MATCH('2019'!O$6,[1]DataEx!$7:$7,0))</f>
        <v>2352827.11</v>
      </c>
      <c r="P25" s="177">
        <f>+INDEX([1]DataEx!$1:$1048576,MATCH('2019'!$A25,[1]DataEx!$D:$D,0),MATCH('2019'!P$6,[1]DataEx!$7:$7,0))</f>
        <v>2477150.35</v>
      </c>
      <c r="Q25" s="177">
        <f>+INDEX([1]DataEx!$1:$1048576,MATCH('2019'!$A25,[1]DataEx!$D:$D,0),MATCH('2019'!Q$6,[1]DataEx!$7:$7,0))</f>
        <v>1582634.86</v>
      </c>
      <c r="R25" s="246">
        <f>+INDEX([1]DataEx!$1:$1048576,MATCH('2019'!$A25,[1]DataEx!$D:$D,0),MATCH('2019'!R$6,[1]DataEx!$7:$7,0))</f>
        <v>3693530.67</v>
      </c>
      <c r="S25" s="405">
        <f t="shared" si="3"/>
        <v>28237754.950000003</v>
      </c>
      <c r="T25" s="390">
        <f t="shared" si="4"/>
        <v>5.8619823026302142E-3</v>
      </c>
      <c r="W25" s="306"/>
    </row>
    <row r="26" spans="1:25">
      <c r="A26" s="152">
        <v>715</v>
      </c>
      <c r="B26" s="482" t="str">
        <f>+VLOOKUP($A26,[1]Master!$D$27:$G$225,4,FALSE)</f>
        <v>Ostali prihodi</v>
      </c>
      <c r="C26" s="483"/>
      <c r="D26" s="483"/>
      <c r="E26" s="483"/>
      <c r="F26" s="483"/>
      <c r="G26" s="177">
        <f>+INDEX([1]DataEx!$1:$1048576,MATCH('2019'!$A26,[1]DataEx!$D:$D,0),MATCH('2019'!G$6,[1]DataEx!$7:$7,0))</f>
        <v>1567147.41</v>
      </c>
      <c r="H26" s="177">
        <f>+INDEX([1]DataEx!$1:$1048576,MATCH('2019'!$A26,[1]DataEx!$D:$D,0),MATCH('2019'!H$6,[1]DataEx!$7:$7,0))</f>
        <v>2199531.1</v>
      </c>
      <c r="I26" s="177">
        <f>+INDEX([1]DataEx!$1:$1048576,MATCH('2019'!$A26,[1]DataEx!$D:$D,0),MATCH('2019'!I$6,[1]DataEx!$7:$7,0))</f>
        <v>3193816.55</v>
      </c>
      <c r="J26" s="177">
        <f>+INDEX([1]DataEx!$1:$1048576,MATCH('2019'!$A26,[1]DataEx!$D:$D,0),MATCH('2019'!J$6,[1]DataEx!$7:$7,0))</f>
        <v>2384912.75</v>
      </c>
      <c r="K26" s="177">
        <f>+INDEX([1]DataEx!$1:$1048576,MATCH('2019'!$A26,[1]DataEx!$D:$D,0),MATCH('2019'!K$6,[1]DataEx!$7:$7,0))</f>
        <v>7159071.0099999998</v>
      </c>
      <c r="L26" s="177">
        <f>+INDEX([1]DataEx!$1:$1048576,MATCH('2019'!$A26,[1]DataEx!$D:$D,0),MATCH('2019'!L$6,[1]DataEx!$7:$7,0))</f>
        <v>3262994.81</v>
      </c>
      <c r="M26" s="177">
        <f>+INDEX([1]DataEx!$1:$1048576,MATCH('2019'!$A26,[1]DataEx!$D:$D,0),MATCH('2019'!M$6,[1]DataEx!$7:$7,0))</f>
        <v>3734626.12</v>
      </c>
      <c r="N26" s="177">
        <f>+INDEX([1]DataEx!$1:$1048576,MATCH('2019'!$A26,[1]DataEx!$D:$D,0),MATCH('2019'!N$6,[1]DataEx!$7:$7,0))</f>
        <v>2985463.57</v>
      </c>
      <c r="O26" s="177">
        <f>+INDEX([1]DataEx!$1:$1048576,MATCH('2019'!$A26,[1]DataEx!$D:$D,0),MATCH('2019'!O$6,[1]DataEx!$7:$7,0))</f>
        <v>2214023.2000000002</v>
      </c>
      <c r="P26" s="177">
        <f>+INDEX([1]DataEx!$1:$1048576,MATCH('2019'!$A26,[1]DataEx!$D:$D,0),MATCH('2019'!P$6,[1]DataEx!$7:$7,0))</f>
        <v>2505033.94</v>
      </c>
      <c r="Q26" s="177">
        <f>+INDEX([1]DataEx!$1:$1048576,MATCH('2019'!$A26,[1]DataEx!$D:$D,0),MATCH('2019'!Q$6,[1]DataEx!$7:$7,0))</f>
        <v>2278636.0299999998</v>
      </c>
      <c r="R26" s="246">
        <f>+INDEX([1]DataEx!$1:$1048576,MATCH('2019'!$A26,[1]DataEx!$D:$D,0),MATCH('2019'!R$6,[1]DataEx!$7:$7,0))</f>
        <v>42306339.840000004</v>
      </c>
      <c r="S26" s="405">
        <f t="shared" si="3"/>
        <v>75791596.330000013</v>
      </c>
      <c r="T26" s="390">
        <f t="shared" si="4"/>
        <v>1.5733864011542215E-2</v>
      </c>
      <c r="W26" s="325"/>
    </row>
    <row r="27" spans="1:25">
      <c r="A27" s="152">
        <v>73</v>
      </c>
      <c r="B27" s="482" t="str">
        <f>+VLOOKUP($A27,[1]Master!$D$27:$G$225,4,FALSE)</f>
        <v>Primici od otplate kredita i sredstva prenesena iz prethodne godine</v>
      </c>
      <c r="C27" s="483"/>
      <c r="D27" s="483"/>
      <c r="E27" s="483"/>
      <c r="F27" s="483"/>
      <c r="G27" s="177">
        <f>+INDEX([1]DataEx!$1:$1048576,MATCH('2019'!$A27,[1]DataEx!$D:$D,0),MATCH('2019'!G$6,[1]DataEx!$7:$7,0))</f>
        <v>69158.880000000005</v>
      </c>
      <c r="H27" s="177">
        <f>+INDEX([1]DataEx!$1:$1048576,MATCH('2019'!$A27,[1]DataEx!$D:$D,0),MATCH('2019'!H$6,[1]DataEx!$7:$7,0))</f>
        <v>378338.04</v>
      </c>
      <c r="I27" s="177">
        <f>+INDEX([1]DataEx!$1:$1048576,MATCH('2019'!$A27,[1]DataEx!$D:$D,0),MATCH('2019'!I$6,[1]DataEx!$7:$7,0))</f>
        <v>257172.98</v>
      </c>
      <c r="J27" s="177">
        <f>+INDEX([1]DataEx!$1:$1048576,MATCH('2019'!$A27,[1]DataEx!$D:$D,0),MATCH('2019'!J$6,[1]DataEx!$7:$7,0))</f>
        <v>349238.34</v>
      </c>
      <c r="K27" s="177">
        <f>+INDEX([1]DataEx!$1:$1048576,MATCH('2019'!$A27,[1]DataEx!$D:$D,0),MATCH('2019'!K$6,[1]DataEx!$7:$7,0))</f>
        <v>808656.23</v>
      </c>
      <c r="L27" s="177">
        <f>+INDEX([1]DataEx!$1:$1048576,MATCH('2019'!$A27,[1]DataEx!$D:$D,0),MATCH('2019'!L$6,[1]DataEx!$7:$7,0))</f>
        <v>1298753.81</v>
      </c>
      <c r="M27" s="177">
        <f>+INDEX([1]DataEx!$1:$1048576,MATCH('2019'!$A27,[1]DataEx!$D:$D,0),MATCH('2019'!M$6,[1]DataEx!$7:$7,0))</f>
        <v>134648.84</v>
      </c>
      <c r="N27" s="177">
        <f>+INDEX([1]DataEx!$1:$1048576,MATCH('2019'!$A27,[1]DataEx!$D:$D,0),MATCH('2019'!N$6,[1]DataEx!$7:$7,0))</f>
        <v>1295803.5900000001</v>
      </c>
      <c r="O27" s="177">
        <f>+INDEX([1]DataEx!$1:$1048576,MATCH('2019'!$A27,[1]DataEx!$D:$D,0),MATCH('2019'!O$6,[1]DataEx!$7:$7,0))</f>
        <v>183612.59</v>
      </c>
      <c r="P27" s="177">
        <f>+INDEX([1]DataEx!$1:$1048576,MATCH('2019'!$A27,[1]DataEx!$D:$D,0),MATCH('2019'!P$6,[1]DataEx!$7:$7,0))</f>
        <v>223272.51</v>
      </c>
      <c r="Q27" s="177">
        <f>+INDEX([1]DataEx!$1:$1048576,MATCH('2019'!$A27,[1]DataEx!$D:$D,0),MATCH('2019'!Q$6,[1]DataEx!$7:$7,0))</f>
        <v>1445230.26</v>
      </c>
      <c r="R27" s="246">
        <f>+INDEX([1]DataEx!$1:$1048576,MATCH('2019'!$A27,[1]DataEx!$D:$D,0),MATCH('2019'!R$6,[1]DataEx!$7:$7,0))</f>
        <v>1668986.37</v>
      </c>
      <c r="S27" s="405">
        <f t="shared" si="3"/>
        <v>8112872.4399999995</v>
      </c>
      <c r="T27" s="390">
        <f t="shared" si="4"/>
        <v>1.6841818604554607E-3</v>
      </c>
    </row>
    <row r="28" spans="1:25" ht="13.5" thickBot="1">
      <c r="A28" s="152">
        <v>74</v>
      </c>
      <c r="B28" s="486" t="str">
        <f>+VLOOKUP($A28,[1]Master!$D$27:$G$225,4,FALSE)</f>
        <v>Donacije i transferi</v>
      </c>
      <c r="C28" s="487"/>
      <c r="D28" s="487"/>
      <c r="E28" s="487"/>
      <c r="F28" s="487"/>
      <c r="G28" s="177">
        <f>+INDEX([1]DataEx!$1:$1048576,MATCH('2019'!$A28,[1]DataEx!$D:$D,0),MATCH('2019'!G$6,[1]DataEx!$7:$7,0))</f>
        <v>13526117.220000001</v>
      </c>
      <c r="H28" s="177">
        <f>+INDEX([1]DataEx!$1:$1048576,MATCH('2019'!$A28,[1]DataEx!$D:$D,0),MATCH('2019'!H$6,[1]DataEx!$7:$7,0))</f>
        <v>1000413.32</v>
      </c>
      <c r="I28" s="177">
        <f>+INDEX([1]DataEx!$1:$1048576,MATCH('2019'!$A28,[1]DataEx!$D:$D,0),MATCH('2019'!I$6,[1]DataEx!$7:$7,0))</f>
        <v>861265.77</v>
      </c>
      <c r="J28" s="177">
        <f>+INDEX([1]DataEx!$1:$1048576,MATCH('2019'!$A28,[1]DataEx!$D:$D,0),MATCH('2019'!J$6,[1]DataEx!$7:$7,0))</f>
        <v>627154.51</v>
      </c>
      <c r="K28" s="177">
        <f>+INDEX([1]DataEx!$1:$1048576,MATCH('2019'!$A28,[1]DataEx!$D:$D,0),MATCH('2019'!K$6,[1]DataEx!$7:$7,0))</f>
        <v>1388870.5</v>
      </c>
      <c r="L28" s="177">
        <f>+INDEX([1]DataEx!$1:$1048576,MATCH('2019'!$A28,[1]DataEx!$D:$D,0),MATCH('2019'!L$6,[1]DataEx!$7:$7,0))</f>
        <v>827810.06</v>
      </c>
      <c r="M28" s="177">
        <f>+INDEX([1]DataEx!$1:$1048576,MATCH('2019'!$A28,[1]DataEx!$D:$D,0),MATCH('2019'!M$6,[1]DataEx!$7:$7,0))</f>
        <v>1651160.65</v>
      </c>
      <c r="N28" s="177">
        <f>+INDEX([1]DataEx!$1:$1048576,MATCH('2019'!$A28,[1]DataEx!$D:$D,0),MATCH('2019'!N$6,[1]DataEx!$7:$7,0))</f>
        <v>1596012.32</v>
      </c>
      <c r="O28" s="177">
        <f>+INDEX([1]DataEx!$1:$1048576,MATCH('2019'!$A28,[1]DataEx!$D:$D,0),MATCH('2019'!O$6,[1]DataEx!$7:$7,0))</f>
        <v>1508235.56</v>
      </c>
      <c r="P28" s="177">
        <f>+INDEX([1]DataEx!$1:$1048576,MATCH('2019'!$A28,[1]DataEx!$D:$D,0),MATCH('2019'!P$6,[1]DataEx!$7:$7,0))</f>
        <v>1944741.98</v>
      </c>
      <c r="Q28" s="177">
        <f>+INDEX([1]DataEx!$1:$1048576,MATCH('2019'!$A28,[1]DataEx!$D:$D,0),MATCH('2019'!Q$6,[1]DataEx!$7:$7,0))</f>
        <v>9471069</v>
      </c>
      <c r="R28" s="246">
        <f>+INDEX([1]DataEx!$1:$1048576,MATCH('2019'!$A28,[1]DataEx!$D:$D,0),MATCH('2019'!R$6,[1]DataEx!$7:$7,0))</f>
        <v>3964637.48</v>
      </c>
      <c r="S28" s="405">
        <f t="shared" si="3"/>
        <v>38367488.369999997</v>
      </c>
      <c r="T28" s="391">
        <f t="shared" si="4"/>
        <v>7.964851958647318E-3</v>
      </c>
    </row>
    <row r="29" spans="1:25" ht="13.5" thickBot="1">
      <c r="A29" s="152">
        <v>4</v>
      </c>
      <c r="B29" s="488" t="str">
        <f>+VLOOKUP($A29,[1]Master!$D$27:$G$225,4,FALSE)</f>
        <v>Budžetski izdaci</v>
      </c>
      <c r="C29" s="489"/>
      <c r="D29" s="489"/>
      <c r="E29" s="489"/>
      <c r="F29" s="489"/>
      <c r="G29" s="153">
        <f>+G31+G42+G48+SUM(G49:G53)</f>
        <v>139562037.61000001</v>
      </c>
      <c r="H29" s="153">
        <f t="shared" ref="H29:R29" si="5">+H31+H42+H48+SUM(H49:H53)</f>
        <v>130930029.51000001</v>
      </c>
      <c r="I29" s="153">
        <f t="shared" si="5"/>
        <v>172149384.75000003</v>
      </c>
      <c r="J29" s="153">
        <f t="shared" si="5"/>
        <v>154906237.59999996</v>
      </c>
      <c r="K29" s="153">
        <f t="shared" si="5"/>
        <v>146160791.25</v>
      </c>
      <c r="L29" s="153">
        <f t="shared" si="5"/>
        <v>144253014.98999998</v>
      </c>
      <c r="M29" s="153">
        <f t="shared" si="5"/>
        <v>179432127.83999997</v>
      </c>
      <c r="N29" s="153">
        <f t="shared" si="5"/>
        <v>159645623.38</v>
      </c>
      <c r="O29" s="153">
        <f t="shared" si="5"/>
        <v>149415654.53</v>
      </c>
      <c r="P29" s="153">
        <f t="shared" si="5"/>
        <v>179290471.31</v>
      </c>
      <c r="Q29" s="153">
        <f t="shared" si="5"/>
        <v>197195843.14999998</v>
      </c>
      <c r="R29" s="153">
        <f t="shared" si="5"/>
        <v>275818419.55000001</v>
      </c>
      <c r="S29" s="406">
        <f t="shared" si="3"/>
        <v>2028759635.4699996</v>
      </c>
      <c r="T29" s="392">
        <f t="shared" si="4"/>
        <v>0.42115788243341418</v>
      </c>
    </row>
    <row r="30" spans="1:25" ht="13.5" thickBot="1">
      <c r="A30" s="152">
        <v>40</v>
      </c>
      <c r="B30" s="490" t="str">
        <f>+VLOOKUP($A30,[1]Master!$D$27:$G$225,4,FALSE)</f>
        <v>Tekuća budžetska potrošnja</v>
      </c>
      <c r="C30" s="491"/>
      <c r="D30" s="491"/>
      <c r="E30" s="491"/>
      <c r="F30" s="491"/>
      <c r="G30" s="183">
        <f>+G29-G49</f>
        <v>112762324.30000001</v>
      </c>
      <c r="H30" s="183">
        <f t="shared" ref="H30:R30" si="6">+H29-H49</f>
        <v>126363854.78</v>
      </c>
      <c r="I30" s="183">
        <f t="shared" si="6"/>
        <v>156122939.41000003</v>
      </c>
      <c r="J30" s="183">
        <f t="shared" si="6"/>
        <v>142197008.82999995</v>
      </c>
      <c r="K30" s="183">
        <f t="shared" si="6"/>
        <v>134048135.33</v>
      </c>
      <c r="L30" s="183">
        <f t="shared" si="6"/>
        <v>129824559.55999997</v>
      </c>
      <c r="M30" s="183">
        <f t="shared" si="6"/>
        <v>154807267.04999998</v>
      </c>
      <c r="N30" s="183">
        <f t="shared" si="6"/>
        <v>118089889.8</v>
      </c>
      <c r="O30" s="183">
        <f t="shared" si="6"/>
        <v>133020211.09999999</v>
      </c>
      <c r="P30" s="183">
        <f t="shared" si="6"/>
        <v>149816468.75</v>
      </c>
      <c r="Q30" s="183">
        <f t="shared" si="6"/>
        <v>172416179.35999998</v>
      </c>
      <c r="R30" s="183">
        <f t="shared" si="6"/>
        <v>226908075.31</v>
      </c>
      <c r="S30" s="407">
        <f t="shared" si="3"/>
        <v>1756376913.5799997</v>
      </c>
      <c r="T30" s="393">
        <f t="shared" si="4"/>
        <v>0.3646129234560212</v>
      </c>
      <c r="U30" s="244"/>
    </row>
    <row r="31" spans="1:25">
      <c r="A31" s="152">
        <v>41</v>
      </c>
      <c r="B31" s="492" t="str">
        <f>+VLOOKUP($A31,[1]Master!$D$27:$G$225,4,FALSE)</f>
        <v>Tekući izdaci</v>
      </c>
      <c r="C31" s="493"/>
      <c r="D31" s="493"/>
      <c r="E31" s="493"/>
      <c r="F31" s="493"/>
      <c r="G31" s="189">
        <f>+SUM(G32:G41)</f>
        <v>50999819.160000004</v>
      </c>
      <c r="H31" s="189">
        <f t="shared" ref="H31:R31" si="7">+SUM(H32:H41)</f>
        <v>57511093.159999996</v>
      </c>
      <c r="I31" s="189">
        <f t="shared" si="7"/>
        <v>84767973.230000019</v>
      </c>
      <c r="J31" s="189">
        <f t="shared" si="7"/>
        <v>76654176.549999982</v>
      </c>
      <c r="K31" s="189">
        <f t="shared" si="7"/>
        <v>68301084.430000007</v>
      </c>
      <c r="L31" s="189">
        <f t="shared" si="7"/>
        <v>66996432.689999998</v>
      </c>
      <c r="M31" s="189">
        <f t="shared" si="7"/>
        <v>71683333.779999986</v>
      </c>
      <c r="N31" s="189">
        <f t="shared" si="7"/>
        <v>56088176.629999995</v>
      </c>
      <c r="O31" s="189">
        <f t="shared" si="7"/>
        <v>61572090.260000005</v>
      </c>
      <c r="P31" s="189">
        <f t="shared" si="7"/>
        <v>84287889.280000001</v>
      </c>
      <c r="Q31" s="189">
        <f t="shared" si="7"/>
        <v>102940537.31999999</v>
      </c>
      <c r="R31" s="248">
        <f t="shared" si="7"/>
        <v>113642054.34999999</v>
      </c>
      <c r="S31" s="408">
        <f t="shared" si="3"/>
        <v>895444660.84000003</v>
      </c>
      <c r="T31" s="388">
        <f t="shared" si="4"/>
        <v>0.18588874236366279</v>
      </c>
      <c r="U31" s="244"/>
    </row>
    <row r="32" spans="1:25">
      <c r="A32" s="152">
        <v>411</v>
      </c>
      <c r="B32" s="480" t="str">
        <f>+VLOOKUP($A32,[1]Master!$D$27:$G$225,4,FALSE)</f>
        <v>Bruto zarade i doprinosi na teret poslodavca</v>
      </c>
      <c r="C32" s="481"/>
      <c r="D32" s="481"/>
      <c r="E32" s="481"/>
      <c r="F32" s="481"/>
      <c r="G32" s="165">
        <f>+INDEX([1]DataEx!$1:$1048576,MATCH('2019'!$A32,[1]DataEx!$D:$D,0),MATCH('2019'!G$6,[1]DataEx!$7:$7,0))</f>
        <v>38898745.609999999</v>
      </c>
      <c r="H32" s="165">
        <f>+INDEX([1]DataEx!$1:$1048576,MATCH('2019'!$A32,[1]DataEx!$D:$D,0),MATCH('2019'!H$6,[1]DataEx!$7:$7,0))</f>
        <v>38603036.109999999</v>
      </c>
      <c r="I32" s="165">
        <f>+INDEX([1]DataEx!$1:$1048576,MATCH('2019'!$A32,[1]DataEx!$D:$D,0),MATCH('2019'!I$6,[1]DataEx!$7:$7,0))</f>
        <v>39176968.049999997</v>
      </c>
      <c r="J32" s="165">
        <f>+INDEX([1]DataEx!$1:$1048576,MATCH('2019'!$A32,[1]DataEx!$D:$D,0),MATCH('2019'!J$6,[1]DataEx!$7:$7,0))</f>
        <v>38923552.049999997</v>
      </c>
      <c r="K32" s="165">
        <f>+INDEX([1]DataEx!$1:$1048576,MATCH('2019'!$A32,[1]DataEx!$D:$D,0),MATCH('2019'!K$6,[1]DataEx!$7:$7,0))</f>
        <v>39904782.170000002</v>
      </c>
      <c r="L32" s="165">
        <f>+INDEX([1]DataEx!$1:$1048576,MATCH('2019'!$A32,[1]DataEx!$D:$D,0),MATCH('2019'!L$6,[1]DataEx!$7:$7,0))</f>
        <v>41565368.68</v>
      </c>
      <c r="M32" s="165">
        <f>+INDEX([1]DataEx!$1:$1048576,MATCH('2019'!$A32,[1]DataEx!$D:$D,0),MATCH('2019'!M$6,[1]DataEx!$7:$7,0))</f>
        <v>38100886.07</v>
      </c>
      <c r="N32" s="165">
        <f>+INDEX([1]DataEx!$1:$1048576,MATCH('2019'!$A32,[1]DataEx!$D:$D,0),MATCH('2019'!N$6,[1]DataEx!$7:$7,0))</f>
        <v>37237058.799999997</v>
      </c>
      <c r="O32" s="165">
        <f>+INDEX([1]DataEx!$1:$1048576,MATCH('2019'!$A32,[1]DataEx!$D:$D,0),MATCH('2019'!O$6,[1]DataEx!$7:$7,0))</f>
        <v>38571466.869999997</v>
      </c>
      <c r="P32" s="165">
        <f>+INDEX([1]DataEx!$1:$1048576,MATCH('2019'!$A32,[1]DataEx!$D:$D,0),MATCH('2019'!P$6,[1]DataEx!$7:$7,0))</f>
        <v>38895006.189999998</v>
      </c>
      <c r="Q32" s="165">
        <f>+INDEX([1]DataEx!$1:$1048576,MATCH('2019'!$A32,[1]DataEx!$D:$D,0),MATCH('2019'!Q$6,[1]DataEx!$7:$7,0))</f>
        <v>39570495.68</v>
      </c>
      <c r="R32" s="165">
        <f>+INDEX([1]DataEx!$1:$1048576,MATCH('2019'!$A32,[1]DataEx!$D:$D,0),MATCH('2019'!R$6,[1]DataEx!$7:$7,0))</f>
        <v>43410895.729999997</v>
      </c>
      <c r="S32" s="404">
        <f t="shared" si="3"/>
        <v>472858262.01000005</v>
      </c>
      <c r="T32" s="389">
        <f t="shared" si="4"/>
        <v>9.8162434246745978E-2</v>
      </c>
    </row>
    <row r="33" spans="1:23">
      <c r="A33" s="152">
        <v>412</v>
      </c>
      <c r="B33" s="480" t="str">
        <f>+VLOOKUP($A33,[1]Master!$D$27:$G$225,4,FALSE)</f>
        <v>Ostala lična primanja</v>
      </c>
      <c r="C33" s="481"/>
      <c r="D33" s="481"/>
      <c r="E33" s="481"/>
      <c r="F33" s="481"/>
      <c r="G33" s="165">
        <f>+INDEX([1]DataEx!$1:$1048576,MATCH('2019'!$A33,[1]DataEx!$D:$D,0),MATCH('2019'!G$6,[1]DataEx!$7:$7,0))</f>
        <v>432711.77</v>
      </c>
      <c r="H33" s="165">
        <f>+INDEX([1]DataEx!$1:$1048576,MATCH('2019'!$A33,[1]DataEx!$D:$D,0),MATCH('2019'!H$6,[1]DataEx!$7:$7,0))</f>
        <v>1033562.51</v>
      </c>
      <c r="I33" s="165">
        <f>+INDEX([1]DataEx!$1:$1048576,MATCH('2019'!$A33,[1]DataEx!$D:$D,0),MATCH('2019'!I$6,[1]DataEx!$7:$7,0))</f>
        <v>735644.21</v>
      </c>
      <c r="J33" s="165">
        <f>+INDEX([1]DataEx!$1:$1048576,MATCH('2019'!$A33,[1]DataEx!$D:$D,0),MATCH('2019'!J$6,[1]DataEx!$7:$7,0))</f>
        <v>1602423.02</v>
      </c>
      <c r="K33" s="165">
        <f>+INDEX([1]DataEx!$1:$1048576,MATCH('2019'!$A33,[1]DataEx!$D:$D,0),MATCH('2019'!K$6,[1]DataEx!$7:$7,0))</f>
        <v>1041375.65</v>
      </c>
      <c r="L33" s="165">
        <f>+INDEX([1]DataEx!$1:$1048576,MATCH('2019'!$A33,[1]DataEx!$D:$D,0),MATCH('2019'!L$6,[1]DataEx!$7:$7,0))</f>
        <v>646080.03</v>
      </c>
      <c r="M33" s="165">
        <f>+INDEX([1]DataEx!$1:$1048576,MATCH('2019'!$A33,[1]DataEx!$D:$D,0),MATCH('2019'!M$6,[1]DataEx!$7:$7,0))</f>
        <v>1604812.32</v>
      </c>
      <c r="N33" s="165">
        <f>+INDEX([1]DataEx!$1:$1048576,MATCH('2019'!$A33,[1]DataEx!$D:$D,0),MATCH('2019'!N$6,[1]DataEx!$7:$7,0))</f>
        <v>863508.85</v>
      </c>
      <c r="O33" s="165">
        <f>+INDEX([1]DataEx!$1:$1048576,MATCH('2019'!$A33,[1]DataEx!$D:$D,0),MATCH('2019'!O$6,[1]DataEx!$7:$7,0))</f>
        <v>1068822.1299999999</v>
      </c>
      <c r="P33" s="165">
        <f>+INDEX([1]DataEx!$1:$1048576,MATCH('2019'!$A33,[1]DataEx!$D:$D,0),MATCH('2019'!P$6,[1]DataEx!$7:$7,0))</f>
        <v>1118166.44</v>
      </c>
      <c r="Q33" s="165">
        <f>+INDEX([1]DataEx!$1:$1048576,MATCH('2019'!$A33,[1]DataEx!$D:$D,0),MATCH('2019'!Q$6,[1]DataEx!$7:$7,0))</f>
        <v>1056394.58</v>
      </c>
      <c r="R33" s="165">
        <f>+INDEX([1]DataEx!$1:$1048576,MATCH('2019'!$A33,[1]DataEx!$D:$D,0),MATCH('2019'!R$6,[1]DataEx!$7:$7,0))</f>
        <v>3979808.08</v>
      </c>
      <c r="S33" s="404">
        <f t="shared" si="3"/>
        <v>15183309.59</v>
      </c>
      <c r="T33" s="389">
        <f t="shared" si="4"/>
        <v>3.1519606381432814E-3</v>
      </c>
      <c r="U33" s="307"/>
    </row>
    <row r="34" spans="1:23">
      <c r="A34" s="152">
        <v>413</v>
      </c>
      <c r="B34" s="480" t="str">
        <f>+VLOOKUP($A34,[1]Master!$D$27:$G$225,4,FALSE)</f>
        <v>Rashodi za materijal</v>
      </c>
      <c r="C34" s="481"/>
      <c r="D34" s="481"/>
      <c r="E34" s="481"/>
      <c r="F34" s="481"/>
      <c r="G34" s="165">
        <f>+INDEX([1]DataEx!$1:$1048576,MATCH('2019'!$A34,[1]DataEx!$D:$D,0),MATCH('2019'!G$6,[1]DataEx!$7:$7,0))</f>
        <v>848989.3</v>
      </c>
      <c r="H34" s="165">
        <f>+INDEX([1]DataEx!$1:$1048576,MATCH('2019'!$A34,[1]DataEx!$D:$D,0),MATCH('2019'!H$6,[1]DataEx!$7:$7,0))</f>
        <v>2487120.0499999998</v>
      </c>
      <c r="I34" s="165">
        <f>+INDEX([1]DataEx!$1:$1048576,MATCH('2019'!$A34,[1]DataEx!$D:$D,0),MATCH('2019'!I$6,[1]DataEx!$7:$7,0))</f>
        <v>2593095.38</v>
      </c>
      <c r="J34" s="165">
        <f>+INDEX([1]DataEx!$1:$1048576,MATCH('2019'!$A34,[1]DataEx!$D:$D,0),MATCH('2019'!J$6,[1]DataEx!$7:$7,0))</f>
        <v>2483216.04</v>
      </c>
      <c r="K34" s="165">
        <f>+INDEX([1]DataEx!$1:$1048576,MATCH('2019'!$A34,[1]DataEx!$D:$D,0),MATCH('2019'!K$6,[1]DataEx!$7:$7,0))</f>
        <v>2260839.3199999998</v>
      </c>
      <c r="L34" s="165">
        <f>+INDEX([1]DataEx!$1:$1048576,MATCH('2019'!$A34,[1]DataEx!$D:$D,0),MATCH('2019'!L$6,[1]DataEx!$7:$7,0))</f>
        <v>3136860.85</v>
      </c>
      <c r="M34" s="165">
        <f>+INDEX([1]DataEx!$1:$1048576,MATCH('2019'!$A34,[1]DataEx!$D:$D,0),MATCH('2019'!M$6,[1]DataEx!$7:$7,0))</f>
        <v>2237139.04</v>
      </c>
      <c r="N34" s="165">
        <f>+INDEX([1]DataEx!$1:$1048576,MATCH('2019'!$A34,[1]DataEx!$D:$D,0),MATCH('2019'!N$6,[1]DataEx!$7:$7,0))</f>
        <v>2457548.14</v>
      </c>
      <c r="O34" s="165">
        <f>+INDEX([1]DataEx!$1:$1048576,MATCH('2019'!$A34,[1]DataEx!$D:$D,0),MATCH('2019'!O$6,[1]DataEx!$7:$7,0))</f>
        <v>2640428.1199999996</v>
      </c>
      <c r="P34" s="165">
        <f>+INDEX([1]DataEx!$1:$1048576,MATCH('2019'!$A34,[1]DataEx!$D:$D,0),MATCH('2019'!P$6,[1]DataEx!$7:$7,0))</f>
        <v>3204990.77</v>
      </c>
      <c r="Q34" s="165">
        <f>+INDEX([1]DataEx!$1:$1048576,MATCH('2019'!$A34,[1]DataEx!$D:$D,0),MATCH('2019'!Q$6,[1]DataEx!$7:$7,0))</f>
        <v>3630587.64</v>
      </c>
      <c r="R34" s="165">
        <f>+INDEX([1]DataEx!$1:$1048576,MATCH('2019'!$A34,[1]DataEx!$D:$D,0),MATCH('2019'!R$6,[1]DataEx!$7:$7,0))</f>
        <v>5176922.57</v>
      </c>
      <c r="S34" s="404">
        <f t="shared" si="3"/>
        <v>33157737.220000003</v>
      </c>
      <c r="T34" s="389">
        <f t="shared" si="4"/>
        <v>6.8833400220049412E-3</v>
      </c>
      <c r="U34" s="325"/>
      <c r="V34" s="305"/>
    </row>
    <row r="35" spans="1:23" s="379" customFormat="1">
      <c r="A35" s="378">
        <v>414</v>
      </c>
      <c r="B35" s="529" t="str">
        <f>+VLOOKUP($A35,[1]Master!$D$27:$G$225,4,FALSE)</f>
        <v>Rashodi za usluge</v>
      </c>
      <c r="C35" s="530"/>
      <c r="D35" s="530"/>
      <c r="E35" s="530"/>
      <c r="F35" s="530"/>
      <c r="G35" s="165">
        <f>+INDEX([1]DataEx!$1:$1048576,MATCH('2019'!$A35,[1]DataEx!$D:$D,0),MATCH('2019'!G$6,[1]DataEx!$7:$7,0))</f>
        <v>2759036.8200000003</v>
      </c>
      <c r="H35" s="165">
        <f>+INDEX([1]DataEx!$1:$1048576,MATCH('2019'!$A35,[1]DataEx!$D:$D,0),MATCH('2019'!H$6,[1]DataEx!$7:$7,0))</f>
        <v>3614550.9200000004</v>
      </c>
      <c r="I35" s="165">
        <f>+INDEX([1]DataEx!$1:$1048576,MATCH('2019'!$A35,[1]DataEx!$D:$D,0),MATCH('2019'!I$6,[1]DataEx!$7:$7,0))</f>
        <v>3974817.3200000003</v>
      </c>
      <c r="J35" s="165">
        <f>+INDEX([1]DataEx!$1:$1048576,MATCH('2019'!$A35,[1]DataEx!$D:$D,0),MATCH('2019'!J$6,[1]DataEx!$7:$7,0))</f>
        <v>4057149.39</v>
      </c>
      <c r="K35" s="165">
        <f>+INDEX([1]DataEx!$1:$1048576,MATCH('2019'!$A35,[1]DataEx!$D:$D,0),MATCH('2019'!K$6,[1]DataEx!$7:$7,0))</f>
        <v>6284877.2199999997</v>
      </c>
      <c r="L35" s="165">
        <f>+INDEX([1]DataEx!$1:$1048576,MATCH('2019'!$A35,[1]DataEx!$D:$D,0),MATCH('2019'!L$6,[1]DataEx!$7:$7,0))</f>
        <v>6083915.8499999996</v>
      </c>
      <c r="M35" s="165">
        <f>+INDEX([1]DataEx!$1:$1048576,MATCH('2019'!$A35,[1]DataEx!$D:$D,0),MATCH('2019'!M$6,[1]DataEx!$7:$7,0))</f>
        <v>7554033.8399999999</v>
      </c>
      <c r="N35" s="165">
        <f>+INDEX([1]DataEx!$1:$1048576,MATCH('2019'!$A35,[1]DataEx!$D:$D,0),MATCH('2019'!N$6,[1]DataEx!$7:$7,0))</f>
        <v>3114631.31</v>
      </c>
      <c r="O35" s="165">
        <f>+INDEX([1]DataEx!$1:$1048576,MATCH('2019'!$A35,[1]DataEx!$D:$D,0),MATCH('2019'!O$6,[1]DataEx!$7:$7,0))</f>
        <v>5096768.8599999994</v>
      </c>
      <c r="P35" s="165">
        <f>+INDEX([1]DataEx!$1:$1048576,MATCH('2019'!$A35,[1]DataEx!$D:$D,0),MATCH('2019'!P$6,[1]DataEx!$7:$7,0))</f>
        <v>6944307.2599999998</v>
      </c>
      <c r="Q35" s="165">
        <f>+INDEX([1]DataEx!$1:$1048576,MATCH('2019'!$A35,[1]DataEx!$D:$D,0),MATCH('2019'!Q$6,[1]DataEx!$7:$7,0))</f>
        <v>6856858.7299999995</v>
      </c>
      <c r="R35" s="165">
        <f>+INDEX([1]DataEx!$1:$1048576,MATCH('2019'!$A35,[1]DataEx!$D:$D,0),MATCH('2019'!R$6,[1]DataEx!$7:$7,0))</f>
        <v>13115876.970000001</v>
      </c>
      <c r="S35" s="404">
        <f t="shared" si="3"/>
        <v>69456824.489999995</v>
      </c>
      <c r="T35" s="389">
        <f t="shared" si="4"/>
        <v>1.4418804776732888E-2</v>
      </c>
      <c r="U35" s="325"/>
    </row>
    <row r="36" spans="1:23">
      <c r="A36" s="152">
        <v>415</v>
      </c>
      <c r="B36" s="480" t="str">
        <f>+VLOOKUP($A36,[1]Master!$D$27:$G$225,4,FALSE)</f>
        <v>Rashodi za tekuće održavanje</v>
      </c>
      <c r="C36" s="481"/>
      <c r="D36" s="481"/>
      <c r="E36" s="481"/>
      <c r="F36" s="481"/>
      <c r="G36" s="165">
        <f>+INDEX([1]DataEx!$1:$1048576,MATCH('2019'!$A36,[1]DataEx!$D:$D,0),MATCH('2019'!G$6,[1]DataEx!$7:$7,0))</f>
        <v>106399.74</v>
      </c>
      <c r="H36" s="165">
        <f>+INDEX([1]DataEx!$1:$1048576,MATCH('2019'!$A36,[1]DataEx!$D:$D,0),MATCH('2019'!H$6,[1]DataEx!$7:$7,0))</f>
        <v>1530055.86</v>
      </c>
      <c r="I36" s="165">
        <f>+INDEX([1]DataEx!$1:$1048576,MATCH('2019'!$A36,[1]DataEx!$D:$D,0),MATCH('2019'!I$6,[1]DataEx!$7:$7,0))</f>
        <v>1550264.35</v>
      </c>
      <c r="J36" s="165">
        <f>+INDEX([1]DataEx!$1:$1048576,MATCH('2019'!$A36,[1]DataEx!$D:$D,0),MATCH('2019'!J$6,[1]DataEx!$7:$7,0))</f>
        <v>1599647.1</v>
      </c>
      <c r="K36" s="165">
        <f>+INDEX([1]DataEx!$1:$1048576,MATCH('2019'!$A36,[1]DataEx!$D:$D,0),MATCH('2019'!K$6,[1]DataEx!$7:$7,0))</f>
        <v>1715921.5</v>
      </c>
      <c r="L36" s="165">
        <f>+INDEX([1]DataEx!$1:$1048576,MATCH('2019'!$A36,[1]DataEx!$D:$D,0),MATCH('2019'!L$6,[1]DataEx!$7:$7,0))</f>
        <v>1355956.76</v>
      </c>
      <c r="M36" s="165">
        <f>+INDEX([1]DataEx!$1:$1048576,MATCH('2019'!$A36,[1]DataEx!$D:$D,0),MATCH('2019'!M$6,[1]DataEx!$7:$7,0))</f>
        <v>2070351.24</v>
      </c>
      <c r="N36" s="165">
        <f>+INDEX([1]DataEx!$1:$1048576,MATCH('2019'!$A36,[1]DataEx!$D:$D,0),MATCH('2019'!N$6,[1]DataEx!$7:$7,0))</f>
        <v>1118342.44</v>
      </c>
      <c r="O36" s="165">
        <f>+INDEX([1]DataEx!$1:$1048576,MATCH('2019'!$A36,[1]DataEx!$D:$D,0),MATCH('2019'!O$6,[1]DataEx!$7:$7,0))</f>
        <v>1708463.71</v>
      </c>
      <c r="P36" s="165">
        <f>+INDEX([1]DataEx!$1:$1048576,MATCH('2019'!$A36,[1]DataEx!$D:$D,0),MATCH('2019'!P$6,[1]DataEx!$7:$7,0))</f>
        <v>2758670.97</v>
      </c>
      <c r="Q36" s="165">
        <f>+INDEX([1]DataEx!$1:$1048576,MATCH('2019'!$A36,[1]DataEx!$D:$D,0),MATCH('2019'!Q$6,[1]DataEx!$7:$7,0))</f>
        <v>2123777.0099999998</v>
      </c>
      <c r="R36" s="165">
        <f>+INDEX([1]DataEx!$1:$1048576,MATCH('2019'!$A36,[1]DataEx!$D:$D,0),MATCH('2019'!R$6,[1]DataEx!$7:$7,0))</f>
        <v>4881220.03</v>
      </c>
      <c r="S36" s="404">
        <f t="shared" si="3"/>
        <v>22519070.710000001</v>
      </c>
      <c r="T36" s="389">
        <f t="shared" si="4"/>
        <v>4.6748190218181065E-3</v>
      </c>
      <c r="U36" s="325"/>
    </row>
    <row r="37" spans="1:23">
      <c r="A37" s="152">
        <v>416</v>
      </c>
      <c r="B37" s="480" t="str">
        <f>+VLOOKUP($A37,[1]Master!$D$27:$G$225,4,FALSE)</f>
        <v>Kamate</v>
      </c>
      <c r="C37" s="481"/>
      <c r="D37" s="481"/>
      <c r="E37" s="481"/>
      <c r="F37" s="481"/>
      <c r="G37" s="165">
        <f>+INDEX([1]DataEx!$1:$1048576,MATCH('2019'!$A37,[1]DataEx!$D:$D,0),MATCH('2019'!G$6,[1]DataEx!$7:$7,0))</f>
        <v>6154852.9000000004</v>
      </c>
      <c r="H37" s="165">
        <f>+INDEX([1]DataEx!$1:$1048576,MATCH('2019'!$A37,[1]DataEx!$D:$D,0),MATCH('2019'!H$6,[1]DataEx!$7:$7,0))</f>
        <v>999341.54</v>
      </c>
      <c r="I37" s="165">
        <f>+INDEX([1]DataEx!$1:$1048576,MATCH('2019'!$A37,[1]DataEx!$D:$D,0),MATCH('2019'!I$6,[1]DataEx!$7:$7,0))</f>
        <v>28695513.649999999</v>
      </c>
      <c r="J37" s="165">
        <f>+INDEX([1]DataEx!$1:$1048576,MATCH('2019'!$A37,[1]DataEx!$D:$D,0),MATCH('2019'!J$6,[1]DataEx!$7:$7,0))</f>
        <v>18435271.789999999</v>
      </c>
      <c r="K37" s="165">
        <f>+INDEX([1]DataEx!$1:$1048576,MATCH('2019'!$A37,[1]DataEx!$D:$D,0),MATCH('2019'!K$6,[1]DataEx!$7:$7,0))</f>
        <v>10258844.07</v>
      </c>
      <c r="L37" s="165">
        <f>+INDEX([1]DataEx!$1:$1048576,MATCH('2019'!$A37,[1]DataEx!$D:$D,0),MATCH('2019'!L$6,[1]DataEx!$7:$7,0))</f>
        <v>5411766.9400000004</v>
      </c>
      <c r="M37" s="165">
        <f>+INDEX([1]DataEx!$1:$1048576,MATCH('2019'!$A37,[1]DataEx!$D:$D,0),MATCH('2019'!M$6,[1]DataEx!$7:$7,0))</f>
        <v>9047333.1999999993</v>
      </c>
      <c r="N37" s="165">
        <f>+INDEX([1]DataEx!$1:$1048576,MATCH('2019'!$A37,[1]DataEx!$D:$D,0),MATCH('2019'!N$6,[1]DataEx!$7:$7,0))</f>
        <v>1051267.33</v>
      </c>
      <c r="O37" s="165">
        <f>+INDEX([1]DataEx!$1:$1048576,MATCH('2019'!$A37,[1]DataEx!$D:$D,0),MATCH('2019'!O$6,[1]DataEx!$7:$7,0))</f>
        <v>2999385.93</v>
      </c>
      <c r="P37" s="165">
        <f>+INDEX([1]DataEx!$1:$1048576,MATCH('2019'!$A37,[1]DataEx!$D:$D,0),MATCH('2019'!P$6,[1]DataEx!$7:$7,0))</f>
        <v>12529193.49</v>
      </c>
      <c r="Q37" s="165">
        <f>+INDEX([1]DataEx!$1:$1048576,MATCH('2019'!$A37,[1]DataEx!$D:$D,0),MATCH('2019'!Q$6,[1]DataEx!$7:$7,0))</f>
        <v>4455810.1900000004</v>
      </c>
      <c r="R37" s="165">
        <f>+INDEX([1]DataEx!$1:$1048576,MATCH('2019'!$A37,[1]DataEx!$D:$D,0),MATCH('2019'!R$6,[1]DataEx!$7:$7,0))</f>
        <v>5627705.1600000001</v>
      </c>
      <c r="S37" s="404">
        <f>+SUM(G37:R37)</f>
        <v>105666286.19</v>
      </c>
      <c r="T37" s="389">
        <f t="shared" si="4"/>
        <v>2.1935663820555937E-2</v>
      </c>
      <c r="U37" s="325"/>
    </row>
    <row r="38" spans="1:23">
      <c r="A38" s="152">
        <v>417</v>
      </c>
      <c r="B38" s="480" t="str">
        <f>+VLOOKUP($A38,[1]Master!$D$27:$G$225,4,FALSE)</f>
        <v>Renta</v>
      </c>
      <c r="C38" s="481"/>
      <c r="D38" s="481"/>
      <c r="E38" s="481"/>
      <c r="F38" s="481"/>
      <c r="G38" s="165">
        <f>+INDEX([1]DataEx!$1:$1048576,MATCH('2019'!$A38,[1]DataEx!$D:$D,0),MATCH('2019'!G$6,[1]DataEx!$7:$7,0))</f>
        <v>218026.46</v>
      </c>
      <c r="H38" s="165">
        <f>+INDEX([1]DataEx!$1:$1048576,MATCH('2019'!$A38,[1]DataEx!$D:$D,0),MATCH('2019'!H$6,[1]DataEx!$7:$7,0))</f>
        <v>777233.65</v>
      </c>
      <c r="I38" s="165">
        <f>+INDEX([1]DataEx!$1:$1048576,MATCH('2019'!$A38,[1]DataEx!$D:$D,0),MATCH('2019'!I$6,[1]DataEx!$7:$7,0))</f>
        <v>800870.53</v>
      </c>
      <c r="J38" s="165">
        <f>+INDEX([1]DataEx!$1:$1048576,MATCH('2019'!$A38,[1]DataEx!$D:$D,0),MATCH('2019'!J$6,[1]DataEx!$7:$7,0))</f>
        <v>1119902.21</v>
      </c>
      <c r="K38" s="165">
        <f>+INDEX([1]DataEx!$1:$1048576,MATCH('2019'!$A38,[1]DataEx!$D:$D,0),MATCH('2019'!K$6,[1]DataEx!$7:$7,0))</f>
        <v>986505.29</v>
      </c>
      <c r="L38" s="165">
        <f>+INDEX([1]DataEx!$1:$1048576,MATCH('2019'!$A38,[1]DataEx!$D:$D,0),MATCH('2019'!L$6,[1]DataEx!$7:$7,0))</f>
        <v>606326.98</v>
      </c>
      <c r="M38" s="165">
        <f>+INDEX([1]DataEx!$1:$1048576,MATCH('2019'!$A38,[1]DataEx!$D:$D,0),MATCH('2019'!M$6,[1]DataEx!$7:$7,0))</f>
        <v>1397044.86</v>
      </c>
      <c r="N38" s="165">
        <f>+INDEX([1]DataEx!$1:$1048576,MATCH('2019'!$A38,[1]DataEx!$D:$D,0),MATCH('2019'!N$6,[1]DataEx!$7:$7,0))</f>
        <v>824993.89</v>
      </c>
      <c r="O38" s="165">
        <f>+INDEX([1]DataEx!$1:$1048576,MATCH('2019'!$A38,[1]DataEx!$D:$D,0),MATCH('2019'!O$6,[1]DataEx!$7:$7,0))</f>
        <v>653814.94999999995</v>
      </c>
      <c r="P38" s="165">
        <f>+INDEX([1]DataEx!$1:$1048576,MATCH('2019'!$A38,[1]DataEx!$D:$D,0),MATCH('2019'!P$6,[1]DataEx!$7:$7,0))</f>
        <v>804750.67</v>
      </c>
      <c r="Q38" s="165">
        <f>+INDEX([1]DataEx!$1:$1048576,MATCH('2019'!$A38,[1]DataEx!$D:$D,0),MATCH('2019'!Q$6,[1]DataEx!$7:$7,0))</f>
        <v>559052.02</v>
      </c>
      <c r="R38" s="165">
        <f>+INDEX([1]DataEx!$1:$1048576,MATCH('2019'!$A38,[1]DataEx!$D:$D,0),MATCH('2019'!R$6,[1]DataEx!$7:$7,0))</f>
        <v>2287205.65</v>
      </c>
      <c r="S38" s="404">
        <f t="shared" si="3"/>
        <v>11035727.16</v>
      </c>
      <c r="T38" s="389">
        <f t="shared" si="4"/>
        <v>2.2909483216042846E-3</v>
      </c>
      <c r="U38" s="325"/>
    </row>
    <row r="39" spans="1:23">
      <c r="A39" s="152">
        <v>418</v>
      </c>
      <c r="B39" s="480" t="str">
        <f>+VLOOKUP($A39,[1]Master!$D$27:$G$225,4,FALSE)</f>
        <v>Subvencije</v>
      </c>
      <c r="C39" s="481"/>
      <c r="D39" s="481"/>
      <c r="E39" s="481"/>
      <c r="F39" s="481"/>
      <c r="G39" s="165">
        <f>+INDEX([1]DataEx!$1:$1048576,MATCH('2019'!$A39,[1]DataEx!$D:$D,0),MATCH('2019'!G$6,[1]DataEx!$7:$7,0))</f>
        <v>99006.6</v>
      </c>
      <c r="H39" s="165">
        <f>+INDEX([1]DataEx!$1:$1048576,MATCH('2019'!$A39,[1]DataEx!$D:$D,0),MATCH('2019'!H$6,[1]DataEx!$7:$7,0))</f>
        <v>1819632.21</v>
      </c>
      <c r="I39" s="165">
        <f>+INDEX([1]DataEx!$1:$1048576,MATCH('2019'!$A39,[1]DataEx!$D:$D,0),MATCH('2019'!I$6,[1]DataEx!$7:$7,0))</f>
        <v>3556257.45</v>
      </c>
      <c r="J39" s="165">
        <f>+INDEX([1]DataEx!$1:$1048576,MATCH('2019'!$A39,[1]DataEx!$D:$D,0),MATCH('2019'!J$6,[1]DataEx!$7:$7,0))</f>
        <v>1298353.71</v>
      </c>
      <c r="K39" s="165">
        <f>+INDEX([1]DataEx!$1:$1048576,MATCH('2019'!$A39,[1]DataEx!$D:$D,0),MATCH('2019'!K$6,[1]DataEx!$7:$7,0))</f>
        <v>2194236.0299999998</v>
      </c>
      <c r="L39" s="165">
        <f>+INDEX([1]DataEx!$1:$1048576,MATCH('2019'!$A39,[1]DataEx!$D:$D,0),MATCH('2019'!L$6,[1]DataEx!$7:$7,0))</f>
        <v>1487101.06</v>
      </c>
      <c r="M39" s="165">
        <f>+INDEX([1]DataEx!$1:$1048576,MATCH('2019'!$A39,[1]DataEx!$D:$D,0),MATCH('2019'!M$6,[1]DataEx!$7:$7,0))</f>
        <v>3695060.6</v>
      </c>
      <c r="N39" s="165">
        <f>+INDEX([1]DataEx!$1:$1048576,MATCH('2019'!$A39,[1]DataEx!$D:$D,0),MATCH('2019'!N$6,[1]DataEx!$7:$7,0))</f>
        <v>1069449</v>
      </c>
      <c r="O39" s="165">
        <f>+INDEX([1]DataEx!$1:$1048576,MATCH('2019'!$A39,[1]DataEx!$D:$D,0),MATCH('2019'!O$6,[1]DataEx!$7:$7,0))</f>
        <v>3742161.66</v>
      </c>
      <c r="P39" s="165">
        <f>+INDEX([1]DataEx!$1:$1048576,MATCH('2019'!$A39,[1]DataEx!$D:$D,0),MATCH('2019'!P$6,[1]DataEx!$7:$7,0))</f>
        <v>4843530.18</v>
      </c>
      <c r="Q39" s="165">
        <f>+INDEX([1]DataEx!$1:$1048576,MATCH('2019'!$A39,[1]DataEx!$D:$D,0),MATCH('2019'!Q$6,[1]DataEx!$7:$7,0))</f>
        <v>3109078.63</v>
      </c>
      <c r="R39" s="165">
        <f>+INDEX([1]DataEx!$1:$1048576,MATCH('2019'!$A39,[1]DataEx!$D:$D,0),MATCH('2019'!R$6,[1]DataEx!$7:$7,0))</f>
        <v>7625878.5099999998</v>
      </c>
      <c r="S39" s="404">
        <f t="shared" si="3"/>
        <v>34539745.640000001</v>
      </c>
      <c r="T39" s="389">
        <f t="shared" si="4"/>
        <v>7.1702363745822176E-3</v>
      </c>
      <c r="U39" s="325"/>
    </row>
    <row r="40" spans="1:23" s="379" customFormat="1">
      <c r="A40" s="378">
        <v>419</v>
      </c>
      <c r="B40" s="529" t="str">
        <f>+VLOOKUP($A40,[1]Master!$D$27:$G$225,4,FALSE)</f>
        <v>Ostali izdaci</v>
      </c>
      <c r="C40" s="530"/>
      <c r="D40" s="530"/>
      <c r="E40" s="530"/>
      <c r="F40" s="530"/>
      <c r="G40" s="165">
        <f>+INDEX([1]DataEx!$1:$1048576,MATCH('2019'!$A40,[1]DataEx!$D:$D,0),MATCH('2019'!G$6,[1]DataEx!$7:$7,0))</f>
        <v>593661.06999999995</v>
      </c>
      <c r="H40" s="165">
        <f>+INDEX([1]DataEx!$1:$1048576,MATCH('2019'!$A40,[1]DataEx!$D:$D,0),MATCH('2019'!H$6,[1]DataEx!$7:$7,0))</f>
        <v>3184422.4499999997</v>
      </c>
      <c r="I40" s="165">
        <f>+INDEX([1]DataEx!$1:$1048576,MATCH('2019'!$A40,[1]DataEx!$D:$D,0),MATCH('2019'!I$6,[1]DataEx!$7:$7,0))</f>
        <v>1911593.9200000002</v>
      </c>
      <c r="J40" s="165">
        <f>+INDEX([1]DataEx!$1:$1048576,MATCH('2019'!$A40,[1]DataEx!$D:$D,0),MATCH('2019'!J$6,[1]DataEx!$7:$7,0))</f>
        <v>5060376.17</v>
      </c>
      <c r="K40" s="165">
        <f>+INDEX([1]DataEx!$1:$1048576,MATCH('2019'!$A40,[1]DataEx!$D:$D,0),MATCH('2019'!K$6,[1]DataEx!$7:$7,0))</f>
        <v>1791664.6799999997</v>
      </c>
      <c r="L40" s="165">
        <f>+INDEX([1]DataEx!$1:$1048576,MATCH('2019'!$A40,[1]DataEx!$D:$D,0),MATCH('2019'!L$6,[1]DataEx!$7:$7,0))</f>
        <v>3619345.61</v>
      </c>
      <c r="M40" s="165">
        <f>+INDEX([1]DataEx!$1:$1048576,MATCH('2019'!$A40,[1]DataEx!$D:$D,0),MATCH('2019'!M$6,[1]DataEx!$7:$7,0))</f>
        <v>3434481.15</v>
      </c>
      <c r="N40" s="165">
        <f>+INDEX([1]DataEx!$1:$1048576,MATCH('2019'!$A40,[1]DataEx!$D:$D,0),MATCH('2019'!N$6,[1]DataEx!$7:$7,0))</f>
        <v>3512741.98</v>
      </c>
      <c r="O40" s="165">
        <f>+INDEX([1]DataEx!$1:$1048576,MATCH('2019'!$A40,[1]DataEx!$D:$D,0),MATCH('2019'!O$6,[1]DataEx!$7:$7,0))</f>
        <v>2623756.12</v>
      </c>
      <c r="P40" s="165">
        <f>+INDEX([1]DataEx!$1:$1048576,MATCH('2019'!$A40,[1]DataEx!$D:$D,0),MATCH('2019'!P$6,[1]DataEx!$7:$7,0))</f>
        <v>2685510.83</v>
      </c>
      <c r="Q40" s="165">
        <f>+INDEX([1]DataEx!$1:$1048576,MATCH('2019'!$A40,[1]DataEx!$D:$D,0),MATCH('2019'!Q$6,[1]DataEx!$7:$7,0))</f>
        <v>2774876.43</v>
      </c>
      <c r="R40" s="165">
        <f>+INDEX([1]DataEx!$1:$1048576,MATCH('2019'!$A40,[1]DataEx!$D:$D,0),MATCH('2019'!R$6,[1]DataEx!$7:$7,0))</f>
        <v>7691630.9299999988</v>
      </c>
      <c r="S40" s="404">
        <f t="shared" si="3"/>
        <v>38884061.339999996</v>
      </c>
      <c r="T40" s="389">
        <f t="shared" si="4"/>
        <v>8.0720892943887401E-3</v>
      </c>
      <c r="U40" s="325"/>
    </row>
    <row r="41" spans="1:23">
      <c r="A41" s="152">
        <v>440</v>
      </c>
      <c r="B41" s="480" t="str">
        <f>+VLOOKUP($A41,[1]Master!$D$27:$G$225,4,FALSE)</f>
        <v>Kapitalni izdaci u tekućem budžetu</v>
      </c>
      <c r="C41" s="481"/>
      <c r="D41" s="481"/>
      <c r="E41" s="481"/>
      <c r="F41" s="481"/>
      <c r="G41" s="165">
        <f>+INDEX([1]DataEx!$1:$1048576,MATCH('2019'!$A41,[1]DataEx!$D:$D,0),MATCH('2019'!G$6,[1]DataEx!$7:$7,0))</f>
        <v>888388.89</v>
      </c>
      <c r="H41" s="165">
        <f>+INDEX([1]DataEx!$1:$1048576,MATCH('2019'!$A41,[1]DataEx!$D:$D,0),MATCH('2019'!H$6,[1]DataEx!$7:$7,0))</f>
        <v>3462137.86</v>
      </c>
      <c r="I41" s="165">
        <f>+INDEX([1]DataEx!$1:$1048576,MATCH('2019'!$A41,[1]DataEx!$D:$D,0),MATCH('2019'!I$6,[1]DataEx!$7:$7,0))</f>
        <v>1772948.37</v>
      </c>
      <c r="J41" s="165">
        <f>+INDEX([1]DataEx!$1:$1048576,MATCH('2019'!$A41,[1]DataEx!$D:$D,0),MATCH('2019'!J$6,[1]DataEx!$7:$7,0))</f>
        <v>2074285.07</v>
      </c>
      <c r="K41" s="165">
        <f>+INDEX([1]DataEx!$1:$1048576,MATCH('2019'!$A41,[1]DataEx!$D:$D,0),MATCH('2019'!K$6,[1]DataEx!$7:$7,0))</f>
        <v>1862038.5</v>
      </c>
      <c r="L41" s="165">
        <f>+INDEX([1]DataEx!$1:$1048576,MATCH('2019'!$A41,[1]DataEx!$D:$D,0),MATCH('2019'!L$6,[1]DataEx!$7:$7,0))</f>
        <v>3083709.93</v>
      </c>
      <c r="M41" s="165">
        <f>+INDEX([1]DataEx!$1:$1048576,MATCH('2019'!$A41,[1]DataEx!$D:$D,0),MATCH('2019'!M$6,[1]DataEx!$7:$7,0))</f>
        <v>2542191.46</v>
      </c>
      <c r="N41" s="165">
        <f>+INDEX([1]DataEx!$1:$1048576,MATCH('2019'!$A41,[1]DataEx!$D:$D,0),MATCH('2019'!N$6,[1]DataEx!$7:$7,0))</f>
        <v>4838634.8899999997</v>
      </c>
      <c r="O41" s="165">
        <f>+INDEX([1]DataEx!$1:$1048576,MATCH('2019'!$A41,[1]DataEx!$D:$D,0),MATCH('2019'!O$6,[1]DataEx!$7:$7,0))</f>
        <v>2467021.91</v>
      </c>
      <c r="P41" s="165">
        <f>+INDEX([1]DataEx!$1:$1048576,MATCH('2019'!$A41,[1]DataEx!$D:$D,0),MATCH('2019'!P$6,[1]DataEx!$7:$7,0))</f>
        <v>10503762.48</v>
      </c>
      <c r="Q41" s="165">
        <f>+INDEX([1]DataEx!$1:$1048576,MATCH('2019'!$A41,[1]DataEx!$D:$D,0),MATCH('2019'!Q$6,[1]DataEx!$7:$7,0))</f>
        <v>38803606.409999996</v>
      </c>
      <c r="R41" s="165">
        <f>+INDEX([1]DataEx!$1:$1048576,MATCH('2019'!$A41,[1]DataEx!$D:$D,0),MATCH('2019'!R$6,[1]DataEx!$7:$7,0))</f>
        <v>19844910.719999999</v>
      </c>
      <c r="S41" s="404">
        <f t="shared" si="3"/>
        <v>92143636.489999995</v>
      </c>
      <c r="T41" s="389">
        <f t="shared" si="4"/>
        <v>1.9128445847086419E-2</v>
      </c>
      <c r="U41" s="325"/>
    </row>
    <row r="42" spans="1:23">
      <c r="A42" s="152">
        <v>42</v>
      </c>
      <c r="B42" s="496" t="str">
        <f>+VLOOKUP($A42,[1]Master!$D$27:$G$225,4,FALSE)</f>
        <v>Transferi za socijalnu zaštitu</v>
      </c>
      <c r="C42" s="497"/>
      <c r="D42" s="497"/>
      <c r="E42" s="497"/>
      <c r="F42" s="497"/>
      <c r="G42" s="195">
        <f>+SUM(G43:G47)</f>
        <v>42563180.95000001</v>
      </c>
      <c r="H42" s="195">
        <f t="shared" ref="H42:R42" si="8">+SUM(H43:H47)</f>
        <v>46594745.439999998</v>
      </c>
      <c r="I42" s="195">
        <f t="shared" si="8"/>
        <v>45429637.680000007</v>
      </c>
      <c r="J42" s="177">
        <f t="shared" si="8"/>
        <v>45454458.559999995</v>
      </c>
      <c r="K42" s="195">
        <f t="shared" si="8"/>
        <v>45354310.190000005</v>
      </c>
      <c r="L42" s="195">
        <f t="shared" si="8"/>
        <v>45746699.100000001</v>
      </c>
      <c r="M42" s="195">
        <f t="shared" si="8"/>
        <v>46178760.68</v>
      </c>
      <c r="N42" s="195">
        <f t="shared" si="8"/>
        <v>45699559.429999992</v>
      </c>
      <c r="O42" s="195">
        <f t="shared" si="8"/>
        <v>45932235.059999995</v>
      </c>
      <c r="P42" s="195">
        <f t="shared" si="8"/>
        <v>46755646.790000007</v>
      </c>
      <c r="Q42" s="195">
        <f t="shared" si="8"/>
        <v>45188903.659999996</v>
      </c>
      <c r="R42" s="249">
        <f t="shared" si="8"/>
        <v>53479695.530000001</v>
      </c>
      <c r="S42" s="405">
        <f t="shared" si="3"/>
        <v>554377833.07000005</v>
      </c>
      <c r="T42" s="390">
        <f t="shared" si="4"/>
        <v>0.115085390187042</v>
      </c>
      <c r="W42" s="323"/>
    </row>
    <row r="43" spans="1:23">
      <c r="A43" s="152">
        <v>421</v>
      </c>
      <c r="B43" s="480" t="str">
        <f>+VLOOKUP($A43,[1]Master!$D$27:$G$225,4,FALSE)</f>
        <v>Prava iz oblasti socijalne zaštite</v>
      </c>
      <c r="C43" s="481"/>
      <c r="D43" s="481"/>
      <c r="E43" s="481"/>
      <c r="F43" s="481"/>
      <c r="G43" s="165">
        <f>+INDEX([1]DataEx!$1:$1048576,MATCH('2019'!$A43,[1]DataEx!$D:$D,0),MATCH('2019'!G$6,[1]DataEx!$7:$7,0))</f>
        <v>5984394.8399999999</v>
      </c>
      <c r="H43" s="165">
        <f>+INDEX([1]DataEx!$1:$1048576,MATCH('2019'!$A43,[1]DataEx!$D:$D,0),MATCH('2019'!H$6,[1]DataEx!$7:$7,0))</f>
        <v>6928715.1699999999</v>
      </c>
      <c r="I43" s="165">
        <f>+INDEX([1]DataEx!$1:$1048576,MATCH('2019'!$A43,[1]DataEx!$D:$D,0),MATCH('2019'!I$6,[1]DataEx!$7:$7,0))</f>
        <v>6534675.6500000004</v>
      </c>
      <c r="J43" s="165">
        <f>+INDEX([1]DataEx!$1:$1048576,MATCH('2019'!$A43,[1]DataEx!$D:$D,0),MATCH('2019'!J$6,[1]DataEx!$7:$7,0))</f>
        <v>6641554.0999999996</v>
      </c>
      <c r="K43" s="165">
        <f>+INDEX([1]DataEx!$1:$1048576,MATCH('2019'!$A43,[1]DataEx!$D:$D,0),MATCH('2019'!K$6,[1]DataEx!$7:$7,0))</f>
        <v>6410465.4699999997</v>
      </c>
      <c r="L43" s="165">
        <f>+INDEX([1]DataEx!$1:$1048576,MATCH('2019'!$A43,[1]DataEx!$D:$D,0),MATCH('2019'!L$6,[1]DataEx!$7:$7,0))</f>
        <v>6536921.0899999999</v>
      </c>
      <c r="M43" s="165">
        <f>+INDEX([1]DataEx!$1:$1048576,MATCH('2019'!$A43,[1]DataEx!$D:$D,0),MATCH('2019'!M$6,[1]DataEx!$7:$7,0))</f>
        <v>6798455.0999999996</v>
      </c>
      <c r="N43" s="165">
        <f>+INDEX([1]DataEx!$1:$1048576,MATCH('2019'!$A43,[1]DataEx!$D:$D,0),MATCH('2019'!N$6,[1]DataEx!$7:$7,0))</f>
        <v>6916329.6100000003</v>
      </c>
      <c r="O43" s="165">
        <f>+INDEX([1]DataEx!$1:$1048576,MATCH('2019'!$A43,[1]DataEx!$D:$D,0),MATCH('2019'!O$6,[1]DataEx!$7:$7,0))</f>
        <v>6430517.1200000001</v>
      </c>
      <c r="P43" s="165">
        <f>+INDEX([1]DataEx!$1:$1048576,MATCH('2019'!$A43,[1]DataEx!$D:$D,0),MATCH('2019'!P$6,[1]DataEx!$7:$7,0))</f>
        <v>6933312.3200000003</v>
      </c>
      <c r="Q43" s="165">
        <f>+INDEX([1]DataEx!$1:$1048576,MATCH('2019'!$A43,[1]DataEx!$D:$D,0),MATCH('2019'!Q$6,[1]DataEx!$7:$7,0))</f>
        <v>6920586.0499999998</v>
      </c>
      <c r="R43" s="165">
        <f>+INDEX([1]DataEx!$1:$1048576,MATCH('2019'!$A43,[1]DataEx!$D:$D,0),MATCH('2019'!R$6,[1]DataEx!$7:$7,0))</f>
        <v>6847594.7000000002</v>
      </c>
      <c r="S43" s="404">
        <f t="shared" si="3"/>
        <v>79883521.219999999</v>
      </c>
      <c r="T43" s="389">
        <f t="shared" si="4"/>
        <v>1.6583322168939818E-2</v>
      </c>
    </row>
    <row r="44" spans="1:23">
      <c r="A44" s="152">
        <v>422</v>
      </c>
      <c r="B44" s="480" t="str">
        <f>+VLOOKUP($A44,[1]Master!$D$27:$G$225,4,FALSE)</f>
        <v>Sredstva za tehnološke viškove</v>
      </c>
      <c r="C44" s="481"/>
      <c r="D44" s="481"/>
      <c r="E44" s="481"/>
      <c r="F44" s="481"/>
      <c r="G44" s="165">
        <f>+INDEX([1]DataEx!$1:$1048576,MATCH('2019'!$A44,[1]DataEx!$D:$D,0),MATCH('2019'!G$6,[1]DataEx!$7:$7,0))</f>
        <v>43800</v>
      </c>
      <c r="H44" s="165">
        <f>+INDEX([1]DataEx!$1:$1048576,MATCH('2019'!$A44,[1]DataEx!$D:$D,0),MATCH('2019'!H$6,[1]DataEx!$7:$7,0))</f>
        <v>1198874.72</v>
      </c>
      <c r="I44" s="165">
        <f>+INDEX([1]DataEx!$1:$1048576,MATCH('2019'!$A44,[1]DataEx!$D:$D,0),MATCH('2019'!I$6,[1]DataEx!$7:$7,0))</f>
        <v>1110784.77</v>
      </c>
      <c r="J44" s="165">
        <f>+INDEX([1]DataEx!$1:$1048576,MATCH('2019'!$A44,[1]DataEx!$D:$D,0),MATCH('2019'!J$6,[1]DataEx!$7:$7,0))</f>
        <v>1095242.3400000001</v>
      </c>
      <c r="K44" s="165">
        <f>+INDEX([1]DataEx!$1:$1048576,MATCH('2019'!$A44,[1]DataEx!$D:$D,0),MATCH('2019'!K$6,[1]DataEx!$7:$7,0))</f>
        <v>1341095.6299999999</v>
      </c>
      <c r="L44" s="165">
        <f>+INDEX([1]DataEx!$1:$1048576,MATCH('2019'!$A44,[1]DataEx!$D:$D,0),MATCH('2019'!L$6,[1]DataEx!$7:$7,0))</f>
        <v>1381621.25</v>
      </c>
      <c r="M44" s="165">
        <f>+INDEX([1]DataEx!$1:$1048576,MATCH('2019'!$A44,[1]DataEx!$D:$D,0),MATCH('2019'!M$6,[1]DataEx!$7:$7,0))</f>
        <v>1512829.9</v>
      </c>
      <c r="N44" s="165">
        <f>+INDEX([1]DataEx!$1:$1048576,MATCH('2019'!$A44,[1]DataEx!$D:$D,0),MATCH('2019'!N$6,[1]DataEx!$7:$7,0))</f>
        <v>1577705.79</v>
      </c>
      <c r="O44" s="165">
        <f>+INDEX([1]DataEx!$1:$1048576,MATCH('2019'!$A44,[1]DataEx!$D:$D,0),MATCH('2019'!O$6,[1]DataEx!$7:$7,0))</f>
        <v>1701766.69</v>
      </c>
      <c r="P44" s="165">
        <f>+INDEX([1]DataEx!$1:$1048576,MATCH('2019'!$A44,[1]DataEx!$D:$D,0),MATCH('2019'!P$6,[1]DataEx!$7:$7,0))</f>
        <v>1710317.34</v>
      </c>
      <c r="Q44" s="165">
        <f>+INDEX([1]DataEx!$1:$1048576,MATCH('2019'!$A44,[1]DataEx!$D:$D,0),MATCH('2019'!Q$6,[1]DataEx!$7:$7,0))</f>
        <v>1521408.63</v>
      </c>
      <c r="R44" s="165">
        <f>+INDEX([1]DataEx!$1:$1048576,MATCH('2019'!$A44,[1]DataEx!$D:$D,0),MATCH('2019'!R$6,[1]DataEx!$7:$7,0))</f>
        <v>6205235.9000000004</v>
      </c>
      <c r="S44" s="404">
        <f t="shared" si="3"/>
        <v>20400682.960000001</v>
      </c>
      <c r="T44" s="389">
        <f t="shared" si="4"/>
        <v>4.2350549002511889E-3</v>
      </c>
    </row>
    <row r="45" spans="1:23">
      <c r="A45" s="152">
        <v>423</v>
      </c>
      <c r="B45" s="480" t="str">
        <f>+VLOOKUP($A45,[1]Master!$D$27:$G$225,4,FALSE)</f>
        <v>Prava iz oblasti penzijskog i invalidskog osiguranja</v>
      </c>
      <c r="C45" s="481"/>
      <c r="D45" s="481"/>
      <c r="E45" s="481"/>
      <c r="F45" s="481"/>
      <c r="G45" s="165">
        <f>+INDEX([1]DataEx!$1:$1048576,MATCH('2019'!$A45,[1]DataEx!$D:$D,0),MATCH('2019'!G$6,[1]DataEx!$7:$7,0))</f>
        <v>34463250.560000002</v>
      </c>
      <c r="H45" s="165">
        <f>+INDEX([1]DataEx!$1:$1048576,MATCH('2019'!$A45,[1]DataEx!$D:$D,0),MATCH('2019'!H$6,[1]DataEx!$7:$7,0))</f>
        <v>35530204.509999998</v>
      </c>
      <c r="I45" s="165">
        <f>+INDEX([1]DataEx!$1:$1048576,MATCH('2019'!$A45,[1]DataEx!$D:$D,0),MATCH('2019'!I$6,[1]DataEx!$7:$7,0))</f>
        <v>35281542.840000004</v>
      </c>
      <c r="J45" s="165">
        <f>+INDEX([1]DataEx!$1:$1048576,MATCH('2019'!$A45,[1]DataEx!$D:$D,0),MATCH('2019'!J$6,[1]DataEx!$7:$7,0))</f>
        <v>35247727.210000001</v>
      </c>
      <c r="K45" s="165">
        <f>+INDEX([1]DataEx!$1:$1048576,MATCH('2019'!$A45,[1]DataEx!$D:$D,0),MATCH('2019'!K$6,[1]DataEx!$7:$7,0))</f>
        <v>34782667.030000001</v>
      </c>
      <c r="L45" s="165">
        <f>+INDEX([1]DataEx!$1:$1048576,MATCH('2019'!$A45,[1]DataEx!$D:$D,0),MATCH('2019'!L$6,[1]DataEx!$7:$7,0))</f>
        <v>35185457.75</v>
      </c>
      <c r="M45" s="165">
        <f>+INDEX([1]DataEx!$1:$1048576,MATCH('2019'!$A45,[1]DataEx!$D:$D,0),MATCH('2019'!M$6,[1]DataEx!$7:$7,0))</f>
        <v>35081479.57</v>
      </c>
      <c r="N45" s="165">
        <f>+INDEX([1]DataEx!$1:$1048576,MATCH('2019'!$A45,[1]DataEx!$D:$D,0),MATCH('2019'!N$6,[1]DataEx!$7:$7,0))</f>
        <v>35015667.189999998</v>
      </c>
      <c r="O45" s="165">
        <f>+INDEX([1]DataEx!$1:$1048576,MATCH('2019'!$A45,[1]DataEx!$D:$D,0),MATCH('2019'!O$6,[1]DataEx!$7:$7,0))</f>
        <v>35023295.399999999</v>
      </c>
      <c r="P45" s="165">
        <f>+INDEX([1]DataEx!$1:$1048576,MATCH('2019'!$A45,[1]DataEx!$D:$D,0),MATCH('2019'!P$6,[1]DataEx!$7:$7,0))</f>
        <v>34921729.93</v>
      </c>
      <c r="Q45" s="165">
        <f>+INDEX([1]DataEx!$1:$1048576,MATCH('2019'!$A45,[1]DataEx!$D:$D,0),MATCH('2019'!Q$6,[1]DataEx!$7:$7,0))</f>
        <v>35000424.549999997</v>
      </c>
      <c r="R45" s="165">
        <f>+INDEX([1]DataEx!$1:$1048576,MATCH('2019'!$A45,[1]DataEx!$D:$D,0),MATCH('2019'!R$6,[1]DataEx!$7:$7,0))</f>
        <v>35337455.140000001</v>
      </c>
      <c r="S45" s="404">
        <f t="shared" si="3"/>
        <v>420870901.67999995</v>
      </c>
      <c r="T45" s="389">
        <f t="shared" si="4"/>
        <v>8.7370181578127912E-2</v>
      </c>
    </row>
    <row r="46" spans="1:23">
      <c r="A46" s="152">
        <v>424</v>
      </c>
      <c r="B46" s="480" t="str">
        <f>+VLOOKUP($A46,[1]Master!$D$27:$G$225,4,FALSE)</f>
        <v>Ostala prava iz oblasti zdravstvene zaštite</v>
      </c>
      <c r="C46" s="481"/>
      <c r="D46" s="481"/>
      <c r="E46" s="481"/>
      <c r="F46" s="481"/>
      <c r="G46" s="165">
        <f>+INDEX([1]DataEx!$1:$1048576,MATCH('2019'!$A46,[1]DataEx!$D:$D,0),MATCH('2019'!G$6,[1]DataEx!$7:$7,0))</f>
        <v>1579079.63</v>
      </c>
      <c r="H46" s="165">
        <f>+INDEX([1]DataEx!$1:$1048576,MATCH('2019'!$A46,[1]DataEx!$D:$D,0),MATCH('2019'!H$6,[1]DataEx!$7:$7,0))</f>
        <v>1855950.15</v>
      </c>
      <c r="I46" s="165">
        <f>+INDEX([1]DataEx!$1:$1048576,MATCH('2019'!$A46,[1]DataEx!$D:$D,0),MATCH('2019'!I$6,[1]DataEx!$7:$7,0))</f>
        <v>1427147.65</v>
      </c>
      <c r="J46" s="165">
        <f>+INDEX([1]DataEx!$1:$1048576,MATCH('2019'!$A46,[1]DataEx!$D:$D,0),MATCH('2019'!J$6,[1]DataEx!$7:$7,0))</f>
        <v>1689956.36</v>
      </c>
      <c r="K46" s="165">
        <f>+INDEX([1]DataEx!$1:$1048576,MATCH('2019'!$A46,[1]DataEx!$D:$D,0),MATCH('2019'!K$6,[1]DataEx!$7:$7,0))</f>
        <v>1914804.54</v>
      </c>
      <c r="L46" s="165">
        <f>+INDEX([1]DataEx!$1:$1048576,MATCH('2019'!$A46,[1]DataEx!$D:$D,0),MATCH('2019'!L$6,[1]DataEx!$7:$7,0))</f>
        <v>1732967.4</v>
      </c>
      <c r="M46" s="165">
        <f>+INDEX([1]DataEx!$1:$1048576,MATCH('2019'!$A46,[1]DataEx!$D:$D,0),MATCH('2019'!M$6,[1]DataEx!$7:$7,0))</f>
        <v>1746404.92</v>
      </c>
      <c r="N46" s="165">
        <f>+INDEX([1]DataEx!$1:$1048576,MATCH('2019'!$A46,[1]DataEx!$D:$D,0),MATCH('2019'!N$6,[1]DataEx!$7:$7,0))</f>
        <v>1448048.69</v>
      </c>
      <c r="O46" s="165">
        <f>+INDEX([1]DataEx!$1:$1048576,MATCH('2019'!$A46,[1]DataEx!$D:$D,0),MATCH('2019'!O$6,[1]DataEx!$7:$7,0))</f>
        <v>1671066.3</v>
      </c>
      <c r="P46" s="165">
        <f>+INDEX([1]DataEx!$1:$1048576,MATCH('2019'!$A46,[1]DataEx!$D:$D,0),MATCH('2019'!P$6,[1]DataEx!$7:$7,0))</f>
        <v>2220320.35</v>
      </c>
      <c r="Q46" s="165">
        <f>+INDEX([1]DataEx!$1:$1048576,MATCH('2019'!$A46,[1]DataEx!$D:$D,0),MATCH('2019'!Q$6,[1]DataEx!$7:$7,0))</f>
        <v>992005.1</v>
      </c>
      <c r="R46" s="165">
        <f>+INDEX([1]DataEx!$1:$1048576,MATCH('2019'!$A46,[1]DataEx!$D:$D,0),MATCH('2019'!R$6,[1]DataEx!$7:$7,0))</f>
        <v>3421539.53</v>
      </c>
      <c r="S46" s="404">
        <f t="shared" si="3"/>
        <v>21699290.620000005</v>
      </c>
      <c r="T46" s="389">
        <f t="shared" si="4"/>
        <v>4.5046377737642989E-3</v>
      </c>
      <c r="U46" s="371"/>
    </row>
    <row r="47" spans="1:23" s="379" customFormat="1">
      <c r="A47" s="378">
        <v>425</v>
      </c>
      <c r="B47" s="539" t="str">
        <f>+VLOOKUP($A47,[1]Master!$D$27:$G$225,4,FALSE)</f>
        <v>Ostala prava iz zdravstvenog osiguranja</v>
      </c>
      <c r="C47" s="540"/>
      <c r="D47" s="540"/>
      <c r="E47" s="540"/>
      <c r="F47" s="540"/>
      <c r="G47" s="165">
        <f>+INDEX([1]DataEx!$1:$1048576,MATCH('2019'!$A47,[1]DataEx!$D:$D,0),MATCH('2019'!G$6,[1]DataEx!$7:$7,0))</f>
        <v>492655.92</v>
      </c>
      <c r="H47" s="165">
        <f>+INDEX([1]DataEx!$1:$1048576,MATCH('2019'!$A47,[1]DataEx!$D:$D,0),MATCH('2019'!H$6,[1]DataEx!$7:$7,0))</f>
        <v>1081000.8899999999</v>
      </c>
      <c r="I47" s="165">
        <f>+INDEX([1]DataEx!$1:$1048576,MATCH('2019'!$A47,[1]DataEx!$D:$D,0),MATCH('2019'!I$6,[1]DataEx!$7:$7,0))</f>
        <v>1075486.77</v>
      </c>
      <c r="J47" s="165">
        <f>+INDEX([1]DataEx!$1:$1048576,MATCH('2019'!$A47,[1]DataEx!$D:$D,0),MATCH('2019'!J$6,[1]DataEx!$7:$7,0))</f>
        <v>779978.55</v>
      </c>
      <c r="K47" s="165">
        <f>+INDEX([1]DataEx!$1:$1048576,MATCH('2019'!$A47,[1]DataEx!$D:$D,0),MATCH('2019'!K$6,[1]DataEx!$7:$7,0))</f>
        <v>905277.52</v>
      </c>
      <c r="L47" s="165">
        <f>+INDEX([1]DataEx!$1:$1048576,MATCH('2019'!$A47,[1]DataEx!$D:$D,0),MATCH('2019'!L$6,[1]DataEx!$7:$7,0))</f>
        <v>909731.61</v>
      </c>
      <c r="M47" s="165">
        <f>+INDEX([1]DataEx!$1:$1048576,MATCH('2019'!$A47,[1]DataEx!$D:$D,0),MATCH('2019'!M$6,[1]DataEx!$7:$7,0))</f>
        <v>1039591.19</v>
      </c>
      <c r="N47" s="165">
        <f>+INDEX([1]DataEx!$1:$1048576,MATCH('2019'!$A47,[1]DataEx!$D:$D,0),MATCH('2019'!N$6,[1]DataEx!$7:$7,0))</f>
        <v>741808.15</v>
      </c>
      <c r="O47" s="165">
        <f>+INDEX([1]DataEx!$1:$1048576,MATCH('2019'!$A47,[1]DataEx!$D:$D,0),MATCH('2019'!O$6,[1]DataEx!$7:$7,0))</f>
        <v>1105589.55</v>
      </c>
      <c r="P47" s="165">
        <f>+INDEX([1]DataEx!$1:$1048576,MATCH('2019'!$A47,[1]DataEx!$D:$D,0),MATCH('2019'!P$6,[1]DataEx!$7:$7,0))</f>
        <v>969966.85</v>
      </c>
      <c r="Q47" s="165">
        <f>+INDEX([1]DataEx!$1:$1048576,MATCH('2019'!$A47,[1]DataEx!$D:$D,0),MATCH('2019'!Q$6,[1]DataEx!$7:$7,0))</f>
        <v>754479.33</v>
      </c>
      <c r="R47" s="165">
        <f>+INDEX([1]DataEx!$1:$1048576,MATCH('2019'!$A47,[1]DataEx!$D:$D,0),MATCH('2019'!R$6,[1]DataEx!$7:$7,0))</f>
        <v>1667870.26</v>
      </c>
      <c r="S47" s="404">
        <f t="shared" si="3"/>
        <v>11523436.590000002</v>
      </c>
      <c r="T47" s="389">
        <f t="shared" si="4"/>
        <v>2.392193765958772E-3</v>
      </c>
    </row>
    <row r="48" spans="1:23">
      <c r="A48" s="152">
        <v>43</v>
      </c>
      <c r="B48" s="494" t="str">
        <f>+VLOOKUP($A48,[1]Master!$D$27:$G$225,4,FALSE)</f>
        <v xml:space="preserve">Transferi institucijama, pojedincima, nevladinom i javnom sektoru </v>
      </c>
      <c r="C48" s="495"/>
      <c r="D48" s="495"/>
      <c r="E48" s="495"/>
      <c r="F48" s="495"/>
      <c r="G48" s="177">
        <f>+INDEX([1]DataEx!$1:$1048576,MATCH('2019'!$A48,[1]DataEx!$D:$D,0),MATCH('2019'!G$6,[1]DataEx!$7:$7,0))</f>
        <v>15740550.810000001</v>
      </c>
      <c r="H48" s="177">
        <f>+INDEX([1]DataEx!$1:$1048576,MATCH('2019'!$A48,[1]DataEx!$D:$D,0),MATCH('2019'!H$6,[1]DataEx!$7:$7,0))</f>
        <v>18630588.73</v>
      </c>
      <c r="I48" s="177">
        <f>+INDEX([1]DataEx!$1:$1048576,MATCH('2019'!$A48,[1]DataEx!$D:$D,0),MATCH('2019'!I$6,[1]DataEx!$7:$7,0))</f>
        <v>16694917.779999999</v>
      </c>
      <c r="J48" s="177">
        <f>+INDEX([1]DataEx!$1:$1048576,MATCH('2019'!$A48,[1]DataEx!$D:$D,0),MATCH('2019'!J$6,[1]DataEx!$7:$7,0))</f>
        <v>16108536.07</v>
      </c>
      <c r="K48" s="177">
        <f>+INDEX([1]DataEx!$1:$1048576,MATCH('2019'!$A48,[1]DataEx!$D:$D,0),MATCH('2019'!K$6,[1]DataEx!$7:$7,0))</f>
        <v>17254969.68</v>
      </c>
      <c r="L48" s="177">
        <f>+INDEX([1]DataEx!$1:$1048576,MATCH('2019'!$A48,[1]DataEx!$D:$D,0),MATCH('2019'!L$6,[1]DataEx!$7:$7,0))</f>
        <v>13582344.5</v>
      </c>
      <c r="M48" s="177">
        <f>+INDEX([1]DataEx!$1:$1048576,MATCH('2019'!$A48,[1]DataEx!$D:$D,0),MATCH('2019'!M$6,[1]DataEx!$7:$7,0))</f>
        <v>25674739.879999999</v>
      </c>
      <c r="N48" s="177">
        <f>+INDEX([1]DataEx!$1:$1048576,MATCH('2019'!$A48,[1]DataEx!$D:$D,0),MATCH('2019'!N$6,[1]DataEx!$7:$7,0))</f>
        <v>14819789.789999999</v>
      </c>
      <c r="O48" s="177">
        <f>+INDEX([1]DataEx!$1:$1048576,MATCH('2019'!$A48,[1]DataEx!$D:$D,0),MATCH('2019'!O$6,[1]DataEx!$7:$7,0))</f>
        <v>22891347.969999999</v>
      </c>
      <c r="P48" s="177">
        <f>+INDEX([1]DataEx!$1:$1048576,MATCH('2019'!$A48,[1]DataEx!$D:$D,0),MATCH('2019'!P$6,[1]DataEx!$7:$7,0))</f>
        <v>17069504.329999998</v>
      </c>
      <c r="Q48" s="177">
        <f>+INDEX([1]DataEx!$1:$1048576,MATCH('2019'!$A48,[1]DataEx!$D:$D,0),MATCH('2019'!Q$6,[1]DataEx!$7:$7,0))</f>
        <v>17615895</v>
      </c>
      <c r="R48" s="246">
        <f>+INDEX([1]DataEx!$1:$1048576,MATCH('2019'!$A48,[1]DataEx!$D:$D,0),MATCH('2019'!R$6,[1]DataEx!$7:$7,0))</f>
        <v>23619301.27</v>
      </c>
      <c r="S48" s="405">
        <f t="shared" si="3"/>
        <v>219702485.80999997</v>
      </c>
      <c r="T48" s="390">
        <f t="shared" si="4"/>
        <v>4.5608869612422408E-2</v>
      </c>
    </row>
    <row r="49" spans="1:22">
      <c r="A49" s="152">
        <v>44</v>
      </c>
      <c r="B49" s="494" t="str">
        <f>+VLOOKUP($A49,[1]Master!$D$27:$G$225,4,FALSE)</f>
        <v>Kapitalni budžet</v>
      </c>
      <c r="C49" s="495"/>
      <c r="D49" s="495"/>
      <c r="E49" s="495"/>
      <c r="F49" s="495"/>
      <c r="G49" s="177">
        <f>+INDEX([1]DataEx!$1:$1048576,MATCH('2019'!$A49,[1]DataEx!$D:$D,0),MATCH('2019'!G$6,[1]DataEx!$7:$7,0))</f>
        <v>26799713.309999999</v>
      </c>
      <c r="H49" s="177">
        <f>+INDEX([1]DataEx!$1:$1048576,MATCH('2019'!$A49,[1]DataEx!$D:$D,0),MATCH('2019'!H$6,[1]DataEx!$7:$7,0))</f>
        <v>4566174.7300000004</v>
      </c>
      <c r="I49" s="177">
        <f>+INDEX([1]DataEx!$1:$1048576,MATCH('2019'!$A49,[1]DataEx!$D:$D,0),MATCH('2019'!I$6,[1]DataEx!$7:$7,0))</f>
        <v>16026445.34</v>
      </c>
      <c r="J49" s="177">
        <f>+INDEX([1]DataEx!$1:$1048576,MATCH('2019'!$A49,[1]DataEx!$D:$D,0),MATCH('2019'!J$6,[1]DataEx!$7:$7,0))</f>
        <v>12709228.77</v>
      </c>
      <c r="K49" s="177">
        <f>+INDEX([1]DataEx!$1:$1048576,MATCH('2019'!$A49,[1]DataEx!$D:$D,0),MATCH('2019'!K$6,[1]DataEx!$7:$7,0))</f>
        <v>12112655.92</v>
      </c>
      <c r="L49" s="177">
        <f>+INDEX([1]DataEx!$1:$1048576,MATCH('2019'!$A49,[1]DataEx!$D:$D,0),MATCH('2019'!L$6,[1]DataEx!$7:$7,0))</f>
        <v>14428455.43</v>
      </c>
      <c r="M49" s="177">
        <f>+INDEX([1]DataEx!$1:$1048576,MATCH('2019'!$A49,[1]DataEx!$D:$D,0),MATCH('2019'!M$6,[1]DataEx!$7:$7,0))</f>
        <v>24624860.789999999</v>
      </c>
      <c r="N49" s="177">
        <f>+INDEX([1]DataEx!$1:$1048576,MATCH('2019'!$A49,[1]DataEx!$D:$D,0),MATCH('2019'!N$6,[1]DataEx!$7:$7,0))</f>
        <v>41555733.579999998</v>
      </c>
      <c r="O49" s="177">
        <f>+INDEX([1]DataEx!$1:$1048576,MATCH('2019'!$A49,[1]DataEx!$D:$D,0),MATCH('2019'!O$6,[1]DataEx!$7:$7,0))</f>
        <v>16395443.43</v>
      </c>
      <c r="P49" s="177">
        <f>+INDEX([1]DataEx!$1:$1048576,MATCH('2019'!$A49,[1]DataEx!$D:$D,0),MATCH('2019'!P$6,[1]DataEx!$7:$7,0))</f>
        <v>29474002.559999999</v>
      </c>
      <c r="Q49" s="177">
        <f>+INDEX([1]DataEx!$1:$1048576,MATCH('2019'!$A49,[1]DataEx!$D:$D,0),MATCH('2019'!Q$6,[1]DataEx!$7:$7,0))</f>
        <v>24779663.789999999</v>
      </c>
      <c r="R49" s="177">
        <f>+INDEX([1]DataEx!$1:$1048576,MATCH('2019'!$A49,[1]DataEx!$D:$D,0),MATCH('2019'!R$6,[1]DataEx!$7:$7,0))</f>
        <v>48910344.240000002</v>
      </c>
      <c r="S49" s="405">
        <f t="shared" si="3"/>
        <v>272382721.88999999</v>
      </c>
      <c r="T49" s="390">
        <f t="shared" si="4"/>
        <v>5.6544958977393034E-2</v>
      </c>
    </row>
    <row r="50" spans="1:22">
      <c r="A50" s="152">
        <v>451</v>
      </c>
      <c r="B50" s="531" t="str">
        <f>+VLOOKUP($A50,[1]Master!$D$27:$G$225,4,FALSE)</f>
        <v>Pozajmice i krediti</v>
      </c>
      <c r="C50" s="532"/>
      <c r="D50" s="532"/>
      <c r="E50" s="532"/>
      <c r="F50" s="532"/>
      <c r="G50" s="165">
        <f>+INDEX([1]DataEx!$1:$1048576,MATCH('2019'!$A50,[1]DataEx!$D:$D,0),MATCH('2019'!G$6,[1]DataEx!$7:$7,0))</f>
        <v>0</v>
      </c>
      <c r="H50" s="165">
        <f>+INDEX([1]DataEx!$1:$1048576,MATCH('2019'!$A50,[1]DataEx!$D:$D,0),MATCH('2019'!H$6,[1]DataEx!$7:$7,0))</f>
        <v>272323.98</v>
      </c>
      <c r="I50" s="165">
        <f>+INDEX([1]DataEx!$1:$1048576,MATCH('2019'!$A50,[1]DataEx!$D:$D,0),MATCH('2019'!I$6,[1]DataEx!$7:$7,0))</f>
        <v>30000</v>
      </c>
      <c r="J50" s="213">
        <f>+INDEX([1]DataEx!$1:$1048576,MATCH('2019'!$A50,[1]DataEx!$D:$D,0),MATCH('2019'!J$6,[1]DataEx!$7:$7,0))</f>
        <v>384534</v>
      </c>
      <c r="K50" s="165">
        <f>+INDEX([1]DataEx!$1:$1048576,MATCH('2019'!$A50,[1]DataEx!$D:$D,0),MATCH('2019'!K$6,[1]DataEx!$7:$7,0))</f>
        <v>260000</v>
      </c>
      <c r="L50" s="165">
        <f>+INDEX([1]DataEx!$1:$1048576,MATCH('2019'!$A50,[1]DataEx!$D:$D,0),MATCH('2019'!L$6,[1]DataEx!$7:$7,0))</f>
        <v>358750</v>
      </c>
      <c r="M50" s="165">
        <f>+INDEX([1]DataEx!$1:$1048576,MATCH('2019'!$A50,[1]DataEx!$D:$D,0),MATCH('2019'!M$6,[1]DataEx!$7:$7,0))</f>
        <v>335000</v>
      </c>
      <c r="N50" s="165">
        <f>+INDEX([1]DataEx!$1:$1048576,MATCH('2019'!$A50,[1]DataEx!$D:$D,0),MATCH('2019'!N$6,[1]DataEx!$7:$7,0))</f>
        <v>145000</v>
      </c>
      <c r="O50" s="165">
        <f>+INDEX([1]DataEx!$1:$1048576,MATCH('2019'!$A50,[1]DataEx!$D:$D,0),MATCH('2019'!O$6,[1]DataEx!$7:$7,0))</f>
        <v>298894</v>
      </c>
      <c r="P50" s="165">
        <f>+INDEX([1]DataEx!$1:$1048576,MATCH('2019'!$A50,[1]DataEx!$D:$D,0),MATCH('2019'!P$6,[1]DataEx!$7:$7,0))</f>
        <v>10000</v>
      </c>
      <c r="Q50" s="165">
        <f>+INDEX([1]DataEx!$1:$1048576,MATCH('2019'!$A50,[1]DataEx!$D:$D,0),MATCH('2019'!Q$6,[1]DataEx!$7:$7,0))</f>
        <v>200000</v>
      </c>
      <c r="R50" s="165">
        <f>+INDEX([1]DataEx!$1:$1048576,MATCH('2019'!$A50,[1]DataEx!$D:$D,0),MATCH('2019'!R$6,[1]DataEx!$7:$7,0))</f>
        <v>882434</v>
      </c>
      <c r="S50" s="404">
        <f t="shared" si="3"/>
        <v>3176935.98</v>
      </c>
      <c r="T50" s="389">
        <f t="shared" si="4"/>
        <v>6.5951215046397213E-4</v>
      </c>
    </row>
    <row r="51" spans="1:22" s="379" customFormat="1">
      <c r="A51" s="378">
        <v>47</v>
      </c>
      <c r="B51" s="533" t="str">
        <f>+VLOOKUP($A51,[1]Master!$D$27:$G$225,4,FALSE)</f>
        <v>Rezerve</v>
      </c>
      <c r="C51" s="534"/>
      <c r="D51" s="534"/>
      <c r="E51" s="534"/>
      <c r="F51" s="534"/>
      <c r="G51" s="165">
        <f>+INDEX([1]DataEx!$1:$1048576,MATCH('2019'!$A51,[1]DataEx!$D:$D,0),MATCH('2019'!G$6,[1]DataEx!$7:$7,0))</f>
        <v>0</v>
      </c>
      <c r="H51" s="165">
        <f>+INDEX([1]DataEx!$1:$1048576,MATCH('2019'!$A51,[1]DataEx!$D:$D,0),MATCH('2019'!H$6,[1]DataEx!$7:$7,0))</f>
        <v>1952871.71</v>
      </c>
      <c r="I51" s="165">
        <f>+INDEX([1]DataEx!$1:$1048576,MATCH('2019'!$A51,[1]DataEx!$D:$D,0),MATCH('2019'!I$6,[1]DataEx!$7:$7,0))</f>
        <v>278787.49</v>
      </c>
      <c r="J51" s="213">
        <f>+INDEX([1]DataEx!$1:$1048576,MATCH('2019'!$A51,[1]DataEx!$D:$D,0),MATCH('2019'!J$6,[1]DataEx!$7:$7,0))</f>
        <v>1806704.1</v>
      </c>
      <c r="K51" s="165">
        <f>+INDEX([1]DataEx!$1:$1048576,MATCH('2019'!$A51,[1]DataEx!$D:$D,0),MATCH('2019'!K$6,[1]DataEx!$7:$7,0))</f>
        <v>1407800</v>
      </c>
      <c r="L51" s="165">
        <f>+INDEX([1]DataEx!$1:$1048576,MATCH('2019'!$A51,[1]DataEx!$D:$D,0),MATCH('2019'!L$6,[1]DataEx!$7:$7,0))</f>
        <v>1291723.94</v>
      </c>
      <c r="M51" s="165">
        <f>+INDEX([1]DataEx!$1:$1048576,MATCH('2019'!$A51,[1]DataEx!$D:$D,0),MATCH('2019'!M$6,[1]DataEx!$7:$7,0))</f>
        <v>6488928.9000000004</v>
      </c>
      <c r="N51" s="165">
        <f>+INDEX([1]DataEx!$1:$1048576,MATCH('2019'!$A51,[1]DataEx!$D:$D,0),MATCH('2019'!N$6,[1]DataEx!$7:$7,0))</f>
        <v>433973.31</v>
      </c>
      <c r="O51" s="165">
        <f>+INDEX([1]DataEx!$1:$1048576,MATCH('2019'!$A51,[1]DataEx!$D:$D,0),MATCH('2019'!O$6,[1]DataEx!$7:$7,0))</f>
        <v>745665.27</v>
      </c>
      <c r="P51" s="165">
        <f>+INDEX([1]DataEx!$1:$1048576,MATCH('2019'!$A51,[1]DataEx!$D:$D,0),MATCH('2019'!P$6,[1]DataEx!$7:$7,0))</f>
        <v>424125.36</v>
      </c>
      <c r="Q51" s="165">
        <f>+INDEX([1]DataEx!$1:$1048576,MATCH('2019'!$A51,[1]DataEx!$D:$D,0),MATCH('2019'!Q$6,[1]DataEx!$7:$7,0))</f>
        <v>5226150</v>
      </c>
      <c r="R51" s="213">
        <f>+INDEX([1]DataEx!$1:$1048576,MATCH('2019'!$A51,[1]DataEx!$D:$D,0),MATCH('2019'!R$6,[1]DataEx!$7:$7,0))</f>
        <v>4239725.51</v>
      </c>
      <c r="S51" s="404">
        <f t="shared" si="3"/>
        <v>24296455.589999996</v>
      </c>
      <c r="T51" s="389">
        <f t="shared" si="4"/>
        <v>5.0437930684436687E-3</v>
      </c>
    </row>
    <row r="52" spans="1:22" ht="13.5" thickBot="1">
      <c r="A52" s="152">
        <v>462</v>
      </c>
      <c r="B52" s="500" t="str">
        <f>+VLOOKUP($A52,[1]Master!$D$27:$G$225,4,FALSE)</f>
        <v>Otplata garancija</v>
      </c>
      <c r="C52" s="501"/>
      <c r="D52" s="501"/>
      <c r="E52" s="501"/>
      <c r="F52" s="501"/>
      <c r="G52" s="201">
        <f>+INDEX([1]DataEx!$1:$1048576,MATCH('2019'!$A52,[1]DataEx!$D:$D,0),MATCH('2019'!G$6,[1]DataEx!$7:$7,0))</f>
        <v>2253720.0299999998</v>
      </c>
      <c r="H52" s="201">
        <f>+INDEX([1]DataEx!$1:$1048576,MATCH('2019'!$A52,[1]DataEx!$D:$D,0),MATCH('2019'!H$6,[1]DataEx!$7:$7,0))</f>
        <v>494.04</v>
      </c>
      <c r="I52" s="201">
        <f>+INDEX([1]DataEx!$1:$1048576,MATCH('2019'!$A52,[1]DataEx!$D:$D,0),MATCH('2019'!I$6,[1]DataEx!$7:$7,0))</f>
        <v>7180485.3399999999</v>
      </c>
      <c r="J52" s="201">
        <f>+INDEX([1]DataEx!$1:$1048576,MATCH('2019'!$A52,[1]DataEx!$D:$D,0),MATCH('2019'!J$6,[1]DataEx!$7:$7,0))</f>
        <v>0</v>
      </c>
      <c r="K52" s="201">
        <f>+INDEX([1]DataEx!$1:$1048576,MATCH('2019'!$A52,[1]DataEx!$D:$D,0),MATCH('2019'!K$6,[1]DataEx!$7:$7,0))</f>
        <v>0</v>
      </c>
      <c r="L52" s="201">
        <f>+INDEX([1]DataEx!$1:$1048576,MATCH('2019'!$A52,[1]DataEx!$D:$D,0),MATCH('2019'!L$6,[1]DataEx!$7:$7,0))</f>
        <v>0</v>
      </c>
      <c r="M52" s="201">
        <f>+INDEX([1]DataEx!$1:$1048576,MATCH('2019'!$A52,[1]DataEx!$D:$D,0),MATCH('2019'!M$6,[1]DataEx!$7:$7,0))</f>
        <v>0</v>
      </c>
      <c r="N52" s="201">
        <f>+INDEX([1]DataEx!$1:$1048576,MATCH('2019'!$A52,[1]DataEx!$D:$D,0),MATCH('2019'!N$6,[1]DataEx!$7:$7,0))</f>
        <v>0</v>
      </c>
      <c r="O52" s="201">
        <f>+INDEX([1]DataEx!$1:$1048576,MATCH('2019'!$A52,[1]DataEx!$D:$D,0),MATCH('2019'!O$6,[1]DataEx!$7:$7,0))</f>
        <v>0</v>
      </c>
      <c r="P52" s="201">
        <f>+INDEX([1]DataEx!$1:$1048576,MATCH('2019'!$A52,[1]DataEx!$D:$D,0),MATCH('2019'!P$6,[1]DataEx!$7:$7,0))</f>
        <v>0</v>
      </c>
      <c r="Q52" s="201">
        <f>+INDEX([1]DataEx!$1:$1048576,MATCH('2019'!$A52,[1]DataEx!$D:$D,0),MATCH('2019'!Q$6,[1]DataEx!$7:$7,0))</f>
        <v>0</v>
      </c>
      <c r="R52" s="201">
        <f>+INDEX([1]DataEx!$1:$1048576,MATCH('2019'!$A52,[1]DataEx!$D:$D,0),MATCH('2019'!R$6,[1]DataEx!$7:$7,0))</f>
        <v>29250000</v>
      </c>
      <c r="S52" s="404">
        <f t="shared" si="3"/>
        <v>38684699.409999996</v>
      </c>
      <c r="T52" s="394">
        <f t="shared" si="4"/>
        <v>8.0307029976541891E-3</v>
      </c>
      <c r="U52" s="306"/>
      <c r="V52" s="307"/>
    </row>
    <row r="53" spans="1:22" ht="13.5" thickBot="1">
      <c r="A53" s="146">
        <v>4630</v>
      </c>
      <c r="B53" s="535" t="str">
        <f>+VLOOKUP($A53,[1]Master!$D$27:$G$225,4,TRUE)</f>
        <v>Otplata obaveza iz prethodnih godina</v>
      </c>
      <c r="C53" s="536"/>
      <c r="D53" s="536"/>
      <c r="E53" s="536"/>
      <c r="F53" s="536"/>
      <c r="G53" s="201">
        <f>+INDEX([1]DataEx!$1:$1048576,MATCH('2019'!$A53,[1]DataEx!$D:$D,0),MATCH('2019'!G$6,[1]DataEx!$7:$7,0))</f>
        <v>1205053.3500000001</v>
      </c>
      <c r="H53" s="201">
        <f>+INDEX([1]DataEx!$1:$1048576,MATCH('2019'!$A53,[1]DataEx!$D:$D,0),MATCH('2019'!H$6,[1]DataEx!$7:$7,0))</f>
        <v>1401737.72</v>
      </c>
      <c r="I53" s="201">
        <f>+INDEX([1]DataEx!$1:$1048576,MATCH('2019'!$A53,[1]DataEx!$D:$D,0),MATCH('2019'!I$6,[1]DataEx!$7:$7,0))</f>
        <v>1741137.89</v>
      </c>
      <c r="J53" s="201">
        <f>+INDEX([1]DataEx!$1:$1048576,MATCH('2019'!$A53,[1]DataEx!$D:$D,0),MATCH('2019'!J$6,[1]DataEx!$7:$7,0))</f>
        <v>1788599.55</v>
      </c>
      <c r="K53" s="201">
        <f>+INDEX([1]DataEx!$1:$1048576,MATCH('2019'!$A53,[1]DataEx!$D:$D,0),MATCH('2019'!K$6,[1]DataEx!$7:$7,0))</f>
        <v>1469971.03</v>
      </c>
      <c r="L53" s="201">
        <f>+INDEX([1]DataEx!$1:$1048576,MATCH('2019'!$A53,[1]DataEx!$D:$D,0),MATCH('2019'!L$6,[1]DataEx!$7:$7,0))</f>
        <v>1848609.33</v>
      </c>
      <c r="M53" s="201">
        <f>+INDEX([1]DataEx!$1:$1048576,MATCH('2019'!$A53,[1]DataEx!$D:$D,0),MATCH('2019'!M$6,[1]DataEx!$7:$7,0))</f>
        <v>4446503.8099999996</v>
      </c>
      <c r="N53" s="201">
        <f>+INDEX([1]DataEx!$1:$1048576,MATCH('2019'!$A53,[1]DataEx!$D:$D,0),MATCH('2019'!N$6,[1]DataEx!$7:$7,0))</f>
        <v>903390.64</v>
      </c>
      <c r="O53" s="201">
        <f>+INDEX([1]DataEx!$1:$1048576,MATCH('2019'!$A53,[1]DataEx!$D:$D,0),MATCH('2019'!O$6,[1]DataEx!$7:$7,0))</f>
        <v>1579978.54</v>
      </c>
      <c r="P53" s="201">
        <f>+INDEX([1]DataEx!$1:$1048576,MATCH('2019'!$A53,[1]DataEx!$D:$D,0),MATCH('2019'!P$6,[1]DataEx!$7:$7,0))</f>
        <v>1269302.99</v>
      </c>
      <c r="Q53" s="201">
        <f>+INDEX([1]DataEx!$1:$1048576,MATCH('2019'!$A53,[1]DataEx!$D:$D,0),MATCH('2019'!Q$6,[1]DataEx!$7:$7,0))</f>
        <v>1244693.3799999999</v>
      </c>
      <c r="R53" s="201">
        <f>+INDEX([1]DataEx!$1:$1048576,MATCH('2019'!$A53,[1]DataEx!$D:$D,0),MATCH('2019'!R$6,[1]DataEx!$7:$7,0))</f>
        <v>1794864.65</v>
      </c>
      <c r="S53" s="409">
        <f>+SUM(G53:R53)</f>
        <v>20693842.879999995</v>
      </c>
      <c r="T53" s="394">
        <f>+S53/$T$7</f>
        <v>4.2959130763322324E-3</v>
      </c>
    </row>
    <row r="54" spans="1:22" ht="13.5" thickBot="1">
      <c r="A54" s="70">
        <v>1005</v>
      </c>
      <c r="B54" s="537" t="str">
        <f>+VLOOKUP($A54,[1]Master!$D$27:$G$227,4,FALSE)</f>
        <v>Neto povećanje obaveza</v>
      </c>
      <c r="C54" s="538"/>
      <c r="D54" s="538"/>
      <c r="E54" s="538"/>
      <c r="F54" s="538"/>
      <c r="G54" s="95">
        <f>+INDEX([1]DataEx!$1:$1048576,MATCH('2019'!$A54,[1]DataEx!$D:$D,0),MATCH('2019'!G$6,[1]DataEx!$7:$7,0))</f>
        <v>0</v>
      </c>
      <c r="H54" s="95">
        <f>+INDEX([1]DataEx!$1:$1048576,MATCH('2019'!$A54,[1]DataEx!$D:$D,0),MATCH('2019'!H$6,[1]DataEx!$7:$7,0))</f>
        <v>0</v>
      </c>
      <c r="I54" s="95">
        <f>+INDEX([1]DataEx!$1:$1048576,MATCH('2019'!$A54,[1]DataEx!$D:$D,0),MATCH('2019'!I$6,[1]DataEx!$7:$7,0))</f>
        <v>0</v>
      </c>
      <c r="J54" s="213">
        <f>+INDEX([1]DataEx!$1:$1048576,MATCH('2019'!$A54,[1]DataEx!$D:$D,0),MATCH('2019'!J$6,[1]DataEx!$7:$7,0))</f>
        <v>0</v>
      </c>
      <c r="K54" s="95">
        <f>+INDEX([1]DataEx!$1:$1048576,MATCH('2019'!$A54,[1]DataEx!$D:$D,0),MATCH('2019'!K$6,[1]DataEx!$7:$7,0))</f>
        <v>0</v>
      </c>
      <c r="L54" s="95">
        <f>+INDEX([1]DataEx!$1:$1048576,MATCH('2019'!$A54,[1]DataEx!$D:$D,0),MATCH('2019'!L$6,[1]DataEx!$7:$7,0))</f>
        <v>0</v>
      </c>
      <c r="M54" s="95">
        <f>+INDEX([1]DataEx!$1:$1048576,MATCH('2019'!$A54,[1]DataEx!$D:$D,0),MATCH('2019'!M$6,[1]DataEx!$7:$7,0))</f>
        <v>0</v>
      </c>
      <c r="N54" s="95">
        <f>+INDEX([1]DataEx!$1:$1048576,MATCH('2019'!$A54,[1]DataEx!$D:$D,0),MATCH('2019'!N$6,[1]DataEx!$7:$7,0))</f>
        <v>0</v>
      </c>
      <c r="O54" s="95">
        <f>+INDEX([1]DataEx!$1:$1048576,MATCH('2019'!$A54,[1]DataEx!$D:$D,0),MATCH('2019'!O$6,[1]DataEx!$7:$7,0))</f>
        <v>0</v>
      </c>
      <c r="P54" s="95">
        <f>+INDEX([1]DataEx!$1:$1048576,MATCH('2019'!$A54,[1]DataEx!$D:$D,0),MATCH('2019'!P$6,[1]DataEx!$7:$7,0))</f>
        <v>0</v>
      </c>
      <c r="Q54" s="95">
        <f>+INDEX([1]DataEx!$1:$1048576,MATCH('2019'!$A54,[1]DataEx!$D:$D,0),MATCH('2019'!Q$6,[1]DataEx!$7:$7,0))</f>
        <v>0</v>
      </c>
      <c r="R54" s="95">
        <f>+INDEX([1]DataEx!$1:$1048576,MATCH('2019'!$A54,[1]DataEx!$D:$D,0),MATCH('2019'!R$6,[1]DataEx!$7:$7,0))</f>
        <v>0</v>
      </c>
      <c r="S54" s="410">
        <f>+SUM(G54:R54)</f>
        <v>0</v>
      </c>
      <c r="T54" s="395">
        <f>+S54/$T$7</f>
        <v>0</v>
      </c>
    </row>
    <row r="55" spans="1:22" ht="13.5" thickBot="1">
      <c r="A55" s="146">
        <v>1000</v>
      </c>
      <c r="B55" s="502" t="str">
        <f>+VLOOKUP($A55,[1]Master!$D$27:$G$225,4,FALSE)</f>
        <v>Suficit / deficit</v>
      </c>
      <c r="C55" s="503"/>
      <c r="D55" s="503"/>
      <c r="E55" s="503"/>
      <c r="F55" s="503"/>
      <c r="G55" s="153">
        <f t="shared" ref="G55:R55" si="9">+G10-G29</f>
        <v>-32304836.680000007</v>
      </c>
      <c r="H55" s="153">
        <f t="shared" si="9"/>
        <v>-14386045.980000004</v>
      </c>
      <c r="I55" s="153">
        <f t="shared" si="9"/>
        <v>-24604985.380000025</v>
      </c>
      <c r="J55" s="153">
        <f t="shared" si="9"/>
        <v>10138380.330000043</v>
      </c>
      <c r="K55" s="153">
        <f t="shared" si="9"/>
        <v>-1934318.9800000191</v>
      </c>
      <c r="L55" s="153">
        <f t="shared" si="9"/>
        <v>-859554.13999998569</v>
      </c>
      <c r="M55" s="153">
        <f t="shared" si="9"/>
        <v>-5307683.3999999762</v>
      </c>
      <c r="N55" s="153">
        <f t="shared" si="9"/>
        <v>14435810.870000005</v>
      </c>
      <c r="O55" s="153">
        <f t="shared" si="9"/>
        <v>16525506.420000017</v>
      </c>
      <c r="P55" s="153">
        <f t="shared" si="9"/>
        <v>-22689490.460000008</v>
      </c>
      <c r="Q55" s="153">
        <f t="shared" si="9"/>
        <v>-49916907.269999981</v>
      </c>
      <c r="R55" s="153">
        <f t="shared" si="9"/>
        <v>-32724967.230000019</v>
      </c>
      <c r="S55" s="411">
        <f t="shared" si="3"/>
        <v>-143629091.89999998</v>
      </c>
      <c r="T55" s="396">
        <f t="shared" si="4"/>
        <v>-2.9816506175914966E-2</v>
      </c>
    </row>
    <row r="56" spans="1:22" ht="13.5" thickBot="1">
      <c r="A56" s="146">
        <v>1001</v>
      </c>
      <c r="B56" s="504" t="str">
        <f>+VLOOKUP($A56,[1]Master!$D$27:$G$225,4,FALSE)</f>
        <v>Primarni bilans</v>
      </c>
      <c r="C56" s="505"/>
      <c r="D56" s="505"/>
      <c r="E56" s="505"/>
      <c r="F56" s="505"/>
      <c r="G56" s="207">
        <f>+G55+G37</f>
        <v>-26149983.780000009</v>
      </c>
      <c r="H56" s="207">
        <f t="shared" ref="H56:R56" si="10">+H55+H37</f>
        <v>-13386704.440000005</v>
      </c>
      <c r="I56" s="207">
        <f t="shared" si="10"/>
        <v>4090528.2699999735</v>
      </c>
      <c r="J56" s="207">
        <f t="shared" si="10"/>
        <v>28573652.120000042</v>
      </c>
      <c r="K56" s="207">
        <f t="shared" si="10"/>
        <v>8324525.0899999812</v>
      </c>
      <c r="L56" s="207">
        <f t="shared" si="10"/>
        <v>4552212.8000000147</v>
      </c>
      <c r="M56" s="207">
        <f t="shared" si="10"/>
        <v>3739649.8000000231</v>
      </c>
      <c r="N56" s="207">
        <f t="shared" si="10"/>
        <v>15487078.200000005</v>
      </c>
      <c r="O56" s="207">
        <f t="shared" si="10"/>
        <v>19524892.350000016</v>
      </c>
      <c r="P56" s="207">
        <f t="shared" si="10"/>
        <v>-10160296.970000008</v>
      </c>
      <c r="Q56" s="207">
        <f t="shared" si="10"/>
        <v>-45461097.079999983</v>
      </c>
      <c r="R56" s="207">
        <f t="shared" si="10"/>
        <v>-27097262.070000019</v>
      </c>
      <c r="S56" s="411">
        <f t="shared" si="3"/>
        <v>-37962805.709999964</v>
      </c>
      <c r="T56" s="396">
        <f t="shared" si="4"/>
        <v>-7.8808423553590259E-3</v>
      </c>
    </row>
    <row r="57" spans="1:22">
      <c r="A57" s="146">
        <v>46</v>
      </c>
      <c r="B57" s="549" t="str">
        <f>+VLOOKUP($A57,[1]Master!$D$27:$G$225,4,FALSE)</f>
        <v>Otplata dugova</v>
      </c>
      <c r="C57" s="550"/>
      <c r="D57" s="550"/>
      <c r="E57" s="550"/>
      <c r="F57" s="550"/>
      <c r="G57" s="195">
        <f t="shared" ref="G57:R57" si="11">+SUM(G58:G59)</f>
        <v>19518367.399999999</v>
      </c>
      <c r="H57" s="195">
        <f t="shared" si="11"/>
        <v>67365423.120000005</v>
      </c>
      <c r="I57" s="195">
        <f t="shared" si="11"/>
        <v>17786584.469999999</v>
      </c>
      <c r="J57" s="177">
        <f t="shared" si="11"/>
        <v>18302050.879999999</v>
      </c>
      <c r="K57" s="195">
        <f t="shared" si="11"/>
        <v>183682731.81999999</v>
      </c>
      <c r="L57" s="195">
        <f t="shared" si="11"/>
        <v>11094774.199999999</v>
      </c>
      <c r="M57" s="195">
        <f t="shared" si="11"/>
        <v>80471032.019999996</v>
      </c>
      <c r="N57" s="195">
        <f t="shared" si="11"/>
        <v>57755617.170000002</v>
      </c>
      <c r="O57" s="195">
        <f t="shared" si="11"/>
        <v>17889318.350000001</v>
      </c>
      <c r="P57" s="195">
        <f t="shared" si="11"/>
        <v>11092379.140000001</v>
      </c>
      <c r="Q57" s="195">
        <f t="shared" si="11"/>
        <v>10162494.119999999</v>
      </c>
      <c r="R57" s="195">
        <f t="shared" si="11"/>
        <v>12220480.4</v>
      </c>
      <c r="S57" s="412">
        <f t="shared" si="3"/>
        <v>507341253.08999997</v>
      </c>
      <c r="T57" s="397">
        <f t="shared" si="4"/>
        <v>0.10532088872765771</v>
      </c>
      <c r="V57" s="323"/>
    </row>
    <row r="58" spans="1:22">
      <c r="A58" s="146">
        <v>4611</v>
      </c>
      <c r="B58" s="522" t="str">
        <f>+VLOOKUP($A58,[1]Master!$D$27:$G$225,4,FALSE)</f>
        <v>Otplata hartija od vrijednosti i kredita rezidentima</v>
      </c>
      <c r="C58" s="523"/>
      <c r="D58" s="523"/>
      <c r="E58" s="523"/>
      <c r="F58" s="523"/>
      <c r="G58" s="213">
        <f>+INDEX([1]DataEx!$1:$1048576,MATCH('2019'!$A58,[1]DataEx!$D:$D,0),MATCH('2019'!G$6,[1]DataEx!$7:$7,0))</f>
        <v>18084948.579999998</v>
      </c>
      <c r="H58" s="213">
        <f>+INDEX([1]DataEx!$1:$1048576,MATCH('2019'!$A58,[1]DataEx!$D:$D,0),MATCH('2019'!H$6,[1]DataEx!$7:$7,0))</f>
        <v>64835364.859999999</v>
      </c>
      <c r="I58" s="213">
        <f>+INDEX([1]DataEx!$1:$1048576,MATCH('2019'!$A58,[1]DataEx!$D:$D,0),MATCH('2019'!I$6,[1]DataEx!$7:$7,0))</f>
        <v>1062241.2</v>
      </c>
      <c r="J58" s="213">
        <f>+INDEX([1]DataEx!$1:$1048576,MATCH('2019'!$A58,[1]DataEx!$D:$D,0),MATCH('2019'!J$6,[1]DataEx!$7:$7,0))</f>
        <v>2291816.1800000002</v>
      </c>
      <c r="K58" s="213">
        <f>+INDEX([1]DataEx!$1:$1048576,MATCH('2019'!$A58,[1]DataEx!$D:$D,0),MATCH('2019'!K$6,[1]DataEx!$7:$7,0))</f>
        <v>5836708.6600000001</v>
      </c>
      <c r="L58" s="213">
        <f>+INDEX([1]DataEx!$1:$1048576,MATCH('2019'!$A58,[1]DataEx!$D:$D,0),MATCH('2019'!L$6,[1]DataEx!$7:$7,0))</f>
        <v>1304074.52</v>
      </c>
      <c r="M58" s="213">
        <f>+INDEX([1]DataEx!$1:$1048576,MATCH('2019'!$A58,[1]DataEx!$D:$D,0),MATCH('2019'!M$6,[1]DataEx!$7:$7,0))</f>
        <v>18837613.199999999</v>
      </c>
      <c r="N58" s="213">
        <f>+INDEX([1]DataEx!$1:$1048576,MATCH('2019'!$A58,[1]DataEx!$D:$D,0),MATCH('2019'!N$6,[1]DataEx!$7:$7,0))</f>
        <v>54838105.140000001</v>
      </c>
      <c r="O58" s="213">
        <f>+INDEX([1]DataEx!$1:$1048576,MATCH('2019'!$A58,[1]DataEx!$D:$D,0),MATCH('2019'!O$6,[1]DataEx!$7:$7,0))</f>
        <v>1831381.37</v>
      </c>
      <c r="P58" s="213">
        <f>+INDEX([1]DataEx!$1:$1048576,MATCH('2019'!$A58,[1]DataEx!$D:$D,0),MATCH('2019'!P$6,[1]DataEx!$7:$7,0))</f>
        <v>6571880.8899999997</v>
      </c>
      <c r="Q58" s="213">
        <f>+INDEX([1]DataEx!$1:$1048576,MATCH('2019'!$A58,[1]DataEx!$D:$D,0),MATCH('2019'!Q$6,[1]DataEx!$7:$7,0))</f>
        <v>839474.95</v>
      </c>
      <c r="R58" s="213">
        <f>+INDEX([1]DataEx!$1:$1048576,MATCH('2019'!$A58,[1]DataEx!$D:$D,0),MATCH('2019'!R$6,[1]DataEx!$7:$7,0))</f>
        <v>2081948.73</v>
      </c>
      <c r="S58" s="413">
        <f t="shared" si="3"/>
        <v>178415558.27999997</v>
      </c>
      <c r="T58" s="398">
        <f t="shared" si="4"/>
        <v>3.7037960241639155E-2</v>
      </c>
      <c r="V58" s="371"/>
    </row>
    <row r="59" spans="1:22" ht="13.5" thickBot="1">
      <c r="A59" s="146">
        <v>4612</v>
      </c>
      <c r="B59" s="498" t="str">
        <f>+VLOOKUP($A59,[1]Master!$D$27:$G$225,4,FALSE)</f>
        <v>Otplata hartija od vrijednosti i kredita nerezidentima</v>
      </c>
      <c r="C59" s="499"/>
      <c r="D59" s="499"/>
      <c r="E59" s="499"/>
      <c r="F59" s="499"/>
      <c r="G59" s="213">
        <f>+INDEX([1]DataEx!$1:$1048576,MATCH('2019'!$A59,[1]DataEx!$D:$D,0),MATCH('2019'!G$6,[1]DataEx!$7:$7,0))</f>
        <v>1433418.82</v>
      </c>
      <c r="H59" s="213">
        <f>+INDEX([1]DataEx!$1:$1048576,MATCH('2019'!$A59,[1]DataEx!$D:$D,0),MATCH('2019'!H$6,[1]DataEx!$7:$7,0))</f>
        <v>2530058.2599999998</v>
      </c>
      <c r="I59" s="213">
        <f>+INDEX([1]DataEx!$1:$1048576,MATCH('2019'!$A59,[1]DataEx!$D:$D,0),MATCH('2019'!I$6,[1]DataEx!$7:$7,0))</f>
        <v>16724343.27</v>
      </c>
      <c r="J59" s="213">
        <f>+INDEX([1]DataEx!$1:$1048576,MATCH('2019'!$A59,[1]DataEx!$D:$D,0),MATCH('2019'!J$6,[1]DataEx!$7:$7,0))</f>
        <v>16010234.699999999</v>
      </c>
      <c r="K59" s="213">
        <f>+INDEX([1]DataEx!$1:$1048576,MATCH('2019'!$A59,[1]DataEx!$D:$D,0),MATCH('2019'!K$6,[1]DataEx!$7:$7,0))</f>
        <v>177846023.16</v>
      </c>
      <c r="L59" s="213">
        <f>+INDEX([1]DataEx!$1:$1048576,MATCH('2019'!$A59,[1]DataEx!$D:$D,0),MATCH('2019'!L$6,[1]DataEx!$7:$7,0))</f>
        <v>9790699.6799999997</v>
      </c>
      <c r="M59" s="213">
        <f>+INDEX([1]DataEx!$1:$1048576,MATCH('2019'!$A59,[1]DataEx!$D:$D,0),MATCH('2019'!M$6,[1]DataEx!$7:$7,0))</f>
        <v>61633418.82</v>
      </c>
      <c r="N59" s="213">
        <f>+INDEX([1]DataEx!$1:$1048576,MATCH('2019'!$A59,[1]DataEx!$D:$D,0),MATCH('2019'!N$6,[1]DataEx!$7:$7,0))</f>
        <v>2917512.03</v>
      </c>
      <c r="O59" s="213">
        <f>+INDEX([1]DataEx!$1:$1048576,MATCH('2019'!$A59,[1]DataEx!$D:$D,0),MATCH('2019'!O$6,[1]DataEx!$7:$7,0))</f>
        <v>16057936.98</v>
      </c>
      <c r="P59" s="213">
        <f>+INDEX([1]DataEx!$1:$1048576,MATCH('2019'!$A59,[1]DataEx!$D:$D,0),MATCH('2019'!P$6,[1]DataEx!$7:$7,0))</f>
        <v>4520498.25</v>
      </c>
      <c r="Q59" s="213">
        <f>+INDEX([1]DataEx!$1:$1048576,MATCH('2019'!$A59,[1]DataEx!$D:$D,0),MATCH('2019'!Q$6,[1]DataEx!$7:$7,0))</f>
        <v>9323019.1699999999</v>
      </c>
      <c r="R59" s="213">
        <f>+INDEX([1]DataEx!$1:$1048576,MATCH('2019'!$A59,[1]DataEx!$D:$D,0),MATCH('2019'!R$6,[1]DataEx!$7:$7,0))</f>
        <v>10138531.67</v>
      </c>
      <c r="S59" s="413">
        <f t="shared" si="3"/>
        <v>328925694.81</v>
      </c>
      <c r="T59" s="398">
        <f t="shared" si="4"/>
        <v>6.8282928486018565E-2</v>
      </c>
      <c r="V59" s="333"/>
    </row>
    <row r="60" spans="1:22" ht="13.5" thickBot="1">
      <c r="A60" s="146">
        <v>4418</v>
      </c>
      <c r="B60" s="549" t="str">
        <f>+VLOOKUP($A60,[1]Master!$D$27:$G$225,4,FALSE)</f>
        <v>Izdaci za kupovinu hartija od vrijednosti</v>
      </c>
      <c r="C60" s="550"/>
      <c r="D60" s="550"/>
      <c r="E60" s="550"/>
      <c r="F60" s="550"/>
      <c r="G60" s="195">
        <f>+INDEX([1]DataEx!$1:$1048576,MATCH('2019'!$A60,[1]DataEx!$D:$D,0),MATCH('2019'!G$6,[1]DataEx!$7:$7,0))</f>
        <v>0</v>
      </c>
      <c r="H60" s="195">
        <f>+INDEX([1]DataEx!$1:$1048576,MATCH('2019'!$A60,[1]DataEx!$D:$D,0),MATCH('2019'!H$6,[1]DataEx!$7:$7,0))</f>
        <v>35272.089999999997</v>
      </c>
      <c r="I60" s="195">
        <f>+INDEX([1]DataEx!$1:$1048576,MATCH('2019'!$A60,[1]DataEx!$D:$D,0),MATCH('2019'!I$6,[1]DataEx!$7:$7,0))</f>
        <v>0</v>
      </c>
      <c r="J60" s="195">
        <f>+INDEX([1]DataEx!$1:$1048576,MATCH('2019'!$A60,[1]DataEx!$D:$D,0),MATCH('2019'!J$6,[1]DataEx!$7:$7,0))</f>
        <v>39948396.369999997</v>
      </c>
      <c r="K60" s="195">
        <f>+INDEX([1]DataEx!$1:$1048576,MATCH('2019'!$A60,[1]DataEx!$D:$D,0),MATCH('2019'!K$6,[1]DataEx!$7:$7,0))</f>
        <v>0</v>
      </c>
      <c r="L60" s="195">
        <f>+INDEX([1]DataEx!$1:$1048576,MATCH('2019'!$A60,[1]DataEx!$D:$D,0),MATCH('2019'!L$6,[1]DataEx!$7:$7,0))</f>
        <v>0</v>
      </c>
      <c r="M60" s="195">
        <f>+INDEX([1]DataEx!$1:$1048576,MATCH('2019'!$A60,[1]DataEx!$D:$D,0),MATCH('2019'!M$6,[1]DataEx!$7:$7,0))</f>
        <v>0</v>
      </c>
      <c r="N60" s="195">
        <f>+INDEX([1]DataEx!$1:$1048576,MATCH('2019'!$A60,[1]DataEx!$D:$D,0),MATCH('2019'!N$6,[1]DataEx!$7:$7,0))</f>
        <v>0</v>
      </c>
      <c r="O60" s="195">
        <f>+INDEX([1]DataEx!$1:$1048576,MATCH('2019'!$A60,[1]DataEx!$D:$D,0),MATCH('2019'!O$6,[1]DataEx!$7:$7,0))</f>
        <v>0</v>
      </c>
      <c r="P60" s="195">
        <f>+INDEX([1]DataEx!$1:$1048576,MATCH('2019'!$A60,[1]DataEx!$D:$D,0),MATCH('2019'!P$6,[1]DataEx!$7:$7,0))</f>
        <v>0</v>
      </c>
      <c r="Q60" s="195">
        <f>+INDEX([1]DataEx!$1:$1048576,MATCH('2019'!$A60,[1]DataEx!$D:$D,0),MATCH('2019'!Q$6,[1]DataEx!$7:$7,0))</f>
        <v>14495201.140000001</v>
      </c>
      <c r="R60" s="195">
        <f>+INDEX([1]DataEx!$1:$1048576,MATCH('2019'!$A60,[1]DataEx!$D:$D,0),MATCH('2019'!R$6,[1]DataEx!$7:$7,0))</f>
        <v>2849828.78</v>
      </c>
      <c r="S60" s="412">
        <f>SUM(G60:R60)</f>
        <v>57328698.380000003</v>
      </c>
      <c r="T60" s="397">
        <f>+S60/$T$7</f>
        <v>1.1901081227294431E-2</v>
      </c>
      <c r="V60" s="333"/>
    </row>
    <row r="61" spans="1:22" ht="13.5" thickBot="1">
      <c r="A61" s="146">
        <v>1002</v>
      </c>
      <c r="B61" s="524" t="str">
        <f>+VLOOKUP($A61,[1]Master!$D$27:$G$225,4,FALSE)</f>
        <v>Nedostajuća sredstva</v>
      </c>
      <c r="C61" s="525"/>
      <c r="D61" s="525"/>
      <c r="E61" s="525"/>
      <c r="F61" s="525"/>
      <c r="G61" s="219">
        <f>+G55-G57-G60</f>
        <v>-51823204.080000006</v>
      </c>
      <c r="H61" s="219">
        <f t="shared" ref="H61:R61" si="12">+H55-H57-H60</f>
        <v>-81786741.190000013</v>
      </c>
      <c r="I61" s="219">
        <f t="shared" si="12"/>
        <v>-42391569.850000024</v>
      </c>
      <c r="J61" s="219">
        <f t="shared" si="12"/>
        <v>-48112066.919999957</v>
      </c>
      <c r="K61" s="219">
        <f t="shared" si="12"/>
        <v>-185617050.80000001</v>
      </c>
      <c r="L61" s="219">
        <f t="shared" si="12"/>
        <v>-11954328.339999985</v>
      </c>
      <c r="M61" s="219">
        <f t="shared" si="12"/>
        <v>-85778715.419999972</v>
      </c>
      <c r="N61" s="219">
        <f t="shared" si="12"/>
        <v>-43319806.299999997</v>
      </c>
      <c r="O61" s="219">
        <f t="shared" si="12"/>
        <v>-1363811.9299999848</v>
      </c>
      <c r="P61" s="219">
        <f t="shared" si="12"/>
        <v>-33781869.600000009</v>
      </c>
      <c r="Q61" s="219">
        <f t="shared" si="12"/>
        <v>-74574602.529999971</v>
      </c>
      <c r="R61" s="219">
        <f t="shared" si="12"/>
        <v>-47795276.410000019</v>
      </c>
      <c r="S61" s="414">
        <f t="shared" si="3"/>
        <v>-708299043.36999989</v>
      </c>
      <c r="T61" s="399">
        <f t="shared" si="4"/>
        <v>-0.1470384761308671</v>
      </c>
    </row>
    <row r="62" spans="1:22" ht="13.5" thickBot="1">
      <c r="A62" s="146">
        <v>1003</v>
      </c>
      <c r="B62" s="488" t="str">
        <f>+VLOOKUP($A62,[1]Master!$D$27:$G$225,4,FALSE)</f>
        <v>Finansiranje</v>
      </c>
      <c r="C62" s="489"/>
      <c r="D62" s="489"/>
      <c r="E62" s="489"/>
      <c r="F62" s="489"/>
      <c r="G62" s="153">
        <f>+SUM(G63:G66)</f>
        <v>51823204.080000006</v>
      </c>
      <c r="H62" s="153">
        <f t="shared" ref="H62:R62" si="13">+SUM(H63:H66)</f>
        <v>81786741.190000013</v>
      </c>
      <c r="I62" s="153">
        <f t="shared" si="13"/>
        <v>42391569.850000024</v>
      </c>
      <c r="J62" s="153">
        <f t="shared" si="13"/>
        <v>48112066.919999957</v>
      </c>
      <c r="K62" s="153">
        <f t="shared" si="13"/>
        <v>185617050.80000001</v>
      </c>
      <c r="L62" s="153">
        <f t="shared" si="13"/>
        <v>11954328.339999985</v>
      </c>
      <c r="M62" s="153">
        <f t="shared" si="13"/>
        <v>85778715.419999972</v>
      </c>
      <c r="N62" s="153">
        <f t="shared" si="13"/>
        <v>43319806.299999997</v>
      </c>
      <c r="O62" s="153">
        <f t="shared" si="13"/>
        <v>1363811.9299999848</v>
      </c>
      <c r="P62" s="153">
        <f t="shared" si="13"/>
        <v>33781869.600000024</v>
      </c>
      <c r="Q62" s="153">
        <f t="shared" si="13"/>
        <v>74574602.529999971</v>
      </c>
      <c r="R62" s="153">
        <f t="shared" si="13"/>
        <v>47795276.410000019</v>
      </c>
      <c r="S62" s="415">
        <f t="shared" si="3"/>
        <v>708299043.36999989</v>
      </c>
      <c r="T62" s="400">
        <f t="shared" si="4"/>
        <v>0.1470384761308671</v>
      </c>
    </row>
    <row r="63" spans="1:22">
      <c r="A63" s="146">
        <v>7511</v>
      </c>
      <c r="B63" s="522" t="str">
        <f>+VLOOKUP($A63,[1]Master!$D$27:$G$225,4,FALSE)</f>
        <v>Pozajmice i krediti od domaćih izvora</v>
      </c>
      <c r="C63" s="523"/>
      <c r="D63" s="523"/>
      <c r="E63" s="523"/>
      <c r="F63" s="523"/>
      <c r="G63" s="213">
        <f>+INDEX([1]DataEx!$1:$1048576,MATCH('2019'!$A63,[1]DataEx!$D:$D,0),MATCH('2019'!G$6,[1]DataEx!$7:$7,0))</f>
        <v>18000000</v>
      </c>
      <c r="H63" s="213">
        <f>+INDEX([1]DataEx!$1:$1048576,MATCH('2019'!$A63,[1]DataEx!$D:$D,0),MATCH('2019'!H$6,[1]DataEx!$7:$7,0))</f>
        <v>54000000</v>
      </c>
      <c r="I63" s="213">
        <f>+INDEX([1]DataEx!$1:$1048576,MATCH('2019'!$A63,[1]DataEx!$D:$D,0),MATCH('2019'!I$6,[1]DataEx!$7:$7,0))</f>
        <v>0</v>
      </c>
      <c r="J63" s="213">
        <f>+INDEX([1]DataEx!$1:$1048576,MATCH('2019'!$A63,[1]DataEx!$D:$D,0),MATCH('2019'!J$6,[1]DataEx!$7:$7,0))</f>
        <v>74623000</v>
      </c>
      <c r="K63" s="213">
        <f>+INDEX([1]DataEx!$1:$1048576,MATCH('2019'!$A63,[1]DataEx!$D:$D,0),MATCH('2019'!K$6,[1]DataEx!$7:$7,0))</f>
        <v>67815000</v>
      </c>
      <c r="L63" s="213">
        <f>+INDEX([1]DataEx!$1:$1048576,MATCH('2019'!$A63,[1]DataEx!$D:$D,0),MATCH('2019'!L$6,[1]DataEx!$7:$7,0))</f>
        <v>0</v>
      </c>
      <c r="M63" s="213">
        <f>+INDEX([1]DataEx!$1:$1048576,MATCH('2019'!$A63,[1]DataEx!$D:$D,0),MATCH('2019'!M$6,[1]DataEx!$7:$7,0))</f>
        <v>18000000</v>
      </c>
      <c r="N63" s="213">
        <f>+INDEX([1]DataEx!$1:$1048576,MATCH('2019'!$A63,[1]DataEx!$D:$D,0),MATCH('2019'!N$6,[1]DataEx!$7:$7,0))</f>
        <v>54000000</v>
      </c>
      <c r="O63" s="213">
        <f>+INDEX([1]DataEx!$1:$1048576,MATCH('2019'!$A63,[1]DataEx!$D:$D,0),MATCH('2019'!O$6,[1]DataEx!$7:$7,0))</f>
        <v>0</v>
      </c>
      <c r="P63" s="213">
        <f>+INDEX([1]DataEx!$1:$1048576,MATCH('2019'!$A63,[1]DataEx!$D:$D,0),MATCH('2019'!P$6,[1]DataEx!$7:$7,0))</f>
        <v>0</v>
      </c>
      <c r="Q63" s="213">
        <f>+INDEX([1]DataEx!$1:$1048576,MATCH('2019'!$A63,[1]DataEx!$D:$D,0),MATCH('2019'!Q$6,[1]DataEx!$7:$7,0))</f>
        <v>47000000</v>
      </c>
      <c r="R63" s="213">
        <f>+INDEX([1]DataEx!$1:$1048576,MATCH('2019'!$A63,[1]DataEx!$D:$D,0),MATCH('2019'!R$6,[1]DataEx!$7:$7,0))</f>
        <v>30000000</v>
      </c>
      <c r="S63" s="413">
        <f t="shared" si="3"/>
        <v>363438000</v>
      </c>
      <c r="T63" s="398">
        <f t="shared" si="4"/>
        <v>7.5447468393846917E-2</v>
      </c>
    </row>
    <row r="64" spans="1:22">
      <c r="A64" s="146">
        <v>7512</v>
      </c>
      <c r="B64" s="498" t="str">
        <f>+VLOOKUP($A64,[1]Master!$D$27:$G$225,4,FALSE)</f>
        <v>Pozajmice i krediti od inostranih izvora</v>
      </c>
      <c r="C64" s="499"/>
      <c r="D64" s="499"/>
      <c r="E64" s="499"/>
      <c r="F64" s="499"/>
      <c r="G64" s="213">
        <f>+INDEX([1]DataEx!$1:$1048576,MATCH('2019'!$A64,[1]DataEx!$D:$D,0),MATCH('2019'!G$6,[1]DataEx!$7:$7,0))</f>
        <v>25748930.140000001</v>
      </c>
      <c r="H64" s="213">
        <f>+INDEX([1]DataEx!$1:$1048576,MATCH('2019'!$A64,[1]DataEx!$D:$D,0),MATCH('2019'!H$6,[1]DataEx!$7:$7,0))</f>
        <v>3819449.69</v>
      </c>
      <c r="I64" s="213">
        <f>+INDEX([1]DataEx!$1:$1048576,MATCH('2019'!$A64,[1]DataEx!$D:$D,0),MATCH('2019'!I$6,[1]DataEx!$7:$7,0))</f>
        <v>14059999.119999999</v>
      </c>
      <c r="J64" s="213">
        <f>+INDEX([1]DataEx!$1:$1048576,MATCH('2019'!$A64,[1]DataEx!$D:$D,0),MATCH('2019'!J$6,[1]DataEx!$7:$7,0))</f>
        <v>6496285.4699999997</v>
      </c>
      <c r="K64" s="213">
        <f>+INDEX([1]DataEx!$1:$1048576,MATCH('2019'!$A64,[1]DataEx!$D:$D,0),MATCH('2019'!K$6,[1]DataEx!$7:$7,0))</f>
        <v>7856343.8600000003</v>
      </c>
      <c r="L64" s="213">
        <f>+INDEX([1]DataEx!$1:$1048576,MATCH('2019'!$A64,[1]DataEx!$D:$D,0),MATCH('2019'!L$6,[1]DataEx!$7:$7,0))</f>
        <v>8784836.1999999993</v>
      </c>
      <c r="M64" s="213">
        <f>+INDEX([1]DataEx!$1:$1048576,MATCH('2019'!$A64,[1]DataEx!$D:$D,0),MATCH('2019'!M$6,[1]DataEx!$7:$7,0))</f>
        <v>2698966.86</v>
      </c>
      <c r="N64" s="213">
        <f>+INDEX([1]DataEx!$1:$1048576,MATCH('2019'!$A64,[1]DataEx!$D:$D,0),MATCH('2019'!N$6,[1]DataEx!$7:$7,0))</f>
        <v>32388565.289999999</v>
      </c>
      <c r="O64" s="213">
        <f>+INDEX([1]DataEx!$1:$1048576,MATCH('2019'!$A64,[1]DataEx!$D:$D,0),MATCH('2019'!O$6,[1]DataEx!$7:$7,0))</f>
        <v>9020553.9199999999</v>
      </c>
      <c r="P64" s="213">
        <f>+INDEX([1]DataEx!$1:$1048576,MATCH('2019'!$A64,[1]DataEx!$D:$D,0),MATCH('2019'!P$6,[1]DataEx!$7:$7,0))</f>
        <v>512724701.25</v>
      </c>
      <c r="Q64" s="213">
        <f>+INDEX([1]DataEx!$1:$1048576,MATCH('2019'!$A64,[1]DataEx!$D:$D,0),MATCH('2019'!Q$6,[1]DataEx!$7:$7,0))</f>
        <v>10136902.300000001</v>
      </c>
      <c r="R64" s="213">
        <f>+INDEX([1]DataEx!$1:$1048576,MATCH('2019'!$A64,[1]DataEx!$D:$D,0),MATCH('2019'!R$6,[1]DataEx!$7:$7,0))</f>
        <v>17594759.329999998</v>
      </c>
      <c r="S64" s="413">
        <f t="shared" si="3"/>
        <v>651330293.42999995</v>
      </c>
      <c r="T64" s="398">
        <f t="shared" si="4"/>
        <v>0.13521211796101387</v>
      </c>
    </row>
    <row r="65" spans="1:20">
      <c r="A65" s="146">
        <v>72</v>
      </c>
      <c r="B65" s="498" t="str">
        <f>+VLOOKUP($A65,[1]Master!$D$27:$G$225,4,FALSE)</f>
        <v>Primici od prodaje imovine</v>
      </c>
      <c r="C65" s="499"/>
      <c r="D65" s="499"/>
      <c r="E65" s="499"/>
      <c r="F65" s="499"/>
      <c r="G65" s="213">
        <f>+INDEX([1]DataEx!$1:$1048576,MATCH('2019'!$A65,[1]DataEx!$D:$D,0),MATCH('2019'!G$6,[1]DataEx!$7:$7,0))</f>
        <v>26594.13</v>
      </c>
      <c r="H65" s="213">
        <f>+INDEX([1]DataEx!$1:$1048576,MATCH('2019'!$A65,[1]DataEx!$D:$D,0),MATCH('2019'!H$6,[1]DataEx!$7:$7,0))</f>
        <v>177395.91</v>
      </c>
      <c r="I65" s="213">
        <f>+INDEX([1]DataEx!$1:$1048576,MATCH('2019'!$A65,[1]DataEx!$D:$D,0),MATCH('2019'!I$6,[1]DataEx!$7:$7,0))</f>
        <v>180547.55</v>
      </c>
      <c r="J65" s="213">
        <f>+INDEX([1]DataEx!$1:$1048576,MATCH('2019'!$A65,[1]DataEx!$D:$D,0),MATCH('2019'!J$6,[1]DataEx!$7:$7,0))</f>
        <v>169636.46</v>
      </c>
      <c r="K65" s="213">
        <f>+INDEX([1]DataEx!$1:$1048576,MATCH('2019'!$A65,[1]DataEx!$D:$D,0),MATCH('2019'!K$6,[1]DataEx!$7:$7,0))</f>
        <v>223780.48000000001</v>
      </c>
      <c r="L65" s="213">
        <f>+INDEX([1]DataEx!$1:$1048576,MATCH('2019'!$A65,[1]DataEx!$D:$D,0),MATCH('2019'!L$6,[1]DataEx!$7:$7,0))</f>
        <v>722176.42</v>
      </c>
      <c r="M65" s="213">
        <f>+INDEX([1]DataEx!$1:$1048576,MATCH('2019'!$A65,[1]DataEx!$D:$D,0),MATCH('2019'!M$6,[1]DataEx!$7:$7,0))</f>
        <v>359609.29</v>
      </c>
      <c r="N65" s="213">
        <f>+INDEX([1]DataEx!$1:$1048576,MATCH('2019'!$A65,[1]DataEx!$D:$D,0),MATCH('2019'!N$6,[1]DataEx!$7:$7,0))</f>
        <v>176786.46</v>
      </c>
      <c r="O65" s="213">
        <f>+INDEX([1]DataEx!$1:$1048576,MATCH('2019'!$A65,[1]DataEx!$D:$D,0),MATCH('2019'!O$6,[1]DataEx!$7:$7,0))</f>
        <v>225833.46</v>
      </c>
      <c r="P65" s="213">
        <f>+INDEX([1]DataEx!$1:$1048576,MATCH('2019'!$A65,[1]DataEx!$D:$D,0),MATCH('2019'!P$6,[1]DataEx!$7:$7,0))</f>
        <v>679599.59</v>
      </c>
      <c r="Q65" s="213">
        <f>+INDEX([1]DataEx!$1:$1048576,MATCH('2019'!$A65,[1]DataEx!$D:$D,0),MATCH('2019'!Q$6,[1]DataEx!$7:$7,0))</f>
        <v>287050.87</v>
      </c>
      <c r="R65" s="213">
        <f>+INDEX([1]DataEx!$1:$1048576,MATCH('2019'!$A65,[1]DataEx!$D:$D,0),MATCH('2019'!R$6,[1]DataEx!$7:$7,0))</f>
        <v>1049072.3</v>
      </c>
      <c r="S65" s="413">
        <f t="shared" si="3"/>
        <v>4278082.92</v>
      </c>
      <c r="T65" s="398">
        <f t="shared" si="4"/>
        <v>8.8810340661393784E-4</v>
      </c>
    </row>
    <row r="66" spans="1:20" ht="13.5" thickBot="1">
      <c r="A66" s="146">
        <v>1004</v>
      </c>
      <c r="B66" s="225" t="str">
        <f>+VLOOKUP($A66,[1]Master!$D$27:$G$225,4,FALSE)</f>
        <v>Povećanje / smanjenje depozita</v>
      </c>
      <c r="C66" s="226"/>
      <c r="D66" s="226"/>
      <c r="E66" s="226"/>
      <c r="F66" s="226"/>
      <c r="G66" s="227">
        <f>-G61-SUM(G63:G65)</f>
        <v>8047679.8100000024</v>
      </c>
      <c r="H66" s="227">
        <f t="shared" ref="H66:R66" si="14">-H61-SUM(H63:H65)</f>
        <v>23789895.590000018</v>
      </c>
      <c r="I66" s="227">
        <f t="shared" si="14"/>
        <v>28151023.180000022</v>
      </c>
      <c r="J66" s="227">
        <f t="shared" si="14"/>
        <v>-33176855.010000035</v>
      </c>
      <c r="K66" s="227">
        <f t="shared" si="14"/>
        <v>109721926.46000001</v>
      </c>
      <c r="L66" s="227">
        <f t="shared" si="14"/>
        <v>2447315.7199999858</v>
      </c>
      <c r="M66" s="227">
        <f t="shared" si="14"/>
        <v>64720139.269999973</v>
      </c>
      <c r="N66" s="227">
        <f t="shared" si="14"/>
        <v>-43245545.449999988</v>
      </c>
      <c r="O66" s="227">
        <f t="shared" si="14"/>
        <v>-7882575.450000016</v>
      </c>
      <c r="P66" s="227">
        <f t="shared" si="14"/>
        <v>-479622431.23999995</v>
      </c>
      <c r="Q66" s="227">
        <f t="shared" si="14"/>
        <v>17150649.359999977</v>
      </c>
      <c r="R66" s="227">
        <f t="shared" si="14"/>
        <v>-848555.21999997646</v>
      </c>
      <c r="S66" s="416">
        <f>+SUM(G66:R66)</f>
        <v>-310747332.97999996</v>
      </c>
      <c r="T66" s="401">
        <f t="shared" si="4"/>
        <v>-6.4509213630607617E-2</v>
      </c>
    </row>
    <row r="67" spans="1:20">
      <c r="R67" s="326"/>
    </row>
    <row r="72" spans="1:20">
      <c r="R72" s="303"/>
    </row>
    <row r="100" spans="1:21"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1:21" ht="13.5" thickBot="1">
      <c r="G101" s="68" t="str">
        <f t="shared" ref="G101:R101" si="15">+CONCATENATE(G6,"p")</f>
        <v>2019-01p</v>
      </c>
      <c r="H101" s="68" t="str">
        <f t="shared" si="15"/>
        <v>2019-02p</v>
      </c>
      <c r="I101" s="68" t="str">
        <f t="shared" si="15"/>
        <v>2019-03p</v>
      </c>
      <c r="J101" s="68" t="str">
        <f t="shared" si="15"/>
        <v>2019-04p</v>
      </c>
      <c r="K101" s="68" t="str">
        <f t="shared" si="15"/>
        <v>2019-05p</v>
      </c>
      <c r="L101" s="68" t="str">
        <f t="shared" si="15"/>
        <v>2019-06p</v>
      </c>
      <c r="M101" s="68" t="str">
        <f t="shared" si="15"/>
        <v>2019-07p</v>
      </c>
      <c r="N101" s="68" t="str">
        <f t="shared" si="15"/>
        <v>2019-08p</v>
      </c>
      <c r="O101" s="68" t="str">
        <f t="shared" si="15"/>
        <v>2019-09p</v>
      </c>
      <c r="P101" s="68" t="str">
        <f t="shared" si="15"/>
        <v>2019-10p</v>
      </c>
      <c r="Q101" s="68" t="str">
        <f t="shared" si="15"/>
        <v>2019-11p</v>
      </c>
      <c r="R101" s="68" t="str">
        <f t="shared" si="15"/>
        <v>2019-12p</v>
      </c>
    </row>
    <row r="102" spans="1:21" ht="15.75" customHeight="1" thickBot="1">
      <c r="B102" s="541" t="str">
        <f>+[1]Master!G252</f>
        <v>Plan ostvarenja budžeta</v>
      </c>
      <c r="C102" s="542"/>
      <c r="D102" s="542"/>
      <c r="E102" s="542"/>
      <c r="F102" s="542"/>
      <c r="G102" s="555">
        <v>2019</v>
      </c>
      <c r="H102" s="556"/>
      <c r="I102" s="556"/>
      <c r="J102" s="556"/>
      <c r="K102" s="556"/>
      <c r="L102" s="556"/>
      <c r="M102" s="556"/>
      <c r="N102" s="556"/>
      <c r="O102" s="556"/>
      <c r="P102" s="556"/>
      <c r="Q102" s="556"/>
      <c r="R102" s="557"/>
      <c r="S102" s="107" t="str">
        <f>+S7</f>
        <v>BDP</v>
      </c>
      <c r="T102" s="108">
        <f>+T7</f>
        <v>4817100000</v>
      </c>
    </row>
    <row r="103" spans="1:21" ht="15.75" customHeight="1">
      <c r="B103" s="543"/>
      <c r="C103" s="544"/>
      <c r="D103" s="544"/>
      <c r="E103" s="544"/>
      <c r="F103" s="545"/>
      <c r="G103" s="71" t="str">
        <f t="shared" ref="G103:R103" si="16">+G8</f>
        <v>Januar</v>
      </c>
      <c r="H103" s="71" t="str">
        <f t="shared" si="16"/>
        <v>Februar</v>
      </c>
      <c r="I103" s="71" t="str">
        <f t="shared" si="16"/>
        <v>Mart</v>
      </c>
      <c r="J103" s="71" t="str">
        <f t="shared" si="16"/>
        <v>April</v>
      </c>
      <c r="K103" s="71" t="str">
        <f t="shared" si="16"/>
        <v>Maj</v>
      </c>
      <c r="L103" s="71" t="str">
        <f t="shared" si="16"/>
        <v>Jun</v>
      </c>
      <c r="M103" s="71" t="str">
        <f t="shared" si="16"/>
        <v>Jul</v>
      </c>
      <c r="N103" s="71" t="str">
        <f t="shared" si="16"/>
        <v>Avgust</v>
      </c>
      <c r="O103" s="71" t="str">
        <f t="shared" si="16"/>
        <v>Septembar</v>
      </c>
      <c r="P103" s="71" t="str">
        <f t="shared" si="16"/>
        <v>Oktobar</v>
      </c>
      <c r="Q103" s="71" t="str">
        <f t="shared" si="16"/>
        <v>Novembar</v>
      </c>
      <c r="R103" s="71" t="str">
        <f t="shared" si="16"/>
        <v>Decembar</v>
      </c>
      <c r="S103" s="555" t="str">
        <f>+[1]Master!G246</f>
        <v>Jan - Dec</v>
      </c>
      <c r="T103" s="557">
        <f>+T8</f>
        <v>0</v>
      </c>
    </row>
    <row r="104" spans="1:21" ht="13.5" thickBot="1">
      <c r="B104" s="546"/>
      <c r="C104" s="547"/>
      <c r="D104" s="547"/>
      <c r="E104" s="547"/>
      <c r="F104" s="548"/>
      <c r="G104" s="67" t="s">
        <v>419</v>
      </c>
      <c r="H104" s="67" t="s">
        <v>419</v>
      </c>
      <c r="I104" s="67" t="s">
        <v>419</v>
      </c>
      <c r="J104" s="67" t="s">
        <v>419</v>
      </c>
      <c r="K104" s="67" t="s">
        <v>419</v>
      </c>
      <c r="L104" s="67" t="s">
        <v>419</v>
      </c>
      <c r="M104" s="67" t="s">
        <v>419</v>
      </c>
      <c r="N104" s="67" t="s">
        <v>419</v>
      </c>
      <c r="O104" s="67" t="s">
        <v>419</v>
      </c>
      <c r="P104" s="67" t="s">
        <v>419</v>
      </c>
      <c r="Q104" s="67" t="s">
        <v>419</v>
      </c>
      <c r="R104" s="67" t="s">
        <v>419</v>
      </c>
      <c r="S104" s="65" t="s">
        <v>419</v>
      </c>
      <c r="T104" s="66" t="str">
        <f>+T9</f>
        <v>% BDP</v>
      </c>
    </row>
    <row r="105" spans="1:21" ht="13.5" thickBot="1">
      <c r="A105" s="116" t="str">
        <f t="shared" ref="A105:A147" si="17">+CONCATENATE(A10,"p")</f>
        <v>7p</v>
      </c>
      <c r="B105" s="558" t="str">
        <f>+VLOOKUP(LEFT($A105,LEN(A105)-1)*1,[1]Master!$D$27:$G$225,4,FALSE)</f>
        <v>Prihodi budžeta</v>
      </c>
      <c r="C105" s="559"/>
      <c r="D105" s="559"/>
      <c r="E105" s="559"/>
      <c r="F105" s="559"/>
      <c r="G105" s="93">
        <f t="shared" ref="G105:R105" si="18">+G106+G114+SUM(G119:G123)</f>
        <v>107257935.59</v>
      </c>
      <c r="H105" s="93">
        <f t="shared" si="18"/>
        <v>116544625.95</v>
      </c>
      <c r="I105" s="93">
        <f t="shared" si="18"/>
        <v>147544680.63</v>
      </c>
      <c r="J105" s="93">
        <f t="shared" si="18"/>
        <v>165045416.33000001</v>
      </c>
      <c r="K105" s="93">
        <f t="shared" si="18"/>
        <v>144226839.65000001</v>
      </c>
      <c r="L105" s="93">
        <f t="shared" si="18"/>
        <v>143393601.47999999</v>
      </c>
      <c r="M105" s="93">
        <f t="shared" si="18"/>
        <v>163636678.97122747</v>
      </c>
      <c r="N105" s="93">
        <f t="shared" si="18"/>
        <v>164502209.05473346</v>
      </c>
      <c r="O105" s="93">
        <f t="shared" si="18"/>
        <v>151400956.73161691</v>
      </c>
      <c r="P105" s="93">
        <f t="shared" si="18"/>
        <v>188402533.23753721</v>
      </c>
      <c r="Q105" s="93">
        <f t="shared" si="18"/>
        <v>148714658.46197224</v>
      </c>
      <c r="R105" s="93">
        <f t="shared" si="18"/>
        <v>193362777.67647338</v>
      </c>
      <c r="S105" s="417">
        <f>+SUM(G105:R105)</f>
        <v>1834032913.7635608</v>
      </c>
      <c r="T105" s="430">
        <f>+S105/$T$7</f>
        <v>0.38073382611188489</v>
      </c>
    </row>
    <row r="106" spans="1:21">
      <c r="A106" s="116" t="str">
        <f t="shared" si="17"/>
        <v>711p</v>
      </c>
      <c r="B106" s="560" t="str">
        <f>+VLOOKUP(LEFT($A106,LEN(A106)-1)*1,[1]Master!$D$27:$G$225,4,FALSE)</f>
        <v>Porezi</v>
      </c>
      <c r="C106" s="561"/>
      <c r="D106" s="561"/>
      <c r="E106" s="561"/>
      <c r="F106" s="561"/>
      <c r="G106" s="79">
        <f t="shared" ref="G106:R106" si="19">+SUM(G107:G113)</f>
        <v>72429730.420000002</v>
      </c>
      <c r="H106" s="79">
        <f t="shared" si="19"/>
        <v>68470908.439999998</v>
      </c>
      <c r="I106" s="79">
        <f t="shared" si="19"/>
        <v>98709545.510000005</v>
      </c>
      <c r="J106" s="79">
        <f t="shared" si="19"/>
        <v>106791818.52</v>
      </c>
      <c r="K106" s="79">
        <f t="shared" si="19"/>
        <v>94372185.030000001</v>
      </c>
      <c r="L106" s="79">
        <f t="shared" si="19"/>
        <v>89389439.689999998</v>
      </c>
      <c r="M106" s="79">
        <f t="shared" si="19"/>
        <v>106366803.00672032</v>
      </c>
      <c r="N106" s="79">
        <f t="shared" si="19"/>
        <v>110847613.63774106</v>
      </c>
      <c r="O106" s="79">
        <f t="shared" si="19"/>
        <v>101712748.66474015</v>
      </c>
      <c r="P106" s="79">
        <f t="shared" si="19"/>
        <v>96295636.228585869</v>
      </c>
      <c r="Q106" s="79">
        <f t="shared" si="19"/>
        <v>84393107.743797168</v>
      </c>
      <c r="R106" s="80">
        <f t="shared" si="19"/>
        <v>92890414.095145509</v>
      </c>
      <c r="S106" s="418">
        <f t="shared" ref="S106:S161" si="20">+SUM(G106:R106)</f>
        <v>1122669950.9867301</v>
      </c>
      <c r="T106" s="431">
        <f t="shared" ref="T106:T161" si="21">+S106/$T$7</f>
        <v>0.23305929936823611</v>
      </c>
      <c r="U106" s="259"/>
    </row>
    <row r="107" spans="1:21">
      <c r="A107" s="116" t="str">
        <f t="shared" si="17"/>
        <v>7111p</v>
      </c>
      <c r="B107" s="551" t="str">
        <f>+VLOOKUP(LEFT($A107,LEN(A107)-1)*1,[1]Master!$D$27:$G$225,4,FALSE)</f>
        <v>Porez na dohodak fizičkih lica</v>
      </c>
      <c r="C107" s="552"/>
      <c r="D107" s="552"/>
      <c r="E107" s="552"/>
      <c r="F107" s="552"/>
      <c r="G107" s="87">
        <f>+SUM([1]DataEx!FF220)</f>
        <v>4240913.8099999996</v>
      </c>
      <c r="H107" s="87">
        <f>+SUM([1]DataEx!FG220)</f>
        <v>9361661.1500000004</v>
      </c>
      <c r="I107" s="87">
        <f>+SUM([1]DataEx!FH220)</f>
        <v>9044961.5800000001</v>
      </c>
      <c r="J107" s="87">
        <f>+SUM([1]DataEx!FI220)</f>
        <v>10767101.800000001</v>
      </c>
      <c r="K107" s="87">
        <f>+SUM([1]DataEx!FJ220)</f>
        <v>10210712.41</v>
      </c>
      <c r="L107" s="87">
        <f>+SUM([1]DataEx!FK220)</f>
        <v>10125793.029999999</v>
      </c>
      <c r="M107" s="87">
        <f>+SUM([1]DataEx!FL220)</f>
        <v>10562928.102170853</v>
      </c>
      <c r="N107" s="87">
        <f>+SUM([1]DataEx!FM220)</f>
        <v>10477537.909352116</v>
      </c>
      <c r="O107" s="87">
        <f>+SUM([1]DataEx!FN220)</f>
        <v>8957410.6319850832</v>
      </c>
      <c r="P107" s="87">
        <f>+SUM([1]DataEx!FO220)</f>
        <v>9589847.5886837803</v>
      </c>
      <c r="Q107" s="87">
        <f>+SUM([1]DataEx!FP220)</f>
        <v>9803639.4384757541</v>
      </c>
      <c r="R107" s="87">
        <f>+SUM([1]DataEx!FQ220)</f>
        <v>17095010.594302431</v>
      </c>
      <c r="S107" s="419">
        <f t="shared" si="20"/>
        <v>120237518.04497004</v>
      </c>
      <c r="T107" s="432">
        <f t="shared" si="21"/>
        <v>2.4960560927730385E-2</v>
      </c>
    </row>
    <row r="108" spans="1:21">
      <c r="A108" s="116" t="str">
        <f t="shared" si="17"/>
        <v>7112p</v>
      </c>
      <c r="B108" s="551" t="str">
        <f>+VLOOKUP(LEFT($A108,LEN(A108)-1)*1,[1]Master!$D$27:$G$225,4,FALSE)</f>
        <v>Porez na dobit pravnih lica</v>
      </c>
      <c r="C108" s="552"/>
      <c r="D108" s="552"/>
      <c r="E108" s="552"/>
      <c r="F108" s="552"/>
      <c r="G108" s="87">
        <f>+SUM([1]DataEx!FF221)</f>
        <v>936843.13</v>
      </c>
      <c r="H108" s="87">
        <f>+SUM([1]DataEx!FG221)</f>
        <v>1962550.32</v>
      </c>
      <c r="I108" s="87">
        <f>+SUM([1]DataEx!FH221)</f>
        <v>22465664.23</v>
      </c>
      <c r="J108" s="87">
        <f>+SUM([1]DataEx!FI221)</f>
        <v>20408432.98</v>
      </c>
      <c r="K108" s="87">
        <f>+SUM([1]DataEx!FJ221)</f>
        <v>4781744.7</v>
      </c>
      <c r="L108" s="87">
        <f>+SUM([1]DataEx!FK221)</f>
        <v>3678815</v>
      </c>
      <c r="M108" s="87">
        <f>+SUM([1]DataEx!FL221)</f>
        <v>4457741.7110314406</v>
      </c>
      <c r="N108" s="87">
        <f>+SUM([1]DataEx!FM221)</f>
        <v>2685443.6740218201</v>
      </c>
      <c r="O108" s="87">
        <f>+SUM([1]DataEx!FN221)</f>
        <v>2555024.3067054804</v>
      </c>
      <c r="P108" s="87">
        <f>+SUM([1]DataEx!FO221)</f>
        <v>5099414.7304318398</v>
      </c>
      <c r="Q108" s="87">
        <f>+SUM([1]DataEx!FP221)</f>
        <v>845177.9860074711</v>
      </c>
      <c r="R108" s="87">
        <f>+SUM([1]DataEx!FQ221)</f>
        <v>1318007.3637119438</v>
      </c>
      <c r="S108" s="419">
        <f t="shared" si="20"/>
        <v>71194860.131909981</v>
      </c>
      <c r="T108" s="432">
        <f t="shared" si="21"/>
        <v>1.477961016626393E-2</v>
      </c>
    </row>
    <row r="109" spans="1:21">
      <c r="A109" s="116" t="str">
        <f t="shared" si="17"/>
        <v>7113p</v>
      </c>
      <c r="B109" s="551" t="str">
        <f>+VLOOKUP(LEFT($A109,LEN(A109)-1)*1,[1]Master!$D$27:$G$225,4,FALSE)</f>
        <v>Porez na promet nepokretnosti</v>
      </c>
      <c r="C109" s="552"/>
      <c r="D109" s="552"/>
      <c r="E109" s="552"/>
      <c r="F109" s="552"/>
      <c r="G109" s="87">
        <f>+SUM([1]DataEx!FF222)</f>
        <v>118243.45</v>
      </c>
      <c r="H109" s="87">
        <f>+SUM([1]DataEx!FG222)</f>
        <v>169568.16</v>
      </c>
      <c r="I109" s="87">
        <f>+SUM([1]DataEx!FH222)</f>
        <v>146352.49</v>
      </c>
      <c r="J109" s="87">
        <f>+SUM([1]DataEx!FI222)</f>
        <v>204359.36</v>
      </c>
      <c r="K109" s="87">
        <f>+SUM([1]DataEx!FJ222)</f>
        <v>147510.5</v>
      </c>
      <c r="L109" s="87">
        <f>+SUM([1]DataEx!FK222)</f>
        <v>158253.64000000001</v>
      </c>
      <c r="M109" s="87">
        <f>+SUM([1]DataEx!FL222)</f>
        <v>92289.827047712693</v>
      </c>
      <c r="N109" s="87">
        <f>+SUM([1]DataEx!FM222)</f>
        <v>199872.32178424072</v>
      </c>
      <c r="O109" s="87">
        <f>+SUM([1]DataEx!FN222)</f>
        <v>127416.86254210871</v>
      </c>
      <c r="P109" s="87">
        <f>+SUM([1]DataEx!FO222)</f>
        <v>134863.8150111227</v>
      </c>
      <c r="Q109" s="87">
        <f>+SUM([1]DataEx!FP222)</f>
        <v>174166.77614709371</v>
      </c>
      <c r="R109" s="87">
        <f>+SUM([1]DataEx!FQ222)</f>
        <v>189919.20786772171</v>
      </c>
      <c r="S109" s="419">
        <f t="shared" si="20"/>
        <v>1862816.4104000002</v>
      </c>
      <c r="T109" s="432">
        <f t="shared" si="21"/>
        <v>3.8670910099437427E-4</v>
      </c>
    </row>
    <row r="110" spans="1:21">
      <c r="A110" s="116" t="str">
        <f t="shared" si="17"/>
        <v>7114p</v>
      </c>
      <c r="B110" s="551" t="str">
        <f>+VLOOKUP(LEFT($A110,LEN(A110)-1)*1,[1]Master!$D$27:$G$225,4,FALSE)</f>
        <v>Porez na dodatu vrijednost</v>
      </c>
      <c r="C110" s="552"/>
      <c r="D110" s="552"/>
      <c r="E110" s="552"/>
      <c r="F110" s="552"/>
      <c r="G110" s="87">
        <f>+SUM([1]DataEx!FF223)</f>
        <v>49847223.18</v>
      </c>
      <c r="H110" s="87">
        <f>+SUM([1]DataEx!FG223)</f>
        <v>38958365.399999999</v>
      </c>
      <c r="I110" s="87">
        <f>+SUM([1]DataEx!FH223)</f>
        <v>50498218.18</v>
      </c>
      <c r="J110" s="87">
        <f>+SUM([1]DataEx!FI223)</f>
        <v>55142838.460000001</v>
      </c>
      <c r="K110" s="87">
        <f>+SUM([1]DataEx!FJ223)</f>
        <v>56428341.859999999</v>
      </c>
      <c r="L110" s="87">
        <f>+SUM([1]DataEx!FK223)</f>
        <v>52810087.229999997</v>
      </c>
      <c r="M110" s="87">
        <f>+SUM([1]DataEx!FL223)</f>
        <v>64608697.993098304</v>
      </c>
      <c r="N110" s="87">
        <f>+SUM([1]DataEx!FM223)</f>
        <v>66890311.931873396</v>
      </c>
      <c r="O110" s="87">
        <f>+SUM([1]DataEx!FN223)</f>
        <v>59747048.514482997</v>
      </c>
      <c r="P110" s="87">
        <f>+SUM([1]DataEx!FO223)</f>
        <v>59046360.535818897</v>
      </c>
      <c r="Q110" s="87">
        <f>+SUM([1]DataEx!FP223)</f>
        <v>50298426.623042099</v>
      </c>
      <c r="R110" s="87">
        <f>+SUM([1]DataEx!FQ223)</f>
        <v>53629737.7635343</v>
      </c>
      <c r="S110" s="419">
        <f t="shared" si="20"/>
        <v>657905657.67184997</v>
      </c>
      <c r="T110" s="432">
        <f t="shared" si="21"/>
        <v>0.1365771226820805</v>
      </c>
    </row>
    <row r="111" spans="1:21">
      <c r="A111" s="116" t="str">
        <f t="shared" si="17"/>
        <v>7115p</v>
      </c>
      <c r="B111" s="551" t="str">
        <f>+VLOOKUP(LEFT($A111,LEN(A111)-1)*1,[1]Master!$D$27:$G$225,4,FALSE)</f>
        <v>Akcize</v>
      </c>
      <c r="C111" s="552"/>
      <c r="D111" s="552"/>
      <c r="E111" s="552"/>
      <c r="F111" s="552"/>
      <c r="G111" s="87">
        <f>+SUM([1]DataEx!FF224)</f>
        <v>15141217.210000001</v>
      </c>
      <c r="H111" s="87">
        <f>+SUM([1]DataEx!FG224)</f>
        <v>13186126.23</v>
      </c>
      <c r="I111" s="87">
        <f>+SUM([1]DataEx!FH224)</f>
        <v>13315087.640000001</v>
      </c>
      <c r="J111" s="87">
        <f>+SUM([1]DataEx!FI224)</f>
        <v>16826313.73</v>
      </c>
      <c r="K111" s="87">
        <f>+SUM([1]DataEx!FJ224)</f>
        <v>19442485.359999999</v>
      </c>
      <c r="L111" s="87">
        <f>+SUM([1]DataEx!FK224)</f>
        <v>19205497.870000001</v>
      </c>
      <c r="M111" s="87">
        <f>+SUM([1]DataEx!FL224)</f>
        <v>23502946.676267412</v>
      </c>
      <c r="N111" s="87">
        <f>+SUM([1]DataEx!FM224)</f>
        <v>27414563.793734949</v>
      </c>
      <c r="O111" s="87">
        <f>+SUM([1]DataEx!FN224)</f>
        <v>27821146.884936411</v>
      </c>
      <c r="P111" s="87">
        <f>+SUM([1]DataEx!FO224)</f>
        <v>19593872.367677551</v>
      </c>
      <c r="Q111" s="87">
        <f>+SUM([1]DataEx!FP224)</f>
        <v>21076713.14050236</v>
      </c>
      <c r="R111" s="87">
        <f>+SUM([1]DataEx!FQ224)</f>
        <v>18275634.395081349</v>
      </c>
      <c r="S111" s="419">
        <f t="shared" si="20"/>
        <v>234801605.29820004</v>
      </c>
      <c r="T111" s="432">
        <f t="shared" si="21"/>
        <v>4.8743352909053177E-2</v>
      </c>
    </row>
    <row r="112" spans="1:21">
      <c r="A112" s="116" t="str">
        <f t="shared" si="17"/>
        <v>7116p</v>
      </c>
      <c r="B112" s="551" t="str">
        <f>+VLOOKUP(LEFT($A112,LEN(A112)-1)*1,[1]Master!$D$27:$G$225,4,FALSE)</f>
        <v>Porez na međunarodnu trgovinu i transakcije</v>
      </c>
      <c r="C112" s="552"/>
      <c r="D112" s="552"/>
      <c r="E112" s="552"/>
      <c r="F112" s="552"/>
      <c r="G112" s="87">
        <f>+SUM([1]DataEx!FF225)</f>
        <v>1424968.68</v>
      </c>
      <c r="H112" s="87">
        <f>+SUM([1]DataEx!FG225)</f>
        <v>1733788.33</v>
      </c>
      <c r="I112" s="87">
        <f>+SUM([1]DataEx!FH225)</f>
        <v>2462209.73</v>
      </c>
      <c r="J112" s="87">
        <f>+SUM([1]DataEx!FI225)</f>
        <v>2531899.16</v>
      </c>
      <c r="K112" s="87">
        <f>+SUM([1]DataEx!FJ225)</f>
        <v>2502520.2799999998</v>
      </c>
      <c r="L112" s="87">
        <f>+SUM([1]DataEx!FK225)</f>
        <v>2485583.9700000002</v>
      </c>
      <c r="M112" s="87">
        <f>+SUM([1]DataEx!FL225)</f>
        <v>2731455.7201732523</v>
      </c>
      <c r="N112" s="87">
        <f>+SUM([1]DataEx!FM225)</f>
        <v>2787010.1046283157</v>
      </c>
      <c r="O112" s="87">
        <f>+SUM([1]DataEx!FN225)</f>
        <v>2149778.7308390578</v>
      </c>
      <c r="P112" s="87">
        <f>+SUM([1]DataEx!FO225)</f>
        <v>2505449.340977564</v>
      </c>
      <c r="Q112" s="87">
        <f>+SUM([1]DataEx!FP225)</f>
        <v>1854095.8458453817</v>
      </c>
      <c r="R112" s="87">
        <f>+SUM([1]DataEx!FQ225)</f>
        <v>1998829.9373364251</v>
      </c>
      <c r="S112" s="419">
        <f t="shared" si="20"/>
        <v>27167589.829800002</v>
      </c>
      <c r="T112" s="432">
        <f t="shared" si="21"/>
        <v>5.6398226795789999E-3</v>
      </c>
    </row>
    <row r="113" spans="1:20">
      <c r="A113" s="116" t="str">
        <f t="shared" si="17"/>
        <v>7118p</v>
      </c>
      <c r="B113" s="551" t="str">
        <f>+VLOOKUP(LEFT($A113,LEN(A113)-1)*1,[1]Master!$D$27:$G$225,4,FALSE)</f>
        <v>Ostali državni porezi</v>
      </c>
      <c r="C113" s="552"/>
      <c r="D113" s="552"/>
      <c r="E113" s="552"/>
      <c r="F113" s="552"/>
      <c r="G113" s="87">
        <f>+SUM([1]DataEx!FF227)</f>
        <v>720320.96</v>
      </c>
      <c r="H113" s="87">
        <f>+SUM([1]DataEx!FG227)</f>
        <v>3098848.85</v>
      </c>
      <c r="I113" s="87">
        <f>+SUM([1]DataEx!FH227)</f>
        <v>777051.66</v>
      </c>
      <c r="J113" s="87">
        <f>+SUM([1]DataEx!FI227)</f>
        <v>910873.03</v>
      </c>
      <c r="K113" s="87">
        <f>+SUM([1]DataEx!FJ227)</f>
        <v>858869.92</v>
      </c>
      <c r="L113" s="87">
        <f>+SUM([1]DataEx!FK227)</f>
        <v>925408.95</v>
      </c>
      <c r="M113" s="87">
        <f>+SUM([1]DataEx!FL227)</f>
        <v>410742.9769313393</v>
      </c>
      <c r="N113" s="87">
        <f>+SUM([1]DataEx!FM227)</f>
        <v>392873.90234621655</v>
      </c>
      <c r="O113" s="87">
        <f>+SUM([1]DataEx!FN227)</f>
        <v>354922.73324901523</v>
      </c>
      <c r="P113" s="87">
        <f>+SUM([1]DataEx!FO227)</f>
        <v>325827.84998510586</v>
      </c>
      <c r="Q113" s="87">
        <f>+SUM([1]DataEx!FP227)</f>
        <v>340887.93377701013</v>
      </c>
      <c r="R113" s="87">
        <f>+SUM([1]DataEx!FQ227)</f>
        <v>383274.83331131347</v>
      </c>
      <c r="S113" s="419">
        <f t="shared" si="20"/>
        <v>9499903.5996000003</v>
      </c>
      <c r="T113" s="432">
        <f t="shared" si="21"/>
        <v>1.9721209025347201E-3</v>
      </c>
    </row>
    <row r="114" spans="1:20">
      <c r="A114" s="116" t="str">
        <f t="shared" si="17"/>
        <v>712p</v>
      </c>
      <c r="B114" s="553" t="str">
        <f>+VLOOKUP(LEFT($A114,LEN(A114)-1)*1,[1]Master!$D$27:$G$225,4,FALSE)</f>
        <v>Doprinosi</v>
      </c>
      <c r="C114" s="554"/>
      <c r="D114" s="554"/>
      <c r="E114" s="554"/>
      <c r="F114" s="554"/>
      <c r="G114" s="81">
        <f>+SUM(G115:G118)</f>
        <v>16498881.48</v>
      </c>
      <c r="H114" s="81">
        <f t="shared" ref="H114:R114" si="22">+SUM(H115:H118)</f>
        <v>41912269.38000001</v>
      </c>
      <c r="I114" s="81">
        <f t="shared" si="22"/>
        <v>41047599.18</v>
      </c>
      <c r="J114" s="81">
        <f t="shared" si="22"/>
        <v>50290988.940000005</v>
      </c>
      <c r="K114" s="81">
        <f t="shared" si="22"/>
        <v>37496285.130000003</v>
      </c>
      <c r="L114" s="81">
        <f t="shared" si="22"/>
        <v>45280786.510000005</v>
      </c>
      <c r="M114" s="81">
        <f t="shared" si="22"/>
        <v>46250891.035691187</v>
      </c>
      <c r="N114" s="81">
        <f t="shared" si="22"/>
        <v>44632014.674295112</v>
      </c>
      <c r="O114" s="81">
        <f t="shared" si="22"/>
        <v>41120271.333377153</v>
      </c>
      <c r="P114" s="81">
        <f t="shared" si="22"/>
        <v>46928850.635902815</v>
      </c>
      <c r="Q114" s="81">
        <f t="shared" si="22"/>
        <v>44128259.697538294</v>
      </c>
      <c r="R114" s="82">
        <f t="shared" si="22"/>
        <v>78626416.07852602</v>
      </c>
      <c r="S114" s="420">
        <f t="shared" si="20"/>
        <v>534213514.07533062</v>
      </c>
      <c r="T114" s="433">
        <f t="shared" si="21"/>
        <v>0.11089940297592547</v>
      </c>
    </row>
    <row r="115" spans="1:20">
      <c r="A115" s="116" t="str">
        <f t="shared" si="17"/>
        <v>7121p</v>
      </c>
      <c r="B115" s="551" t="str">
        <f>+VLOOKUP(LEFT($A115,LEN(A115)-1)*1,[1]Master!$D$27:$G$225,4,FALSE)</f>
        <v>Doprinosi za penzijsko i invalidsko osiguranje</v>
      </c>
      <c r="C115" s="552"/>
      <c r="D115" s="552"/>
      <c r="E115" s="552"/>
      <c r="F115" s="552"/>
      <c r="G115" s="87">
        <f>+SUM([1]DataEx!FF229)</f>
        <v>9695765.5800000001</v>
      </c>
      <c r="H115" s="87">
        <f>+SUM([1]DataEx!FG229)</f>
        <v>24593790.260000002</v>
      </c>
      <c r="I115" s="87">
        <f>+SUM([1]DataEx!FH229)</f>
        <v>23923752.719999999</v>
      </c>
      <c r="J115" s="87">
        <f>+SUM([1]DataEx!FI229)</f>
        <v>29650595.870000001</v>
      </c>
      <c r="K115" s="87">
        <f>+SUM([1]DataEx!FJ229)</f>
        <v>22104934.850000001</v>
      </c>
      <c r="L115" s="87">
        <f>+SUM([1]DataEx!FK229)</f>
        <v>27009559.609999999</v>
      </c>
      <c r="M115" s="87">
        <f>+SUM([1]DataEx!FL229)</f>
        <v>27482444.037160631</v>
      </c>
      <c r="N115" s="87">
        <f>+SUM([1]DataEx!FM229)</f>
        <v>27981870.622507609</v>
      </c>
      <c r="O115" s="87">
        <f>+SUM([1]DataEx!FN229)</f>
        <v>26275213.096976332</v>
      </c>
      <c r="P115" s="87">
        <f>+SUM([1]DataEx!FO229)</f>
        <v>30509092.335605875</v>
      </c>
      <c r="Q115" s="87">
        <f>+SUM([1]DataEx!FP229)</f>
        <v>28690565.779876817</v>
      </c>
      <c r="R115" s="87">
        <f>+SUM([1]DataEx!FQ229)</f>
        <v>49959164.412414543</v>
      </c>
      <c r="S115" s="419">
        <f t="shared" si="20"/>
        <v>327876749.17454183</v>
      </c>
      <c r="T115" s="432">
        <f t="shared" si="21"/>
        <v>6.8065173896024955E-2</v>
      </c>
    </row>
    <row r="116" spans="1:20">
      <c r="A116" s="116" t="str">
        <f t="shared" si="17"/>
        <v>7122p</v>
      </c>
      <c r="B116" s="551" t="str">
        <f>+VLOOKUP(LEFT($A116,LEN(A116)-1)*1,[1]Master!$D$27:$G$225,4,FALSE)</f>
        <v>Doprinosi za zdravstveno osiguranje</v>
      </c>
      <c r="C116" s="552"/>
      <c r="D116" s="552"/>
      <c r="E116" s="552"/>
      <c r="F116" s="552"/>
      <c r="G116" s="87">
        <f>+SUM([1]DataEx!FF230)</f>
        <v>5963049.2000000002</v>
      </c>
      <c r="H116" s="87">
        <f>+SUM([1]DataEx!FG230)</f>
        <v>15122476.890000001</v>
      </c>
      <c r="I116" s="87">
        <f>+SUM([1]DataEx!FH230)</f>
        <v>14777265.789999999</v>
      </c>
      <c r="J116" s="87">
        <f>+SUM([1]DataEx!FI230)</f>
        <v>17925167.550000001</v>
      </c>
      <c r="K116" s="87">
        <f>+SUM([1]DataEx!FJ230)</f>
        <v>13458982.5</v>
      </c>
      <c r="L116" s="87">
        <f>+SUM([1]DataEx!FK230)</f>
        <v>15925774.34</v>
      </c>
      <c r="M116" s="87">
        <f>+SUM([1]DataEx!FL230)</f>
        <v>16394230.760278165</v>
      </c>
      <c r="N116" s="87">
        <f>+SUM([1]DataEx!FM230)</f>
        <v>14239936.351746917</v>
      </c>
      <c r="O116" s="87">
        <f>+SUM([1]DataEx!FN230)</f>
        <v>12682409.588332439</v>
      </c>
      <c r="P116" s="87">
        <f>+SUM([1]DataEx!FO230)</f>
        <v>14130176.222576067</v>
      </c>
      <c r="Q116" s="87">
        <f>+SUM([1]DataEx!FP230)</f>
        <v>13398296.64486525</v>
      </c>
      <c r="R116" s="87">
        <f>+SUM([1]DataEx!FQ230)</f>
        <v>24833575.886677179</v>
      </c>
      <c r="S116" s="419">
        <f t="shared" si="20"/>
        <v>178851341.72447601</v>
      </c>
      <c r="T116" s="432">
        <f t="shared" si="21"/>
        <v>3.7128426174353038E-2</v>
      </c>
    </row>
    <row r="117" spans="1:20">
      <c r="A117" s="116" t="str">
        <f t="shared" si="17"/>
        <v>7123p</v>
      </c>
      <c r="B117" s="551" t="str">
        <f>+VLOOKUP(LEFT($A117,LEN(A117)-1)*1,[1]Master!$D$27:$G$225,4,FALSE)</f>
        <v>Doprinosi za osiguranje od nezaposlenosti</v>
      </c>
      <c r="C117" s="552"/>
      <c r="D117" s="552"/>
      <c r="E117" s="552"/>
      <c r="F117" s="552"/>
      <c r="G117" s="87">
        <f>+SUM([1]DataEx!FF231)</f>
        <v>459881.42</v>
      </c>
      <c r="H117" s="87">
        <f>+SUM([1]DataEx!FG231)</f>
        <v>1160315.8500000001</v>
      </c>
      <c r="I117" s="87">
        <f>+SUM([1]DataEx!FH231)</f>
        <v>1135767.8899999999</v>
      </c>
      <c r="J117" s="87">
        <f>+SUM([1]DataEx!FI231)</f>
        <v>1375720.59</v>
      </c>
      <c r="K117" s="87">
        <f>+SUM([1]DataEx!FJ231)</f>
        <v>1026106.03</v>
      </c>
      <c r="L117" s="87">
        <f>+SUM([1]DataEx!FK231)</f>
        <v>1222753.49</v>
      </c>
      <c r="M117" s="87">
        <f>+SUM([1]DataEx!FL231)</f>
        <v>1142926.9664523243</v>
      </c>
      <c r="N117" s="87">
        <f>+SUM([1]DataEx!FM231)</f>
        <v>1304199.4730337204</v>
      </c>
      <c r="O117" s="87">
        <f>+SUM([1]DataEx!FN231)</f>
        <v>1183707.9939274685</v>
      </c>
      <c r="P117" s="87">
        <f>+SUM([1]DataEx!FO231)</f>
        <v>1329191.3701360417</v>
      </c>
      <c r="Q117" s="87">
        <f>+SUM([1]DataEx!FP231)</f>
        <v>1263549.4031596093</v>
      </c>
      <c r="R117" s="87">
        <f>+SUM([1]DataEx!FQ231)</f>
        <v>2346588.9629115779</v>
      </c>
      <c r="S117" s="419">
        <f t="shared" si="20"/>
        <v>14950709.439620741</v>
      </c>
      <c r="T117" s="432">
        <f t="shared" si="21"/>
        <v>3.10367429358343E-3</v>
      </c>
    </row>
    <row r="118" spans="1:20">
      <c r="A118" s="116" t="str">
        <f t="shared" si="17"/>
        <v>7124p</v>
      </c>
      <c r="B118" s="551" t="str">
        <f>+VLOOKUP(LEFT($A118,LEN(A118)-1)*1,[1]Master!$D$27:$G$225,4,FALSE)</f>
        <v>Ostali doprinosi</v>
      </c>
      <c r="C118" s="552"/>
      <c r="D118" s="552"/>
      <c r="E118" s="552"/>
      <c r="F118" s="552"/>
      <c r="G118" s="87">
        <f>+SUM([1]DataEx!FF232)</f>
        <v>380185.28</v>
      </c>
      <c r="H118" s="87">
        <f>+SUM([1]DataEx!FG232)</f>
        <v>1035686.38</v>
      </c>
      <c r="I118" s="87">
        <f>+SUM([1]DataEx!FH232)</f>
        <v>1210812.78</v>
      </c>
      <c r="J118" s="87">
        <f>+SUM([1]DataEx!FI232)</f>
        <v>1339504.93</v>
      </c>
      <c r="K118" s="87">
        <f>+SUM([1]DataEx!FJ232)</f>
        <v>906261.75</v>
      </c>
      <c r="L118" s="87">
        <f>+SUM([1]DataEx!FK232)</f>
        <v>1122699.07</v>
      </c>
      <c r="M118" s="87">
        <f>+SUM([1]DataEx!FL232)</f>
        <v>1231289.271800064</v>
      </c>
      <c r="N118" s="87">
        <f>+SUM([1]DataEx!FM232)</f>
        <v>1106008.2270068659</v>
      </c>
      <c r="O118" s="87">
        <f>+SUM([1]DataEx!FN232)</f>
        <v>978940.65414091514</v>
      </c>
      <c r="P118" s="87">
        <f>+SUM([1]DataEx!FO232)</f>
        <v>960390.70758482651</v>
      </c>
      <c r="Q118" s="87">
        <f>+SUM([1]DataEx!FP232)</f>
        <v>775847.86963662016</v>
      </c>
      <c r="R118" s="87">
        <f>+SUM([1]DataEx!FQ232)</f>
        <v>1487086.8165227156</v>
      </c>
      <c r="S118" s="419">
        <f t="shared" si="20"/>
        <v>12534713.736692008</v>
      </c>
      <c r="T118" s="432">
        <f t="shared" si="21"/>
        <v>2.6021286119640463E-3</v>
      </c>
    </row>
    <row r="119" spans="1:20">
      <c r="A119" s="116" t="str">
        <f t="shared" si="17"/>
        <v>713p</v>
      </c>
      <c r="B119" s="562" t="str">
        <f>+VLOOKUP(LEFT($A119,LEN(A119)-1)*1,[1]Master!$D$27:$G$225,4,FALSE)</f>
        <v>Takse</v>
      </c>
      <c r="C119" s="563"/>
      <c r="D119" s="563"/>
      <c r="E119" s="563"/>
      <c r="F119" s="563"/>
      <c r="G119" s="83">
        <f>+SUM([1]DataEx!FF233)</f>
        <v>851162.27</v>
      </c>
      <c r="H119" s="83">
        <f>+SUM([1]DataEx!FG233)</f>
        <v>1041125.3899999999</v>
      </c>
      <c r="I119" s="83">
        <f>+SUM([1]DataEx!FH233)</f>
        <v>1066481.8799999999</v>
      </c>
      <c r="J119" s="83">
        <f>+SUM([1]DataEx!FI233)</f>
        <v>1290371.49</v>
      </c>
      <c r="K119" s="83">
        <f>+SUM([1]DataEx!FJ233)</f>
        <v>1208813.17</v>
      </c>
      <c r="L119" s="83">
        <f>+SUM([1]DataEx!FK233)</f>
        <v>1252534.6599999999</v>
      </c>
      <c r="M119" s="83">
        <f>+SUM([1]DataEx!FL233)</f>
        <v>1795731.4641523927</v>
      </c>
      <c r="N119" s="83">
        <f>+SUM([1]DataEx!FM233)</f>
        <v>1701456.5372229549</v>
      </c>
      <c r="O119" s="83">
        <f>+SUM([1]DataEx!FN233)</f>
        <v>1388736.0694359436</v>
      </c>
      <c r="P119" s="83">
        <f>+SUM([1]DataEx!FO233)</f>
        <v>1341528.8515351652</v>
      </c>
      <c r="Q119" s="83">
        <f>+SUM([1]DataEx!FP233)</f>
        <v>1134405.6022195939</v>
      </c>
      <c r="R119" s="83">
        <f>+SUM([1]DataEx!FQ233)</f>
        <v>1246141.5409339513</v>
      </c>
      <c r="S119" s="420">
        <f t="shared" si="20"/>
        <v>15318488.925500004</v>
      </c>
      <c r="T119" s="433">
        <f t="shared" si="21"/>
        <v>3.1800230274438984E-3</v>
      </c>
    </row>
    <row r="120" spans="1:20">
      <c r="A120" s="116" t="str">
        <f t="shared" si="17"/>
        <v>714p</v>
      </c>
      <c r="B120" s="562" t="str">
        <f>+VLOOKUP(LEFT($A120,LEN(A120)-1)*1,[1]Master!$D$27:$G$225,4,FALSE)</f>
        <v>Naknade</v>
      </c>
      <c r="C120" s="563"/>
      <c r="D120" s="563"/>
      <c r="E120" s="563"/>
      <c r="F120" s="563"/>
      <c r="G120" s="83">
        <f>+SUM([1]DataEx!FF238)</f>
        <v>2315003.25</v>
      </c>
      <c r="H120" s="83">
        <f>+SUM([1]DataEx!FG238)</f>
        <v>1541397.86</v>
      </c>
      <c r="I120" s="83">
        <f>+SUM([1]DataEx!FH238)</f>
        <v>2408517.5</v>
      </c>
      <c r="J120" s="83">
        <f>+SUM([1]DataEx!FI238)</f>
        <v>3310133.38</v>
      </c>
      <c r="K120" s="83">
        <f>+SUM([1]DataEx!FJ238)</f>
        <v>1792591.2</v>
      </c>
      <c r="L120" s="83">
        <f>+SUM([1]DataEx!FK238)</f>
        <v>2081141.31</v>
      </c>
      <c r="M120" s="83">
        <f>+SUM([1]DataEx!FL238)</f>
        <v>3811615.3822946725</v>
      </c>
      <c r="N120" s="83">
        <f>+SUM([1]DataEx!FM238)</f>
        <v>2369139.8885664819</v>
      </c>
      <c r="O120" s="83">
        <f>+SUM([1]DataEx!FN238)</f>
        <v>2509036.584840606</v>
      </c>
      <c r="P120" s="83">
        <f>+SUM([1]DataEx!FO238)</f>
        <v>3286740.3746407013</v>
      </c>
      <c r="Q120" s="83">
        <f>+SUM([1]DataEx!FP238)</f>
        <v>2611990.4957672656</v>
      </c>
      <c r="R120" s="83">
        <f>+SUM([1]DataEx!FQ238)</f>
        <v>3353537.6354902741</v>
      </c>
      <c r="S120" s="420">
        <f t="shared" si="20"/>
        <v>31390844.861600004</v>
      </c>
      <c r="T120" s="433">
        <f t="shared" si="21"/>
        <v>6.5165441576051988E-3</v>
      </c>
    </row>
    <row r="121" spans="1:20">
      <c r="A121" s="116" t="str">
        <f t="shared" si="17"/>
        <v>715p</v>
      </c>
      <c r="B121" s="562" t="str">
        <f>+VLOOKUP(LEFT($A121,LEN(A121)-1)*1,[1]Master!$D$27:$G$225,4,FALSE)</f>
        <v>Ostali prihodi</v>
      </c>
      <c r="C121" s="563"/>
      <c r="D121" s="563"/>
      <c r="E121" s="563"/>
      <c r="F121" s="563"/>
      <c r="G121" s="83">
        <f>+SUM([1]DataEx!FF245)</f>
        <v>1567288.04</v>
      </c>
      <c r="H121" s="83">
        <f>+SUM([1]DataEx!FG245)</f>
        <v>2199531.1</v>
      </c>
      <c r="I121" s="83">
        <f>+SUM([1]DataEx!FH245)</f>
        <v>3194097.81</v>
      </c>
      <c r="J121" s="83">
        <f>+SUM([1]DataEx!FI245)</f>
        <v>2385711.15</v>
      </c>
      <c r="K121" s="83">
        <f>+SUM([1]DataEx!FJ245)</f>
        <v>7159438.3900000006</v>
      </c>
      <c r="L121" s="83">
        <f>+SUM([1]DataEx!FK245)</f>
        <v>3263135.44</v>
      </c>
      <c r="M121" s="83">
        <f>+SUM([1]DataEx!FL245)</f>
        <v>3782335.0282840966</v>
      </c>
      <c r="N121" s="83">
        <f>+SUM([1]DataEx!FM245)</f>
        <v>3340173.0404689522</v>
      </c>
      <c r="O121" s="83">
        <f>+SUM([1]DataEx!FN245)</f>
        <v>2689732.0664405972</v>
      </c>
      <c r="P121" s="83">
        <f>+SUM([1]DataEx!FO245)</f>
        <v>37215962.809770532</v>
      </c>
      <c r="Q121" s="83">
        <f>+SUM([1]DataEx!FP245)</f>
        <v>3512092.3071244648</v>
      </c>
      <c r="R121" s="83">
        <f>+SUM([1]DataEx!FQ245)</f>
        <v>7138953.7303113183</v>
      </c>
      <c r="S121" s="420">
        <f t="shared" si="20"/>
        <v>77448450.912399963</v>
      </c>
      <c r="T121" s="433">
        <f t="shared" si="21"/>
        <v>1.607781671802536E-2</v>
      </c>
    </row>
    <row r="122" spans="1:20">
      <c r="A122" s="116" t="str">
        <f t="shared" si="17"/>
        <v>73p</v>
      </c>
      <c r="B122" s="562" t="str">
        <f>+VLOOKUP(LEFT($A122,LEN(A122)-1)*1,[1]Master!$D$27:$G$225,4,FALSE)</f>
        <v>Primici od otplate kredita i sredstva prenesena iz prethodne godine</v>
      </c>
      <c r="C122" s="563"/>
      <c r="D122" s="563"/>
      <c r="E122" s="563"/>
      <c r="F122" s="563"/>
      <c r="G122" s="83">
        <f>+SUM([1]DataEx!FF253)</f>
        <v>69158.880000000005</v>
      </c>
      <c r="H122" s="83">
        <f>+SUM([1]DataEx!FG253)</f>
        <v>378338.04</v>
      </c>
      <c r="I122" s="83">
        <f>+SUM([1]DataEx!FH253)</f>
        <v>257172.98</v>
      </c>
      <c r="J122" s="83">
        <f>+SUM([1]DataEx!FI253)</f>
        <v>349238.34</v>
      </c>
      <c r="K122" s="83">
        <f>+SUM([1]DataEx!FJ253)</f>
        <v>808656.23</v>
      </c>
      <c r="L122" s="83">
        <f>+SUM([1]DataEx!FK253)</f>
        <v>1298753.81</v>
      </c>
      <c r="M122" s="83">
        <f>+SUM([1]DataEx!FL253)</f>
        <v>142080.0960214606</v>
      </c>
      <c r="N122" s="83">
        <f>+SUM([1]DataEx!FM253)</f>
        <v>117083.56784272524</v>
      </c>
      <c r="O122" s="83">
        <f>+SUM([1]DataEx!FN253)</f>
        <v>723504.94882674748</v>
      </c>
      <c r="P122" s="83">
        <f>+SUM([1]DataEx!FO253)</f>
        <v>419152.39381785714</v>
      </c>
      <c r="Q122" s="83">
        <f>+SUM([1]DataEx!FP253)</f>
        <v>3373987.8037220733</v>
      </c>
      <c r="R122" s="83">
        <f>+SUM([1]DataEx!FQ253)</f>
        <v>574536.91176913551</v>
      </c>
      <c r="S122" s="420">
        <f t="shared" si="20"/>
        <v>8511664.0019999985</v>
      </c>
      <c r="T122" s="433">
        <f t="shared" si="21"/>
        <v>1.7669685084386868E-3</v>
      </c>
    </row>
    <row r="123" spans="1:20" ht="13.5" thickBot="1">
      <c r="A123" s="116" t="str">
        <f t="shared" si="17"/>
        <v>74p</v>
      </c>
      <c r="B123" s="564" t="str">
        <f>+VLOOKUP(LEFT($A123,LEN(A123)-1)*1,[1]Master!$D$27:$G$225,4,FALSE)</f>
        <v>Donacije i transferi</v>
      </c>
      <c r="C123" s="565"/>
      <c r="D123" s="565"/>
      <c r="E123" s="565"/>
      <c r="F123" s="565"/>
      <c r="G123" s="83">
        <f>+SUM([1]DataEx!FF256)</f>
        <v>13526711.25</v>
      </c>
      <c r="H123" s="83">
        <f>+SUM([1]DataEx!FG256)</f>
        <v>1001055.74</v>
      </c>
      <c r="I123" s="83">
        <f>+SUM([1]DataEx!FH256)</f>
        <v>861265.77</v>
      </c>
      <c r="J123" s="83">
        <f>+SUM([1]DataEx!FI256)</f>
        <v>627154.51</v>
      </c>
      <c r="K123" s="83">
        <f>+SUM([1]DataEx!FJ256)</f>
        <v>1388870.5</v>
      </c>
      <c r="L123" s="83">
        <f>+SUM([1]DataEx!FK256)</f>
        <v>827810.06</v>
      </c>
      <c r="M123" s="83">
        <f>+SUM([1]DataEx!FL256)</f>
        <v>1487222.9580633398</v>
      </c>
      <c r="N123" s="83">
        <f>+SUM([1]DataEx!FM256)</f>
        <v>1494727.7085961688</v>
      </c>
      <c r="O123" s="83">
        <f>+SUM([1]DataEx!FN256)</f>
        <v>1256927.0639557138</v>
      </c>
      <c r="P123" s="83">
        <f>+SUM([1]DataEx!FO256)</f>
        <v>2914661.9432842401</v>
      </c>
      <c r="Q123" s="83">
        <f>+SUM([1]DataEx!FP256)</f>
        <v>9560814.8118033875</v>
      </c>
      <c r="R123" s="83">
        <f>+SUM([1]DataEx!FQ256)</f>
        <v>9532777.6842971519</v>
      </c>
      <c r="S123" s="421">
        <f t="shared" si="20"/>
        <v>44480000</v>
      </c>
      <c r="T123" s="434">
        <f t="shared" si="21"/>
        <v>9.2337713562101673E-3</v>
      </c>
    </row>
    <row r="124" spans="1:20" ht="13.5" thickBot="1">
      <c r="A124" s="116" t="str">
        <f t="shared" si="17"/>
        <v>4p</v>
      </c>
      <c r="B124" s="566" t="str">
        <f>+VLOOKUP(LEFT($A124,LEN(A124)-1)*1,[1]Master!$D$27:$G$225,4,FALSE)</f>
        <v>Budžetski izdaci</v>
      </c>
      <c r="C124" s="567"/>
      <c r="D124" s="567"/>
      <c r="E124" s="567"/>
      <c r="F124" s="567"/>
      <c r="G124" s="93">
        <f>+G126+G137+G143+SUM(G144:G148)</f>
        <v>169675887.19749999</v>
      </c>
      <c r="H124" s="93">
        <f t="shared" ref="H124:R124" si="23">+H126+H137+H143+SUM(H144:H148)</f>
        <v>163118817.50749999</v>
      </c>
      <c r="I124" s="93">
        <f t="shared" si="23"/>
        <v>195750967.64750001</v>
      </c>
      <c r="J124" s="93">
        <f t="shared" si="23"/>
        <v>172597951.91749999</v>
      </c>
      <c r="K124" s="93">
        <f t="shared" si="23"/>
        <v>167763443.14750004</v>
      </c>
      <c r="L124" s="93">
        <f t="shared" si="23"/>
        <v>158638536.14750001</v>
      </c>
      <c r="M124" s="93">
        <f t="shared" si="23"/>
        <v>173593221.77416667</v>
      </c>
      <c r="N124" s="93">
        <f t="shared" si="23"/>
        <v>157395422.72416666</v>
      </c>
      <c r="O124" s="93">
        <f t="shared" si="23"/>
        <v>161208966.37416667</v>
      </c>
      <c r="P124" s="93">
        <f t="shared" si="23"/>
        <v>158508019.66083336</v>
      </c>
      <c r="Q124" s="93">
        <f t="shared" si="23"/>
        <v>152277719.94083336</v>
      </c>
      <c r="R124" s="93">
        <f t="shared" si="23"/>
        <v>146102024.36083338</v>
      </c>
      <c r="S124" s="422">
        <f>+SUM(G124:R124)</f>
        <v>1976630978.4000001</v>
      </c>
      <c r="T124" s="435">
        <f t="shared" si="21"/>
        <v>0.4103362974403687</v>
      </c>
    </row>
    <row r="125" spans="1:20" ht="13.5" thickBot="1">
      <c r="A125" s="116" t="str">
        <f t="shared" si="17"/>
        <v>40p</v>
      </c>
      <c r="B125" s="584" t="str">
        <f>+VLOOKUP(LEFT($A125,LEN(A125)-1)*1,[1]Master!$D$27:$G$225,4,FALSE)</f>
        <v>Tekuća budžetska potrošnja</v>
      </c>
      <c r="C125" s="585"/>
      <c r="D125" s="585"/>
      <c r="E125" s="585"/>
      <c r="F125" s="585"/>
      <c r="G125" s="78">
        <f t="shared" ref="G125:R125" si="24">+G124-G144</f>
        <v>142932137.20749998</v>
      </c>
      <c r="H125" s="78">
        <f t="shared" si="24"/>
        <v>136375067.51749998</v>
      </c>
      <c r="I125" s="78">
        <f t="shared" si="24"/>
        <v>169007217.65750003</v>
      </c>
      <c r="J125" s="78">
        <f t="shared" si="24"/>
        <v>145854201.92750001</v>
      </c>
      <c r="K125" s="78">
        <f t="shared" si="24"/>
        <v>141019693.15750003</v>
      </c>
      <c r="L125" s="78">
        <f t="shared" si="24"/>
        <v>131894786.15750001</v>
      </c>
      <c r="M125" s="78">
        <f t="shared" si="24"/>
        <v>146849471.78416669</v>
      </c>
      <c r="N125" s="78">
        <f t="shared" si="24"/>
        <v>130651672.73416667</v>
      </c>
      <c r="O125" s="78">
        <f t="shared" si="24"/>
        <v>134465216.38416666</v>
      </c>
      <c r="P125" s="78">
        <f t="shared" si="24"/>
        <v>131764269.67083336</v>
      </c>
      <c r="Q125" s="78">
        <f t="shared" si="24"/>
        <v>138033969.95083335</v>
      </c>
      <c r="R125" s="78">
        <f t="shared" si="24"/>
        <v>131858274.25083338</v>
      </c>
      <c r="S125" s="423">
        <f t="shared" si="20"/>
        <v>1680705978.4000001</v>
      </c>
      <c r="T125" s="436">
        <f t="shared" si="21"/>
        <v>0.34890410794876586</v>
      </c>
    </row>
    <row r="126" spans="1:20">
      <c r="A126" s="116" t="str">
        <f t="shared" si="17"/>
        <v>41p</v>
      </c>
      <c r="B126" s="568" t="str">
        <f>+VLOOKUP(LEFT($A126,LEN(A126)-1)*1,[1]Master!$D$27:$G$225,4,FALSE)</f>
        <v>Tekući izdaci</v>
      </c>
      <c r="C126" s="569"/>
      <c r="D126" s="569"/>
      <c r="E126" s="569"/>
      <c r="F126" s="569"/>
      <c r="G126" s="85">
        <f t="shared" ref="G126:R126" si="25">+SUM(G127:G136)</f>
        <v>71012418.442500025</v>
      </c>
      <c r="H126" s="85">
        <f t="shared" si="25"/>
        <v>64850080.682500012</v>
      </c>
      <c r="I126" s="85">
        <f t="shared" si="25"/>
        <v>94352135.732500002</v>
      </c>
      <c r="J126" s="85">
        <f t="shared" si="25"/>
        <v>80290960.742500007</v>
      </c>
      <c r="K126" s="85">
        <f t="shared" si="25"/>
        <v>75302081.212500021</v>
      </c>
      <c r="L126" s="85">
        <f t="shared" si="25"/>
        <v>66157575.742500022</v>
      </c>
      <c r="M126" s="85">
        <f t="shared" si="25"/>
        <v>71113855.702500001</v>
      </c>
      <c r="N126" s="85">
        <f t="shared" si="25"/>
        <v>62800153.3125</v>
      </c>
      <c r="O126" s="85">
        <f t="shared" si="25"/>
        <v>66815564.902500011</v>
      </c>
      <c r="P126" s="85">
        <f t="shared" si="25"/>
        <v>62629581.782500006</v>
      </c>
      <c r="Q126" s="85">
        <f t="shared" si="25"/>
        <v>68882826.062500015</v>
      </c>
      <c r="R126" s="86">
        <f t="shared" si="25"/>
        <v>62463700.292500041</v>
      </c>
      <c r="S126" s="418">
        <f t="shared" si="20"/>
        <v>846670934.61000013</v>
      </c>
      <c r="T126" s="431">
        <f t="shared" si="21"/>
        <v>0.17576362014697641</v>
      </c>
    </row>
    <row r="127" spans="1:20">
      <c r="A127" s="116" t="str">
        <f t="shared" si="17"/>
        <v>411p</v>
      </c>
      <c r="B127" s="551" t="str">
        <f>+VLOOKUP(LEFT($A127,LEN(A127)-1)*1,[1]Master!$D$27:$G$225,4,FALSE)</f>
        <v>Bruto zarade i doprinosi na teret poslodavca</v>
      </c>
      <c r="C127" s="552"/>
      <c r="D127" s="552"/>
      <c r="E127" s="552"/>
      <c r="F127" s="552"/>
      <c r="G127" s="87">
        <f>+SUM([1]DataEx!FF265)</f>
        <v>39362332.101666681</v>
      </c>
      <c r="H127" s="87">
        <f>+SUM([1]DataEx!FG265)</f>
        <v>39125646.701666676</v>
      </c>
      <c r="I127" s="87">
        <f>+SUM([1]DataEx!FH265)</f>
        <v>39113380.221666679</v>
      </c>
      <c r="J127" s="87">
        <f>+SUM([1]DataEx!FI265)</f>
        <v>39105431.161666669</v>
      </c>
      <c r="K127" s="87">
        <f>+SUM([1]DataEx!FJ265)</f>
        <v>39107573.981666677</v>
      </c>
      <c r="L127" s="87">
        <f>+SUM([1]DataEx!FK265)</f>
        <v>41935580.18166668</v>
      </c>
      <c r="M127" s="87">
        <f>+SUM([1]DataEx!FL265)</f>
        <v>39107470.111666672</v>
      </c>
      <c r="N127" s="87">
        <f>+SUM([1]DataEx!FM265)</f>
        <v>39093383.891666673</v>
      </c>
      <c r="O127" s="87">
        <f>+SUM([1]DataEx!FN265)</f>
        <v>39030288.911666676</v>
      </c>
      <c r="P127" s="87">
        <f>+SUM([1]DataEx!FO265)</f>
        <v>39107584.94166667</v>
      </c>
      <c r="Q127" s="87">
        <f>+SUM([1]DataEx!FP265)</f>
        <v>39107395.941666678</v>
      </c>
      <c r="R127" s="87">
        <f>+SUM([1]DataEx!FQ265)</f>
        <v>38858179.001666702</v>
      </c>
      <c r="S127" s="419">
        <f t="shared" si="20"/>
        <v>472054247.1500001</v>
      </c>
      <c r="T127" s="432">
        <f t="shared" si="21"/>
        <v>9.799552576238818E-2</v>
      </c>
    </row>
    <row r="128" spans="1:20">
      <c r="A128" s="116" t="str">
        <f t="shared" si="17"/>
        <v>412p</v>
      </c>
      <c r="B128" s="551" t="str">
        <f>+VLOOKUP(LEFT($A128,LEN(A128)-1)*1,[1]Master!$D$27:$G$225,4,FALSE)</f>
        <v>Ostala lična primanja</v>
      </c>
      <c r="C128" s="552"/>
      <c r="D128" s="552"/>
      <c r="E128" s="552"/>
      <c r="F128" s="552"/>
      <c r="G128" s="87">
        <f>+SUM([1]DataEx!FF271)</f>
        <v>1281057.9508333332</v>
      </c>
      <c r="H128" s="87">
        <f>+SUM([1]DataEx!FG271)</f>
        <v>1323983.3608333331</v>
      </c>
      <c r="I128" s="87">
        <f>+SUM([1]DataEx!FH271)</f>
        <v>1260740.2808333333</v>
      </c>
      <c r="J128" s="87">
        <f>+SUM([1]DataEx!FI271)</f>
        <v>1247473.6108333331</v>
      </c>
      <c r="K128" s="87">
        <f>+SUM([1]DataEx!FJ271)</f>
        <v>1248015.2908333333</v>
      </c>
      <c r="L128" s="87">
        <f>+SUM([1]DataEx!FK271)</f>
        <v>1249948.9408333332</v>
      </c>
      <c r="M128" s="87">
        <f>+SUM([1]DataEx!FL271)</f>
        <v>1249158.6208333333</v>
      </c>
      <c r="N128" s="87">
        <f>+SUM([1]DataEx!FM271)</f>
        <v>1249158.6208333333</v>
      </c>
      <c r="O128" s="87">
        <f>+SUM([1]DataEx!FN271)</f>
        <v>1249658.6108333331</v>
      </c>
      <c r="P128" s="87">
        <f>+SUM([1]DataEx!FO271)</f>
        <v>1239658.6108333331</v>
      </c>
      <c r="Q128" s="87">
        <f>+SUM([1]DataEx!FP271)</f>
        <v>1238097.2408333332</v>
      </c>
      <c r="R128" s="87">
        <f>+SUM([1]DataEx!FQ271)</f>
        <v>1240174.31083333</v>
      </c>
      <c r="S128" s="419">
        <f t="shared" si="20"/>
        <v>15077125.449999996</v>
      </c>
      <c r="T128" s="432">
        <f t="shared" si="21"/>
        <v>3.129917471092565E-3</v>
      </c>
    </row>
    <row r="129" spans="1:20">
      <c r="A129" s="116" t="str">
        <f t="shared" si="17"/>
        <v>413p</v>
      </c>
      <c r="B129" s="551" t="str">
        <f>+VLOOKUP(LEFT($A129,LEN(A129)-1)*1,[1]Master!$D$27:$G$225,4,FALSE)</f>
        <v>Rashodi za materijal</v>
      </c>
      <c r="C129" s="552"/>
      <c r="D129" s="552"/>
      <c r="E129" s="552"/>
      <c r="F129" s="552"/>
      <c r="G129" s="87">
        <f>+SUM([1]DataEx!FF279)</f>
        <v>3067786.435833334</v>
      </c>
      <c r="H129" s="87">
        <f>+SUM([1]DataEx!FG279)</f>
        <v>3019826.0658333339</v>
      </c>
      <c r="I129" s="87">
        <f>+SUM([1]DataEx!FH279)</f>
        <v>3058309.8858333337</v>
      </c>
      <c r="J129" s="87">
        <f>+SUM([1]DataEx!FI279)</f>
        <v>3046755.8058333341</v>
      </c>
      <c r="K129" s="87">
        <f>+SUM([1]DataEx!FJ279)</f>
        <v>3057105.8058333341</v>
      </c>
      <c r="L129" s="87">
        <f>+SUM([1]DataEx!FK279)</f>
        <v>3056755.8058333341</v>
      </c>
      <c r="M129" s="87">
        <f>+SUM([1]DataEx!FL279)</f>
        <v>3059180.8058333341</v>
      </c>
      <c r="N129" s="87">
        <f>+SUM([1]DataEx!FM279)</f>
        <v>3059180.8058333341</v>
      </c>
      <c r="O129" s="87">
        <f>+SUM([1]DataEx!FN279)</f>
        <v>3059040.8058333341</v>
      </c>
      <c r="P129" s="87">
        <f>+SUM([1]DataEx!FO279)</f>
        <v>3063161.8058333341</v>
      </c>
      <c r="Q129" s="87">
        <f>+SUM([1]DataEx!FP279)</f>
        <v>3060771.8058333341</v>
      </c>
      <c r="R129" s="87">
        <f>+SUM([1]DataEx!FQ279)</f>
        <v>3044951.8258333337</v>
      </c>
      <c r="S129" s="419">
        <f t="shared" si="20"/>
        <v>36652827.660000004</v>
      </c>
      <c r="T129" s="432">
        <f t="shared" si="21"/>
        <v>7.6088990596001752E-3</v>
      </c>
    </row>
    <row r="130" spans="1:20">
      <c r="A130" s="116" t="str">
        <f t="shared" si="17"/>
        <v>414p</v>
      </c>
      <c r="B130" s="551" t="str">
        <f>+VLOOKUP(LEFT($A130,LEN(A130)-1)*1,[1]Master!$D$27:$G$225,4,FALSE)</f>
        <v>Rashodi za usluge</v>
      </c>
      <c r="C130" s="552"/>
      <c r="D130" s="552"/>
      <c r="E130" s="552"/>
      <c r="F130" s="552"/>
      <c r="G130" s="87">
        <f>+SUM([1]DataEx!FF286)</f>
        <v>6120514.5875000004</v>
      </c>
      <c r="H130" s="87">
        <f>+SUM([1]DataEx!FG286)</f>
        <v>5971668.0075000003</v>
      </c>
      <c r="I130" s="87">
        <f>+SUM([1]DataEx!FH286)</f>
        <v>5177760.0175000001</v>
      </c>
      <c r="J130" s="87">
        <f>+SUM([1]DataEx!FI286)</f>
        <v>5087042.1275000004</v>
      </c>
      <c r="K130" s="87">
        <f>+SUM([1]DataEx!FJ286)</f>
        <v>5141875.5275000008</v>
      </c>
      <c r="L130" s="87">
        <f>+SUM([1]DataEx!FK286)</f>
        <v>5197534.4975000005</v>
      </c>
      <c r="M130" s="87">
        <f>+SUM([1]DataEx!FL286)</f>
        <v>5059087.2374999989</v>
      </c>
      <c r="N130" s="87">
        <f>+SUM([1]DataEx!FM286)</f>
        <v>5071091.2374999989</v>
      </c>
      <c r="O130" s="87">
        <f>+SUM([1]DataEx!FN286)</f>
        <v>5175886.7374999989</v>
      </c>
      <c r="P130" s="87">
        <f>+SUM([1]DataEx!FO286)</f>
        <v>5062253.3274999987</v>
      </c>
      <c r="Q130" s="87">
        <f>+SUM([1]DataEx!FP286)</f>
        <v>5061881.6574999988</v>
      </c>
      <c r="R130" s="87">
        <f>+SUM([1]DataEx!FQ286)</f>
        <v>5000451.0074999994</v>
      </c>
      <c r="S130" s="419">
        <f t="shared" si="20"/>
        <v>63127045.969999991</v>
      </c>
      <c r="T130" s="432">
        <f t="shared" si="21"/>
        <v>1.3104782124099559E-2</v>
      </c>
    </row>
    <row r="131" spans="1:20">
      <c r="A131" s="116" t="str">
        <f t="shared" si="17"/>
        <v>415p</v>
      </c>
      <c r="B131" s="551" t="str">
        <f>+VLOOKUP(LEFT($A131,LEN(A131)-1)*1,[1]Master!$D$27:$G$225,4,FALSE)</f>
        <v>Rashodi za tekuće održavanje</v>
      </c>
      <c r="C131" s="552"/>
      <c r="D131" s="552"/>
      <c r="E131" s="552"/>
      <c r="F131" s="552"/>
      <c r="G131" s="87">
        <f>+SUM([1]DataEx!FF296)</f>
        <v>1931829.4616666667</v>
      </c>
      <c r="H131" s="87">
        <f>+SUM([1]DataEx!FG296)</f>
        <v>1929704.3816666668</v>
      </c>
      <c r="I131" s="87">
        <f>+SUM([1]DataEx!FH296)</f>
        <v>1921162.7116666667</v>
      </c>
      <c r="J131" s="87">
        <f>+SUM([1]DataEx!FI296)</f>
        <v>1920662.7116666667</v>
      </c>
      <c r="K131" s="87">
        <f>+SUM([1]DataEx!FJ296)</f>
        <v>1927678.7016666669</v>
      </c>
      <c r="L131" s="87">
        <f>+SUM([1]DataEx!FK296)</f>
        <v>1927612.7316666667</v>
      </c>
      <c r="M131" s="87">
        <f>+SUM([1]DataEx!FL296)</f>
        <v>1934953.7116666667</v>
      </c>
      <c r="N131" s="87">
        <f>+SUM([1]DataEx!FM296)</f>
        <v>1934887.7116666667</v>
      </c>
      <c r="O131" s="87">
        <f>+SUM([1]DataEx!FN296)</f>
        <v>1926953.7016666669</v>
      </c>
      <c r="P131" s="87">
        <f>+SUM([1]DataEx!FO296)</f>
        <v>1926887.7016666669</v>
      </c>
      <c r="Q131" s="87">
        <f>+SUM([1]DataEx!FP296)</f>
        <v>1926953.7016666669</v>
      </c>
      <c r="R131" s="87">
        <f>+SUM([1]DataEx!FQ296)</f>
        <v>1908616.3716666668</v>
      </c>
      <c r="S131" s="419">
        <f t="shared" si="20"/>
        <v>23117903.600000001</v>
      </c>
      <c r="T131" s="432">
        <f t="shared" si="21"/>
        <v>4.7991330053351608E-3</v>
      </c>
    </row>
    <row r="132" spans="1:20">
      <c r="A132" s="116" t="str">
        <f t="shared" si="17"/>
        <v>416p</v>
      </c>
      <c r="B132" s="551" t="str">
        <f>+VLOOKUP(LEFT($A132,LEN(A132)-1)*1,[1]Master!$D$27:$G$225,4,FALSE)</f>
        <v>Kamate</v>
      </c>
      <c r="C132" s="552"/>
      <c r="D132" s="552"/>
      <c r="E132" s="552"/>
      <c r="F132" s="552"/>
      <c r="G132" s="87">
        <f>+SUM([1]DataEx!FF300)</f>
        <v>7980725.0000000009</v>
      </c>
      <c r="H132" s="87">
        <f>+SUM([1]DataEx!FG300)</f>
        <v>986719.96000000054</v>
      </c>
      <c r="I132" s="87">
        <f>+SUM([1]DataEx!FH300)</f>
        <v>28101499.100000001</v>
      </c>
      <c r="J132" s="87">
        <f>+SUM([1]DataEx!FI300)</f>
        <v>18499732.100000001</v>
      </c>
      <c r="K132" s="87">
        <f>+SUM([1]DataEx!FJ300)</f>
        <v>14045836.270000001</v>
      </c>
      <c r="L132" s="87">
        <f>+SUM([1]DataEx!FK300)</f>
        <v>1973802.6600000008</v>
      </c>
      <c r="M132" s="87">
        <f>+SUM([1]DataEx!FL300)</f>
        <v>8764475.7899999991</v>
      </c>
      <c r="N132" s="87">
        <f>+SUM([1]DataEx!FM300)</f>
        <v>1297206.1400000008</v>
      </c>
      <c r="O132" s="87">
        <f>+SUM([1]DataEx!FN300)</f>
        <v>3140325.8000000007</v>
      </c>
      <c r="P132" s="87">
        <f>+SUM([1]DataEx!FO300)</f>
        <v>1321292.0800000008</v>
      </c>
      <c r="Q132" s="87">
        <f>+SUM([1]DataEx!FP300)</f>
        <v>7803737.330000001</v>
      </c>
      <c r="R132" s="87">
        <f>+SUM([1]DataEx!FQ300)</f>
        <v>1837347.7700000007</v>
      </c>
      <c r="S132" s="419">
        <f t="shared" si="20"/>
        <v>95752699.999999985</v>
      </c>
      <c r="T132" s="432">
        <f t="shared" si="21"/>
        <v>1.9877664985157042E-2</v>
      </c>
    </row>
    <row r="133" spans="1:20">
      <c r="A133" s="116" t="str">
        <f t="shared" si="17"/>
        <v>417p</v>
      </c>
      <c r="B133" s="551" t="str">
        <f>+VLOOKUP(LEFT($A133,LEN(A133)-1)*1,[1]Master!$D$27:$G$225,4,FALSE)</f>
        <v>Renta</v>
      </c>
      <c r="C133" s="552"/>
      <c r="D133" s="552"/>
      <c r="E133" s="552"/>
      <c r="F133" s="552"/>
      <c r="G133" s="87">
        <f>+SUM([1]DataEx!FF303)</f>
        <v>832820.39</v>
      </c>
      <c r="H133" s="87">
        <f>+SUM([1]DataEx!FG303)</f>
        <v>780840.39</v>
      </c>
      <c r="I133" s="87">
        <f>+SUM([1]DataEx!FH303)</f>
        <v>793807.47</v>
      </c>
      <c r="J133" s="87">
        <f>+SUM([1]DataEx!FI303)</f>
        <v>776070.39</v>
      </c>
      <c r="K133" s="87">
        <f>+SUM([1]DataEx!FJ303)</f>
        <v>793070.39</v>
      </c>
      <c r="L133" s="87">
        <f>+SUM([1]DataEx!FK303)</f>
        <v>826070.39</v>
      </c>
      <c r="M133" s="87">
        <f>+SUM([1]DataEx!FL303)</f>
        <v>846570.39</v>
      </c>
      <c r="N133" s="87">
        <f>+SUM([1]DataEx!FM303)</f>
        <v>846570.39</v>
      </c>
      <c r="O133" s="87">
        <f>+SUM([1]DataEx!FN303)</f>
        <v>826570.39</v>
      </c>
      <c r="P133" s="87">
        <f>+SUM([1]DataEx!FO303)</f>
        <v>826570.39</v>
      </c>
      <c r="Q133" s="87">
        <f>+SUM([1]DataEx!FP303)</f>
        <v>826570.39</v>
      </c>
      <c r="R133" s="87">
        <f>+SUM([1]DataEx!FQ303)</f>
        <v>845570.39</v>
      </c>
      <c r="S133" s="419">
        <f t="shared" si="20"/>
        <v>9821101.7599999998</v>
      </c>
      <c r="T133" s="432">
        <f t="shared" si="21"/>
        <v>2.0387996429386975E-3</v>
      </c>
    </row>
    <row r="134" spans="1:20">
      <c r="A134" s="116" t="str">
        <f t="shared" si="17"/>
        <v>418p</v>
      </c>
      <c r="B134" s="551" t="str">
        <f>+VLOOKUP(LEFT($A134,LEN(A134)-1)*1,[1]Master!$D$27:$G$225,4,FALSE)</f>
        <v>Subvencije</v>
      </c>
      <c r="C134" s="552"/>
      <c r="D134" s="552"/>
      <c r="E134" s="552"/>
      <c r="F134" s="552"/>
      <c r="G134" s="87">
        <f>+SUM([1]DataEx!FF307)</f>
        <v>2149037.4966666666</v>
      </c>
      <c r="H134" s="87">
        <f>+SUM([1]DataEx!FG307)</f>
        <v>2320829.9566666665</v>
      </c>
      <c r="I134" s="87">
        <f>+SUM([1]DataEx!FH307)</f>
        <v>4834564.4966666671</v>
      </c>
      <c r="J134" s="87">
        <f>+SUM([1]DataEx!FI307)</f>
        <v>2443787.4966666666</v>
      </c>
      <c r="K134" s="87">
        <f>+SUM([1]DataEx!FJ307)</f>
        <v>2190037.4966666666</v>
      </c>
      <c r="L134" s="87">
        <f>+SUM([1]DataEx!FK307)</f>
        <v>1990037.4966666666</v>
      </c>
      <c r="M134" s="87">
        <f>+SUM([1]DataEx!FL307)</f>
        <v>1956704.1566666667</v>
      </c>
      <c r="N134" s="87">
        <f>+SUM([1]DataEx!FM307)</f>
        <v>2253357.6966666663</v>
      </c>
      <c r="O134" s="87">
        <f>+SUM([1]DataEx!FN307)</f>
        <v>4447481.1566666672</v>
      </c>
      <c r="P134" s="87">
        <f>+SUM([1]DataEx!FO307)</f>
        <v>2156704.1566666663</v>
      </c>
      <c r="Q134" s="87">
        <f>+SUM([1]DataEx!FP307)</f>
        <v>2056704.1966666668</v>
      </c>
      <c r="R134" s="87">
        <f>+SUM([1]DataEx!FQ307)</f>
        <v>2015354.1966666668</v>
      </c>
      <c r="S134" s="419">
        <f t="shared" si="20"/>
        <v>30814599.999999993</v>
      </c>
      <c r="T134" s="432">
        <f t="shared" si="21"/>
        <v>6.3969193082975221E-3</v>
      </c>
    </row>
    <row r="135" spans="1:20">
      <c r="A135" s="116" t="str">
        <f t="shared" si="17"/>
        <v>419p</v>
      </c>
      <c r="B135" s="551" t="str">
        <f>+VLOOKUP(LEFT($A135,LEN(A135)-1)*1,[1]Master!$D$27:$G$225,4,FALSE)</f>
        <v>Ostali izdaci</v>
      </c>
      <c r="C135" s="552"/>
      <c r="D135" s="552"/>
      <c r="E135" s="552"/>
      <c r="F135" s="552"/>
      <c r="G135" s="87">
        <f>+SUM([1]DataEx!FF311)</f>
        <v>3473855.870833334</v>
      </c>
      <c r="H135" s="87">
        <f>+SUM([1]DataEx!FG311)</f>
        <v>4119817.790833334</v>
      </c>
      <c r="I135" s="87">
        <f>+SUM([1]DataEx!FH311)</f>
        <v>5047234.1108333347</v>
      </c>
      <c r="J135" s="87">
        <f>+SUM([1]DataEx!FI311)</f>
        <v>3132271.9408333339</v>
      </c>
      <c r="K135" s="87">
        <f>+SUM([1]DataEx!FJ311)</f>
        <v>3070265.2508333339</v>
      </c>
      <c r="L135" s="87">
        <f>+SUM([1]DataEx!FK311)</f>
        <v>3309652.560833334</v>
      </c>
      <c r="M135" s="87">
        <f>+SUM([1]DataEx!FL311)</f>
        <v>4122049.5508333351</v>
      </c>
      <c r="N135" s="87">
        <f>+SUM([1]DataEx!FM311)</f>
        <v>3027649.6708333334</v>
      </c>
      <c r="O135" s="87">
        <f>+SUM([1]DataEx!FN311)</f>
        <v>2986649.6408333336</v>
      </c>
      <c r="P135" s="87">
        <f>+SUM([1]DataEx!FO311)</f>
        <v>2977759.6208333336</v>
      </c>
      <c r="Q135" s="87">
        <f>+SUM([1]DataEx!FP311)</f>
        <v>3014504.6508333334</v>
      </c>
      <c r="R135" s="87">
        <f>+SUM([1]DataEx!FQ311)</f>
        <v>2914612.7408333337</v>
      </c>
      <c r="S135" s="419">
        <f t="shared" si="20"/>
        <v>41196323.400000006</v>
      </c>
      <c r="T135" s="432">
        <f t="shared" si="21"/>
        <v>8.5521005169085142E-3</v>
      </c>
    </row>
    <row r="136" spans="1:20">
      <c r="A136" s="116" t="str">
        <f t="shared" si="17"/>
        <v>440p</v>
      </c>
      <c r="B136" s="551" t="str">
        <f>+VLOOKUP(LEFT($A136,LEN(A136)-1)*1,[1]Master!$D$27:$G$225,4,FALSE)</f>
        <v>Kapitalni izdaci u tekućem budžetu</v>
      </c>
      <c r="C136" s="552"/>
      <c r="D136" s="552"/>
      <c r="E136" s="552"/>
      <c r="F136" s="552"/>
      <c r="G136" s="87">
        <f>+SUM([1]DataEx!FF369)</f>
        <v>4812459.1475000009</v>
      </c>
      <c r="H136" s="87">
        <f>+SUM([1]DataEx!FG369)</f>
        <v>5271044.0675000008</v>
      </c>
      <c r="I136" s="87">
        <f>+SUM([1]DataEx!FH369)</f>
        <v>5043677.4375000009</v>
      </c>
      <c r="J136" s="87">
        <f>+SUM([1]DataEx!FI369)</f>
        <v>5031733.3975000009</v>
      </c>
      <c r="K136" s="87">
        <f>+SUM([1]DataEx!FJ369)</f>
        <v>4720622.4975000015</v>
      </c>
      <c r="L136" s="87">
        <f>+SUM([1]DataEx!FK369)</f>
        <v>4690580.477500001</v>
      </c>
      <c r="M136" s="87">
        <f>+SUM([1]DataEx!FL369)</f>
        <v>5014205.3275000015</v>
      </c>
      <c r="N136" s="87">
        <f>+SUM([1]DataEx!FM369)</f>
        <v>4967667.1475000018</v>
      </c>
      <c r="O136" s="87">
        <f>+SUM([1]DataEx!FN369)</f>
        <v>4972709.1475000018</v>
      </c>
      <c r="P136" s="87">
        <f>+SUM([1]DataEx!FO369)</f>
        <v>4947709.1475000018</v>
      </c>
      <c r="Q136" s="87">
        <f>+SUM([1]DataEx!FP369)</f>
        <v>4786209.1475000018</v>
      </c>
      <c r="R136" s="87">
        <f>+SUM([1]DataEx!FQ369)</f>
        <v>4798442.6775000012</v>
      </c>
      <c r="S136" s="419">
        <f t="shared" si="20"/>
        <v>59057059.620000012</v>
      </c>
      <c r="T136" s="432">
        <f t="shared" si="21"/>
        <v>1.2259878271158998E-2</v>
      </c>
    </row>
    <row r="137" spans="1:20">
      <c r="A137" s="116" t="str">
        <f t="shared" si="17"/>
        <v>42p</v>
      </c>
      <c r="B137" s="570" t="str">
        <f>+VLOOKUP(LEFT($A137,LEN(A137)-1)*1,[1]Master!$D$27:$G$225,4,FALSE)</f>
        <v>Transferi za socijalnu zaštitu</v>
      </c>
      <c r="C137" s="571"/>
      <c r="D137" s="571"/>
      <c r="E137" s="571"/>
      <c r="F137" s="571"/>
      <c r="G137" s="84">
        <f t="shared" ref="G137:R137" si="26">+SUM(G138:G142)</f>
        <v>46204849.909999982</v>
      </c>
      <c r="H137" s="84">
        <f t="shared" si="26"/>
        <v>46206149.810000002</v>
      </c>
      <c r="I137" s="84">
        <f t="shared" si="26"/>
        <v>46206149.810000002</v>
      </c>
      <c r="J137" s="84">
        <f t="shared" si="26"/>
        <v>46206149.810000002</v>
      </c>
      <c r="K137" s="84">
        <f t="shared" si="26"/>
        <v>46206149.810000002</v>
      </c>
      <c r="L137" s="84">
        <f t="shared" si="26"/>
        <v>46206149.810000002</v>
      </c>
      <c r="M137" s="84">
        <f t="shared" si="26"/>
        <v>46206149.810000002</v>
      </c>
      <c r="N137" s="84">
        <f t="shared" si="26"/>
        <v>46206149.810000002</v>
      </c>
      <c r="O137" s="84">
        <f t="shared" si="26"/>
        <v>46206149.810000002</v>
      </c>
      <c r="P137" s="84">
        <f t="shared" si="26"/>
        <v>47329512.010000005</v>
      </c>
      <c r="Q137" s="84">
        <f t="shared" si="26"/>
        <v>47329512.010000005</v>
      </c>
      <c r="R137" s="84">
        <f t="shared" si="26"/>
        <v>47329512.010000005</v>
      </c>
      <c r="S137" s="420">
        <f t="shared" si="20"/>
        <v>557842584.41999996</v>
      </c>
      <c r="T137" s="433">
        <f t="shared" si="21"/>
        <v>0.11580465101824748</v>
      </c>
    </row>
    <row r="138" spans="1:20">
      <c r="A138" s="116" t="str">
        <f t="shared" si="17"/>
        <v>421p</v>
      </c>
      <c r="B138" s="551" t="str">
        <f>+VLOOKUP(LEFT($A138,LEN(A138)-1)*1,[1]Master!$D$27:$G$225,4,FALSE)</f>
        <v>Prava iz oblasti socijalne zaštite</v>
      </c>
      <c r="C138" s="552"/>
      <c r="D138" s="552"/>
      <c r="E138" s="552"/>
      <c r="F138" s="552"/>
      <c r="G138" s="87">
        <f>SUM([1]DataEx!FF322)</f>
        <v>6747975.0000000028</v>
      </c>
      <c r="H138" s="87">
        <f>SUM([1]DataEx!FG322)</f>
        <v>6749275.0000000028</v>
      </c>
      <c r="I138" s="87">
        <f>SUM([1]DataEx!FH322)</f>
        <v>6749275.0000000028</v>
      </c>
      <c r="J138" s="87">
        <f>SUM([1]DataEx!FI322)</f>
        <v>6749275.0000000028</v>
      </c>
      <c r="K138" s="87">
        <f>SUM([1]DataEx!FJ322)</f>
        <v>6749275.0000000028</v>
      </c>
      <c r="L138" s="87">
        <f>SUM([1]DataEx!FK322)</f>
        <v>6749275.0000000028</v>
      </c>
      <c r="M138" s="87">
        <f>SUM([1]DataEx!FL322)</f>
        <v>6749275.0000000028</v>
      </c>
      <c r="N138" s="87">
        <f>SUM([1]DataEx!FM322)</f>
        <v>6749275.0000000028</v>
      </c>
      <c r="O138" s="87">
        <f>SUM([1]DataEx!FN322)</f>
        <v>6749275.0000000028</v>
      </c>
      <c r="P138" s="87">
        <f>SUM([1]DataEx!FO322)</f>
        <v>6749275.0000000028</v>
      </c>
      <c r="Q138" s="87">
        <f>SUM([1]DataEx!FP322)</f>
        <v>6749275.0000000028</v>
      </c>
      <c r="R138" s="87">
        <f>SUM([1]DataEx!FQ322)</f>
        <v>6749275.0000000028</v>
      </c>
      <c r="S138" s="419">
        <f t="shared" si="20"/>
        <v>80990000.000000015</v>
      </c>
      <c r="T138" s="432">
        <f t="shared" si="21"/>
        <v>1.6813020281912356E-2</v>
      </c>
    </row>
    <row r="139" spans="1:20">
      <c r="A139" s="116" t="str">
        <f t="shared" si="17"/>
        <v>422p</v>
      </c>
      <c r="B139" s="551" t="str">
        <f>+VLOOKUP(LEFT($A139,LEN(A139)-1)*1,[1]Master!$D$27:$G$225,4,FALSE)</f>
        <v>Sredstva za tehnološke viškove</v>
      </c>
      <c r="C139" s="552"/>
      <c r="D139" s="552"/>
      <c r="E139" s="552"/>
      <c r="F139" s="552"/>
      <c r="G139" s="87">
        <f>SUM([1]DataEx!FF330)</f>
        <v>1236031.8000000014</v>
      </c>
      <c r="H139" s="87">
        <f>SUM([1]DataEx!FG330)</f>
        <v>1236031.8699999999</v>
      </c>
      <c r="I139" s="87">
        <f>SUM([1]DataEx!FH330)</f>
        <v>1236031.8699999999</v>
      </c>
      <c r="J139" s="87">
        <f>SUM([1]DataEx!FI330)</f>
        <v>1236031.8699999999</v>
      </c>
      <c r="K139" s="87">
        <f>SUM([1]DataEx!FJ330)</f>
        <v>1236031.8699999999</v>
      </c>
      <c r="L139" s="87">
        <f>SUM([1]DataEx!FK330)</f>
        <v>1236031.8699999999</v>
      </c>
      <c r="M139" s="87">
        <f>SUM([1]DataEx!FL330)</f>
        <v>1236031.8699999999</v>
      </c>
      <c r="N139" s="87">
        <f>SUM([1]DataEx!FM330)</f>
        <v>1236031.8699999999</v>
      </c>
      <c r="O139" s="87">
        <f>SUM([1]DataEx!FN330)</f>
        <v>1236031.8699999999</v>
      </c>
      <c r="P139" s="87">
        <f>SUM([1]DataEx!FO330)</f>
        <v>2359394.0699999998</v>
      </c>
      <c r="Q139" s="87">
        <f>SUM([1]DataEx!FP330)</f>
        <v>2359394.0699999998</v>
      </c>
      <c r="R139" s="87">
        <f>SUM([1]DataEx!FQ330)</f>
        <v>2359394.0699999998</v>
      </c>
      <c r="S139" s="419">
        <f t="shared" si="20"/>
        <v>18202468.969999999</v>
      </c>
      <c r="T139" s="432">
        <f t="shared" si="21"/>
        <v>3.7787193477403416E-3</v>
      </c>
    </row>
    <row r="140" spans="1:20">
      <c r="A140" s="116" t="str">
        <f t="shared" si="17"/>
        <v>423p</v>
      </c>
      <c r="B140" s="551" t="str">
        <f>+VLOOKUP(LEFT($A140,LEN(A140)-1)*1,[1]Master!$D$27:$G$225,4,FALSE)</f>
        <v>Prava iz oblasti penzijskog i invalidskog osiguranja</v>
      </c>
      <c r="C140" s="552"/>
      <c r="D140" s="552"/>
      <c r="E140" s="552"/>
      <c r="F140" s="552"/>
      <c r="G140" s="87">
        <f>SUM([1]DataEx!FF336)</f>
        <v>35752084.619999975</v>
      </c>
      <c r="H140" s="87">
        <f>SUM([1]DataEx!FG336)</f>
        <v>35752084.530000001</v>
      </c>
      <c r="I140" s="87">
        <f>SUM([1]DataEx!FH336)</f>
        <v>35752084.530000001</v>
      </c>
      <c r="J140" s="87">
        <f>SUM([1]DataEx!FI336)</f>
        <v>35752084.530000001</v>
      </c>
      <c r="K140" s="87">
        <f>SUM([1]DataEx!FJ336)</f>
        <v>35752084.530000001</v>
      </c>
      <c r="L140" s="87">
        <f>SUM([1]DataEx!FK336)</f>
        <v>35752084.530000001</v>
      </c>
      <c r="M140" s="87">
        <f>SUM([1]DataEx!FL336)</f>
        <v>35752084.530000001</v>
      </c>
      <c r="N140" s="87">
        <f>SUM([1]DataEx!FM336)</f>
        <v>35752084.530000001</v>
      </c>
      <c r="O140" s="87">
        <f>SUM([1]DataEx!FN336)</f>
        <v>35752084.530000001</v>
      </c>
      <c r="P140" s="87">
        <f>SUM([1]DataEx!FO336)</f>
        <v>35752084.530000001</v>
      </c>
      <c r="Q140" s="87">
        <f>SUM([1]DataEx!FP336)</f>
        <v>35752084.530000001</v>
      </c>
      <c r="R140" s="87">
        <f>SUM([1]DataEx!FQ336)</f>
        <v>35752084.530000001</v>
      </c>
      <c r="S140" s="419">
        <f t="shared" si="20"/>
        <v>429025014.44999993</v>
      </c>
      <c r="T140" s="432">
        <f t="shared" si="21"/>
        <v>8.9062924674596727E-2</v>
      </c>
    </row>
    <row r="141" spans="1:20">
      <c r="A141" s="116" t="str">
        <f t="shared" si="17"/>
        <v>424p</v>
      </c>
      <c r="B141" s="551" t="str">
        <f>+VLOOKUP(LEFT($A141,LEN(A141)-1)*1,[1]Master!$D$27:$G$225,4,FALSE)</f>
        <v>Ostala prava iz oblasti zdravstvene zaštite</v>
      </c>
      <c r="C141" s="552"/>
      <c r="D141" s="552"/>
      <c r="E141" s="552"/>
      <c r="F141" s="552"/>
      <c r="G141" s="87">
        <f>SUM([1]DataEx!FF344)</f>
        <v>1583341.7399999984</v>
      </c>
      <c r="H141" s="87">
        <f>SUM([1]DataEx!FG344)</f>
        <v>1583341.6600000001</v>
      </c>
      <c r="I141" s="87">
        <f>SUM([1]DataEx!FH344)</f>
        <v>1583341.6600000001</v>
      </c>
      <c r="J141" s="87">
        <f>SUM([1]DataEx!FI344)</f>
        <v>1583341.6600000001</v>
      </c>
      <c r="K141" s="87">
        <f>SUM([1]DataEx!FJ344)</f>
        <v>1583341.6600000001</v>
      </c>
      <c r="L141" s="87">
        <f>SUM([1]DataEx!FK344)</f>
        <v>1583341.6600000001</v>
      </c>
      <c r="M141" s="87">
        <f>SUM([1]DataEx!FL344)</f>
        <v>1583341.6600000001</v>
      </c>
      <c r="N141" s="87">
        <f>SUM([1]DataEx!FM344)</f>
        <v>1583341.6600000001</v>
      </c>
      <c r="O141" s="87">
        <f>SUM([1]DataEx!FN344)</f>
        <v>1583341.6600000001</v>
      </c>
      <c r="P141" s="87">
        <f>SUM([1]DataEx!FO344)</f>
        <v>1583341.6600000001</v>
      </c>
      <c r="Q141" s="87">
        <f>SUM([1]DataEx!FP344)</f>
        <v>1583341.6600000001</v>
      </c>
      <c r="R141" s="87">
        <f>SUM([1]DataEx!FQ344)</f>
        <v>1583341.6600000001</v>
      </c>
      <c r="S141" s="419">
        <f t="shared" si="20"/>
        <v>19000100</v>
      </c>
      <c r="T141" s="432">
        <f t="shared" si="21"/>
        <v>3.9443025886944424E-3</v>
      </c>
    </row>
    <row r="142" spans="1:20">
      <c r="A142" s="116" t="str">
        <f t="shared" si="17"/>
        <v>425p</v>
      </c>
      <c r="B142" s="551" t="str">
        <f>+VLOOKUP(LEFT($A142,LEN(A142)-1)*1,[1]Master!$D$27:$G$225,4,FALSE)</f>
        <v>Ostala prava iz zdravstvenog osiguranja</v>
      </c>
      <c r="C142" s="552"/>
      <c r="D142" s="552"/>
      <c r="E142" s="552"/>
      <c r="F142" s="552"/>
      <c r="G142" s="87">
        <f>SUM([1]DataEx!FF346)</f>
        <v>885416.75</v>
      </c>
      <c r="H142" s="87">
        <f>SUM([1]DataEx!FG346)</f>
        <v>885416.75</v>
      </c>
      <c r="I142" s="87">
        <f>SUM([1]DataEx!FH346)</f>
        <v>885416.75</v>
      </c>
      <c r="J142" s="87">
        <f>SUM([1]DataEx!FI346)</f>
        <v>885416.75</v>
      </c>
      <c r="K142" s="87">
        <f>SUM([1]DataEx!FJ346)</f>
        <v>885416.75</v>
      </c>
      <c r="L142" s="87">
        <f>SUM([1]DataEx!FK346)</f>
        <v>885416.75</v>
      </c>
      <c r="M142" s="87">
        <f>SUM([1]DataEx!FL346)</f>
        <v>885416.75</v>
      </c>
      <c r="N142" s="87">
        <f>SUM([1]DataEx!FM346)</f>
        <v>885416.75</v>
      </c>
      <c r="O142" s="87">
        <f>SUM([1]DataEx!FN346)</f>
        <v>885416.75</v>
      </c>
      <c r="P142" s="87">
        <f>SUM([1]DataEx!FO346)</f>
        <v>885416.75</v>
      </c>
      <c r="Q142" s="87">
        <f>SUM([1]DataEx!FP346)</f>
        <v>885416.75</v>
      </c>
      <c r="R142" s="87">
        <f>SUM([1]DataEx!FQ346)</f>
        <v>885416.75</v>
      </c>
      <c r="S142" s="419">
        <f t="shared" si="20"/>
        <v>10625001</v>
      </c>
      <c r="T142" s="432">
        <f t="shared" si="21"/>
        <v>2.2056841253036059E-3</v>
      </c>
    </row>
    <row r="143" spans="1:20">
      <c r="A143" s="116" t="str">
        <f t="shared" si="17"/>
        <v>43p</v>
      </c>
      <c r="B143" s="576" t="str">
        <f>+VLOOKUP(LEFT($A143,LEN(A143)-1)*1,[1]Master!$D$27:$G$225,4,FALSE)</f>
        <v xml:space="preserve">Transferi institucijama, pojedincima, nevladinom i javnom sektoru </v>
      </c>
      <c r="C143" s="577"/>
      <c r="D143" s="577"/>
      <c r="E143" s="577"/>
      <c r="F143" s="577"/>
      <c r="G143" s="83">
        <f>SUM([1]DataEx!FF350)</f>
        <v>20338750.958333332</v>
      </c>
      <c r="H143" s="83">
        <f>SUM([1]DataEx!FG350)</f>
        <v>22018439.158333331</v>
      </c>
      <c r="I143" s="83">
        <f>SUM([1]DataEx!FH350)</f>
        <v>17975691.918333333</v>
      </c>
      <c r="J143" s="83">
        <f>SUM([1]DataEx!FI350)</f>
        <v>15972358.598333333</v>
      </c>
      <c r="K143" s="83">
        <f>SUM([1]DataEx!FJ350)</f>
        <v>15993608.598333333</v>
      </c>
      <c r="L143" s="83">
        <f>SUM([1]DataEx!FK350)</f>
        <v>16020602.668333333</v>
      </c>
      <c r="M143" s="83">
        <f>SUM([1]DataEx!FL350)</f>
        <v>22848909.595000003</v>
      </c>
      <c r="N143" s="83">
        <f>SUM([1]DataEx!FM350)</f>
        <v>17972208.524999999</v>
      </c>
      <c r="O143" s="83">
        <f>SUM([1]DataEx!FN350)</f>
        <v>17992208.524999999</v>
      </c>
      <c r="P143" s="83">
        <f>SUM([1]DataEx!FO350)</f>
        <v>17923875.184999999</v>
      </c>
      <c r="Q143" s="83">
        <f>SUM([1]DataEx!FP350)</f>
        <v>17866375.204999998</v>
      </c>
      <c r="R143" s="83">
        <f>SUM([1]DataEx!FQ350)</f>
        <v>18024758.024999999</v>
      </c>
      <c r="S143" s="420">
        <f>+SUM(G143:R143)</f>
        <v>220947786.96000001</v>
      </c>
      <c r="T143" s="433">
        <f t="shared" si="21"/>
        <v>4.5867386385999874E-2</v>
      </c>
    </row>
    <row r="144" spans="1:20">
      <c r="A144" s="116" t="str">
        <f t="shared" si="17"/>
        <v>44p</v>
      </c>
      <c r="B144" s="576" t="str">
        <f>+VLOOKUP(LEFT($A144,LEN(A144)-1)*1,[1]Master!$D$27:$G$225,4,FALSE)</f>
        <v>Kapitalni budžet</v>
      </c>
      <c r="C144" s="577"/>
      <c r="D144" s="577"/>
      <c r="E144" s="577"/>
      <c r="F144" s="577"/>
      <c r="G144" s="83">
        <f>SUM([1]DataEx!FF368)</f>
        <v>26743749.989999995</v>
      </c>
      <c r="H144" s="83">
        <f>SUM([1]DataEx!FG368)</f>
        <v>26743749.989999995</v>
      </c>
      <c r="I144" s="83">
        <f>SUM([1]DataEx!FH368)</f>
        <v>26743749.989999995</v>
      </c>
      <c r="J144" s="83">
        <f>SUM([1]DataEx!FI368)</f>
        <v>26743749.989999995</v>
      </c>
      <c r="K144" s="83">
        <f>SUM([1]DataEx!FJ368)</f>
        <v>26743749.989999995</v>
      </c>
      <c r="L144" s="83">
        <f>SUM([1]DataEx!FK368)</f>
        <v>26743749.989999995</v>
      </c>
      <c r="M144" s="83">
        <f>SUM([1]DataEx!FL368)</f>
        <v>26743749.989999995</v>
      </c>
      <c r="N144" s="83">
        <f>SUM([1]DataEx!FM368)</f>
        <v>26743749.989999995</v>
      </c>
      <c r="O144" s="83">
        <f>SUM([1]DataEx!FN368)</f>
        <v>26743749.989999995</v>
      </c>
      <c r="P144" s="83">
        <f>SUM([1]DataEx!FO368)</f>
        <v>26743749.989999995</v>
      </c>
      <c r="Q144" s="83">
        <f>SUM([1]DataEx!FP368)</f>
        <v>14243749.989999998</v>
      </c>
      <c r="R144" s="83">
        <f>SUM([1]DataEx!FQ368)</f>
        <v>14243750.109999999</v>
      </c>
      <c r="S144" s="420">
        <f t="shared" si="20"/>
        <v>295925000</v>
      </c>
      <c r="T144" s="433">
        <f t="shared" si="21"/>
        <v>6.1432189491602833E-2</v>
      </c>
    </row>
    <row r="145" spans="1:20">
      <c r="A145" s="116" t="str">
        <f t="shared" si="17"/>
        <v>451p</v>
      </c>
      <c r="B145" s="572" t="str">
        <f>+VLOOKUP(LEFT($A145,LEN(A145)-1)*1,[1]Master!$D$27:$G$225,4,FALSE)</f>
        <v>Pozajmice i krediti</v>
      </c>
      <c r="C145" s="573"/>
      <c r="D145" s="573"/>
      <c r="E145" s="573"/>
      <c r="F145" s="573"/>
      <c r="G145" s="87">
        <f>SUM([1]DataEx!FF379)</f>
        <v>190000.08333333334</v>
      </c>
      <c r="H145" s="87">
        <f>SUM([1]DataEx!FG379)</f>
        <v>190000.08333333334</v>
      </c>
      <c r="I145" s="87">
        <f>SUM([1]DataEx!FH379)</f>
        <v>190000.08333333334</v>
      </c>
      <c r="J145" s="87">
        <f>SUM([1]DataEx!FI379)</f>
        <v>190000.08333333334</v>
      </c>
      <c r="K145" s="87">
        <f>SUM([1]DataEx!FJ379)</f>
        <v>190000.08333333334</v>
      </c>
      <c r="L145" s="87">
        <f>SUM([1]DataEx!FK379)</f>
        <v>190000.08333333334</v>
      </c>
      <c r="M145" s="87">
        <f>SUM([1]DataEx!FL379)</f>
        <v>190000.08333333334</v>
      </c>
      <c r="N145" s="87">
        <f>SUM([1]DataEx!FM379)</f>
        <v>190000.08333333334</v>
      </c>
      <c r="O145" s="87">
        <f>SUM([1]DataEx!FN379)</f>
        <v>190000.08333333334</v>
      </c>
      <c r="P145" s="87">
        <f>SUM([1]DataEx!FO379)</f>
        <v>190000.08333333334</v>
      </c>
      <c r="Q145" s="87">
        <f>SUM([1]DataEx!FP379)</f>
        <v>190000.08333333334</v>
      </c>
      <c r="R145" s="87">
        <f>SUM([1]DataEx!FQ379)</f>
        <v>190000.08333333334</v>
      </c>
      <c r="S145" s="419">
        <f t="shared" si="20"/>
        <v>2280000.9999999995</v>
      </c>
      <c r="T145" s="432">
        <f t="shared" si="21"/>
        <v>4.7331402711174765E-4</v>
      </c>
    </row>
    <row r="146" spans="1:20">
      <c r="A146" s="116" t="str">
        <f t="shared" si="17"/>
        <v>47p</v>
      </c>
      <c r="B146" s="572" t="str">
        <f>+VLOOKUP(LEFT($A146,LEN(A146)-1)*1,[1]Master!$D$27:$G$225,4,FALSE)</f>
        <v>Rezerve</v>
      </c>
      <c r="C146" s="573"/>
      <c r="D146" s="573"/>
      <c r="E146" s="573"/>
      <c r="F146" s="573"/>
      <c r="G146" s="87">
        <f>SUM([1]DataEx!FF394)</f>
        <v>1650583.3333333333</v>
      </c>
      <c r="H146" s="87">
        <f>SUM([1]DataEx!FG394)</f>
        <v>1843583.3333333333</v>
      </c>
      <c r="I146" s="87">
        <f>SUM([1]DataEx!FH394)</f>
        <v>1650583.3333333333</v>
      </c>
      <c r="J146" s="87">
        <f>SUM([1]DataEx!FI394)</f>
        <v>1650583.3333333333</v>
      </c>
      <c r="K146" s="87">
        <f>SUM([1]DataEx!FJ394)</f>
        <v>1650583.3333333333</v>
      </c>
      <c r="L146" s="87">
        <f>SUM([1]DataEx!FK394)</f>
        <v>1650583.3333333333</v>
      </c>
      <c r="M146" s="87">
        <f>SUM([1]DataEx!FL394)</f>
        <v>4650583.3333333302</v>
      </c>
      <c r="N146" s="87">
        <f>SUM([1]DataEx!FM394)</f>
        <v>1650583.3333333333</v>
      </c>
      <c r="O146" s="87">
        <f>SUM([1]DataEx!FN394)</f>
        <v>1650583.3333333333</v>
      </c>
      <c r="P146" s="87">
        <f>SUM([1]DataEx!FO394)</f>
        <v>2317250</v>
      </c>
      <c r="Q146" s="87">
        <f>SUM([1]DataEx!FP394)</f>
        <v>2317250</v>
      </c>
      <c r="R146" s="87">
        <f>SUM([1]DataEx!FQ394)</f>
        <v>2317250</v>
      </c>
      <c r="S146" s="419">
        <f t="shared" si="20"/>
        <v>24999999.999999996</v>
      </c>
      <c r="T146" s="432">
        <f t="shared" si="21"/>
        <v>5.1898445122584118E-3</v>
      </c>
    </row>
    <row r="147" spans="1:20">
      <c r="A147" s="116" t="str">
        <f t="shared" si="17"/>
        <v>462p</v>
      </c>
      <c r="B147" s="572" t="str">
        <f>+VLOOKUP(LEFT($A147,LEN(A147)-1)*1,[1]Master!$D$27:$G$225,4,FALSE)</f>
        <v>Otplata garancija</v>
      </c>
      <c r="C147" s="573"/>
      <c r="D147" s="573"/>
      <c r="E147" s="573"/>
      <c r="F147" s="573"/>
      <c r="G147" s="87">
        <f>SUM([1]DataEx!FF390)</f>
        <v>2253720.0299999998</v>
      </c>
      <c r="H147" s="87">
        <f>SUM([1]DataEx!FG390)</f>
        <v>0</v>
      </c>
      <c r="I147" s="87">
        <f>SUM([1]DataEx!FH390)</f>
        <v>7180952.3800000008</v>
      </c>
      <c r="J147" s="87">
        <f>SUM([1]DataEx!FI390)</f>
        <v>0</v>
      </c>
      <c r="K147" s="87">
        <f>SUM([1]DataEx!FJ390)</f>
        <v>0</v>
      </c>
      <c r="L147" s="87">
        <f>SUM([1]DataEx!FK390)</f>
        <v>0</v>
      </c>
      <c r="M147" s="87">
        <f>SUM([1]DataEx!FL390)</f>
        <v>0</v>
      </c>
      <c r="N147" s="87">
        <f>SUM([1]DataEx!FM390)</f>
        <v>0</v>
      </c>
      <c r="O147" s="87">
        <f>SUM([1]DataEx!FN390)</f>
        <v>0</v>
      </c>
      <c r="P147" s="87">
        <f>SUM([1]DataEx!FO390)</f>
        <v>0</v>
      </c>
      <c r="Q147" s="87">
        <f>SUM([1]DataEx!FP390)</f>
        <v>0</v>
      </c>
      <c r="R147" s="87">
        <f>SUM([1]DataEx!FQ390)</f>
        <v>0</v>
      </c>
      <c r="S147" s="419">
        <f t="shared" si="20"/>
        <v>9434672.4100000001</v>
      </c>
      <c r="T147" s="432">
        <f t="shared" si="21"/>
        <v>1.9585793132797743E-3</v>
      </c>
    </row>
    <row r="148" spans="1:20">
      <c r="A148" s="117" t="str">
        <f>+CONCATENATE(A53,"p")</f>
        <v>4630p</v>
      </c>
      <c r="B148" s="572" t="str">
        <f>+VLOOKUP(LEFT($A148,LEN(A148)-1)*1,[1]Master!$D$27:$G$225,4,FALSE)</f>
        <v>Otplata obaveza iz prethodnih godina</v>
      </c>
      <c r="C148" s="573"/>
      <c r="D148" s="573"/>
      <c r="E148" s="573"/>
      <c r="F148" s="573"/>
      <c r="G148" s="96">
        <f>SUM([1]DataEx!FF393)</f>
        <v>1281814.4500000002</v>
      </c>
      <c r="H148" s="96">
        <f>SUM([1]DataEx!FG393)</f>
        <v>1266814.4500000002</v>
      </c>
      <c r="I148" s="96">
        <f>SUM([1]DataEx!FH393)</f>
        <v>1451704.4</v>
      </c>
      <c r="J148" s="96">
        <f>SUM([1]DataEx!FI393)</f>
        <v>1544149.3599999999</v>
      </c>
      <c r="K148" s="96">
        <f>SUM([1]DataEx!FJ393)</f>
        <v>1677270.12</v>
      </c>
      <c r="L148" s="96">
        <f>SUM([1]DataEx!FK393)</f>
        <v>1669874.52</v>
      </c>
      <c r="M148" s="96">
        <f>SUM([1]DataEx!FL393)</f>
        <v>1839973.2600000002</v>
      </c>
      <c r="N148" s="96">
        <f>SUM([1]DataEx!FM393)</f>
        <v>1832577.67</v>
      </c>
      <c r="O148" s="96">
        <f>SUM([1]DataEx!FN393)</f>
        <v>1610709.73</v>
      </c>
      <c r="P148" s="96">
        <f>SUM([1]DataEx!FO393)</f>
        <v>1374050.6099999999</v>
      </c>
      <c r="Q148" s="96">
        <f>SUM([1]DataEx!FP393)</f>
        <v>1448006.5899999999</v>
      </c>
      <c r="R148" s="96">
        <f>SUM([1]DataEx!FQ393)</f>
        <v>1533053.84</v>
      </c>
      <c r="S148" s="424">
        <f>+SUM(G148:R148)</f>
        <v>18529999</v>
      </c>
      <c r="T148" s="437">
        <f>+S148/$T$7</f>
        <v>3.8467125448921552E-3</v>
      </c>
    </row>
    <row r="149" spans="1:20" ht="13.5" thickBot="1">
      <c r="A149" s="116"/>
      <c r="B149" s="586" t="s">
        <v>688</v>
      </c>
      <c r="C149" s="587"/>
      <c r="D149" s="587"/>
      <c r="E149" s="587"/>
      <c r="F149" s="587"/>
      <c r="G149" s="87">
        <f>SUM([1]DataEx!FF382)</f>
        <v>0</v>
      </c>
      <c r="H149" s="87">
        <f>SUM([1]DataEx!FG382)</f>
        <v>0</v>
      </c>
      <c r="I149" s="87">
        <f>SUM([1]DataEx!FH382)</f>
        <v>0</v>
      </c>
      <c r="J149" s="87">
        <f>SUM([1]DataEx!FI382)</f>
        <v>0</v>
      </c>
      <c r="K149" s="87">
        <f>SUM([1]DataEx!FJ382)</f>
        <v>0</v>
      </c>
      <c r="L149" s="87">
        <f>SUM([1]DataEx!FK382)</f>
        <v>0</v>
      </c>
      <c r="M149" s="87">
        <f>SUM([1]DataEx!FL382)</f>
        <v>0</v>
      </c>
      <c r="N149" s="87">
        <f>SUM([1]DataEx!FM382)</f>
        <v>0</v>
      </c>
      <c r="O149" s="87">
        <f>SUM([1]DataEx!FN382)</f>
        <v>0</v>
      </c>
      <c r="P149" s="87">
        <f>SUM([1]DataEx!FO382)</f>
        <v>0</v>
      </c>
      <c r="Q149" s="87">
        <f>SUM([1]DataEx!FP382)</f>
        <v>0</v>
      </c>
      <c r="R149" s="87">
        <f>SUM([1]DataEx!FQ382)</f>
        <v>0</v>
      </c>
      <c r="S149" s="410">
        <f>SUM(G149:R149)</f>
        <v>0</v>
      </c>
      <c r="T149" s="395">
        <f t="shared" si="21"/>
        <v>0</v>
      </c>
    </row>
    <row r="150" spans="1:20" ht="13.5" thickBot="1">
      <c r="A150" s="117" t="str">
        <f>+CONCATENATE(A55,"p")</f>
        <v>1000p</v>
      </c>
      <c r="B150" s="574" t="str">
        <f>+VLOOKUP(LEFT($A150,LEN(A150)-1)*1,[1]Master!$D$27:$G$225,4,FALSE)</f>
        <v>Suficit / deficit</v>
      </c>
      <c r="C150" s="575"/>
      <c r="D150" s="575"/>
      <c r="E150" s="575"/>
      <c r="F150" s="575"/>
      <c r="G150" s="93">
        <f t="shared" ref="G150:R150" si="27">+G105-G124</f>
        <v>-62417951.607499987</v>
      </c>
      <c r="H150" s="93">
        <f t="shared" si="27"/>
        <v>-46574191.55749999</v>
      </c>
      <c r="I150" s="93">
        <f t="shared" si="27"/>
        <v>-48206287.017500013</v>
      </c>
      <c r="J150" s="93">
        <f t="shared" si="27"/>
        <v>-7552535.5874999762</v>
      </c>
      <c r="K150" s="93">
        <f t="shared" si="27"/>
        <v>-23536603.497500032</v>
      </c>
      <c r="L150" s="93">
        <f t="shared" si="27"/>
        <v>-15244934.667500019</v>
      </c>
      <c r="M150" s="93">
        <f t="shared" si="27"/>
        <v>-9956542.8029392064</v>
      </c>
      <c r="N150" s="93">
        <f t="shared" si="27"/>
        <v>7106786.3305667937</v>
      </c>
      <c r="O150" s="93">
        <f t="shared" si="27"/>
        <v>-9808009.6425497532</v>
      </c>
      <c r="P150" s="93">
        <f t="shared" si="27"/>
        <v>29894513.576703846</v>
      </c>
      <c r="Q150" s="93">
        <f t="shared" si="27"/>
        <v>-3563061.4788611233</v>
      </c>
      <c r="R150" s="93">
        <f t="shared" si="27"/>
        <v>47260753.315640002</v>
      </c>
      <c r="S150" s="425">
        <f t="shared" si="20"/>
        <v>-142598064.63643947</v>
      </c>
      <c r="T150" s="438">
        <f t="shared" si="21"/>
        <v>-2.9602471328483832E-2</v>
      </c>
    </row>
    <row r="151" spans="1:20" ht="13.5" thickBot="1">
      <c r="A151" s="117" t="str">
        <f>+CONCATENATE(A56,"p")</f>
        <v>1001p</v>
      </c>
      <c r="B151" s="580" t="str">
        <f>+VLOOKUP(LEFT($A151,LEN(A151)-1)*1,[1]Master!$D$27:$G$225,4,FALSE)</f>
        <v>Primarni bilans</v>
      </c>
      <c r="C151" s="581"/>
      <c r="D151" s="581"/>
      <c r="E151" s="581"/>
      <c r="F151" s="581"/>
      <c r="G151" s="94">
        <f t="shared" ref="G151:R151" si="28">+G150+G132</f>
        <v>-54437226.607499987</v>
      </c>
      <c r="H151" s="94">
        <f t="shared" si="28"/>
        <v>-45587471.597499989</v>
      </c>
      <c r="I151" s="94">
        <f t="shared" si="28"/>
        <v>-20104787.917500012</v>
      </c>
      <c r="J151" s="94">
        <f t="shared" si="28"/>
        <v>10947196.512500025</v>
      </c>
      <c r="K151" s="94">
        <f t="shared" si="28"/>
        <v>-9490767.2275000308</v>
      </c>
      <c r="L151" s="94">
        <f t="shared" si="28"/>
        <v>-13271132.007500019</v>
      </c>
      <c r="M151" s="94">
        <f t="shared" si="28"/>
        <v>-1192067.0129392073</v>
      </c>
      <c r="N151" s="94">
        <f t="shared" si="28"/>
        <v>8403992.4705667943</v>
      </c>
      <c r="O151" s="94">
        <f t="shared" si="28"/>
        <v>-6667683.8425497524</v>
      </c>
      <c r="P151" s="94">
        <f t="shared" si="28"/>
        <v>31215805.656703848</v>
      </c>
      <c r="Q151" s="94">
        <f t="shared" si="28"/>
        <v>4240675.8511388777</v>
      </c>
      <c r="R151" s="94">
        <f t="shared" si="28"/>
        <v>49098101.085640006</v>
      </c>
      <c r="S151" s="425">
        <f t="shared" si="20"/>
        <v>-46845364.63643948</v>
      </c>
      <c r="T151" s="438">
        <f t="shared" si="21"/>
        <v>-9.7248063433267896E-3</v>
      </c>
    </row>
    <row r="152" spans="1:20">
      <c r="A152" s="117" t="str">
        <f>+CONCATENATE(A57,"p")</f>
        <v>46p</v>
      </c>
      <c r="B152" s="570" t="str">
        <f>+VLOOKUP(LEFT($A152,LEN(A152)-1)*1,[1]Master!$D$27:$G$225,4,FALSE)</f>
        <v>Otplata dugova</v>
      </c>
      <c r="C152" s="571"/>
      <c r="D152" s="571"/>
      <c r="E152" s="571"/>
      <c r="F152" s="571"/>
      <c r="G152" s="84">
        <f t="shared" ref="G152:R152" si="29">+SUM(G153:G154)</f>
        <v>1718363.6600000001</v>
      </c>
      <c r="H152" s="84">
        <f t="shared" si="29"/>
        <v>3362692.9499999997</v>
      </c>
      <c r="I152" s="84">
        <f t="shared" si="29"/>
        <v>17620925.690000001</v>
      </c>
      <c r="J152" s="84">
        <f t="shared" si="29"/>
        <v>21217195.289999999</v>
      </c>
      <c r="K152" s="84">
        <f t="shared" si="29"/>
        <v>181489557.88</v>
      </c>
      <c r="L152" s="84">
        <f t="shared" si="29"/>
        <v>16844785.800000001</v>
      </c>
      <c r="M152" s="84">
        <f t="shared" si="29"/>
        <v>61721044.270000003</v>
      </c>
      <c r="N152" s="84">
        <f t="shared" si="29"/>
        <v>13754741.09</v>
      </c>
      <c r="O152" s="84">
        <f t="shared" si="29"/>
        <v>17831317.309999999</v>
      </c>
      <c r="P152" s="84">
        <f t="shared" si="29"/>
        <v>6151156.2299999995</v>
      </c>
      <c r="Q152" s="84">
        <f t="shared" si="29"/>
        <v>10176505.869999999</v>
      </c>
      <c r="R152" s="84">
        <f t="shared" si="29"/>
        <v>21711713.960000001</v>
      </c>
      <c r="S152" s="426">
        <f t="shared" si="20"/>
        <v>373600000</v>
      </c>
      <c r="T152" s="439">
        <f t="shared" si="21"/>
        <v>7.7557036391189715E-2</v>
      </c>
    </row>
    <row r="153" spans="1:20">
      <c r="A153" s="117" t="str">
        <f>+CONCATENATE(A58,"p")</f>
        <v>4611p</v>
      </c>
      <c r="B153" s="578" t="str">
        <f>+VLOOKUP(LEFT($A153,LEN(A153)-1)*1,[1]Master!$D$27:$G$225,4,FALSE)</f>
        <v>Otplata hartija od vrijednosti i kredita rezidentima</v>
      </c>
      <c r="C153" s="579"/>
      <c r="D153" s="579"/>
      <c r="E153" s="579"/>
      <c r="F153" s="579"/>
      <c r="G153" s="96">
        <f>SUM([1]DataEx!FF388)</f>
        <v>84944.84</v>
      </c>
      <c r="H153" s="96">
        <f>SUM([1]DataEx!FG388)</f>
        <v>835385.84</v>
      </c>
      <c r="I153" s="96">
        <f>SUM([1]DataEx!FH388)</f>
        <v>1812259.88</v>
      </c>
      <c r="J153" s="96">
        <f>SUM([1]DataEx!FI388)</f>
        <v>4541832.53</v>
      </c>
      <c r="K153" s="96">
        <f>SUM([1]DataEx!FJ388)</f>
        <v>2836722.65</v>
      </c>
      <c r="L153" s="96">
        <f>SUM([1]DataEx!FK388)</f>
        <v>7054086.1200000001</v>
      </c>
      <c r="M153" s="96">
        <f>SUM([1]DataEx!FL388)</f>
        <v>87625.45</v>
      </c>
      <c r="N153" s="96">
        <f>SUM([1]DataEx!FM388)</f>
        <v>10838080.380000001</v>
      </c>
      <c r="O153" s="96">
        <f>SUM([1]DataEx!FN388)</f>
        <v>1831359.63</v>
      </c>
      <c r="P153" s="96">
        <f>SUM([1]DataEx!FO388)</f>
        <v>1571862.21</v>
      </c>
      <c r="Q153" s="96">
        <f>SUM([1]DataEx!FP388)</f>
        <v>839459.36</v>
      </c>
      <c r="R153" s="96">
        <f>SUM([1]DataEx!FQ388)</f>
        <v>11766381.15</v>
      </c>
      <c r="S153" s="424">
        <f t="shared" si="20"/>
        <v>44100000.039999999</v>
      </c>
      <c r="T153" s="437">
        <f t="shared" si="21"/>
        <v>9.1548857279275912E-3</v>
      </c>
    </row>
    <row r="154" spans="1:20" ht="13.5" thickBot="1">
      <c r="A154" s="117" t="str">
        <f>+CONCATENATE(A59,"p")</f>
        <v>4612p</v>
      </c>
      <c r="B154" s="572" t="str">
        <f>+VLOOKUP(LEFT($A154,LEN(A154)-1)*1,[1]Master!$D$27:$G$225,4,FALSE)</f>
        <v>Otplata hartija od vrijednosti i kredita nerezidentima</v>
      </c>
      <c r="C154" s="573"/>
      <c r="D154" s="573"/>
      <c r="E154" s="573"/>
      <c r="F154" s="573"/>
      <c r="G154" s="96">
        <f>SUM([1]DataEx!FF389)</f>
        <v>1633418.82</v>
      </c>
      <c r="H154" s="96">
        <f>SUM([1]DataEx!FG389)</f>
        <v>2527307.11</v>
      </c>
      <c r="I154" s="96">
        <f>SUM([1]DataEx!FH389)</f>
        <v>15808665.810000001</v>
      </c>
      <c r="J154" s="96">
        <f>SUM([1]DataEx!FI389)</f>
        <v>16675362.76</v>
      </c>
      <c r="K154" s="96">
        <f>SUM([1]DataEx!FJ389)</f>
        <v>178652835.22999999</v>
      </c>
      <c r="L154" s="96">
        <f>SUM([1]DataEx!FK389)</f>
        <v>9790699.6799999997</v>
      </c>
      <c r="M154" s="96">
        <f>SUM([1]DataEx!FL389)</f>
        <v>61633418.82</v>
      </c>
      <c r="N154" s="96">
        <f>SUM([1]DataEx!FM389)</f>
        <v>2916660.71</v>
      </c>
      <c r="O154" s="96">
        <f>SUM([1]DataEx!FN389)</f>
        <v>15999957.68</v>
      </c>
      <c r="P154" s="96">
        <f>SUM([1]DataEx!FO389)</f>
        <v>4579294.0199999996</v>
      </c>
      <c r="Q154" s="96">
        <f>SUM([1]DataEx!FP389)</f>
        <v>9337046.5099999998</v>
      </c>
      <c r="R154" s="96">
        <f>SUM([1]DataEx!FQ389)</f>
        <v>9945332.8100000005</v>
      </c>
      <c r="S154" s="424">
        <f t="shared" si="20"/>
        <v>329499999.95999998</v>
      </c>
      <c r="T154" s="437">
        <f t="shared" si="21"/>
        <v>6.8402150663262121E-2</v>
      </c>
    </row>
    <row r="155" spans="1:20" ht="13.5" thickBot="1">
      <c r="A155" s="117"/>
      <c r="B155" s="486" t="s">
        <v>773</v>
      </c>
      <c r="C155" s="487"/>
      <c r="D155" s="487"/>
      <c r="E155" s="487"/>
      <c r="F155" s="487"/>
      <c r="G155" s="94">
        <f>+[1]DataEx!FF377</f>
        <v>26666.67</v>
      </c>
      <c r="H155" s="94">
        <f>+[1]DataEx!FG377</f>
        <v>26666.67</v>
      </c>
      <c r="I155" s="94">
        <f>+[1]DataEx!FH377</f>
        <v>26666.67</v>
      </c>
      <c r="J155" s="94">
        <f>+[1]DataEx!FI377</f>
        <v>39926666.670000002</v>
      </c>
      <c r="K155" s="94">
        <f>+[1]DataEx!FJ377</f>
        <v>26666.67</v>
      </c>
      <c r="L155" s="94">
        <f>+[1]DataEx!FK377</f>
        <v>26666.67</v>
      </c>
      <c r="M155" s="94">
        <f>+[1]DataEx!FL377</f>
        <v>26666.67</v>
      </c>
      <c r="N155" s="94">
        <f>+[1]DataEx!FM377</f>
        <v>26666.67</v>
      </c>
      <c r="O155" s="94">
        <f>+[1]DataEx!FN377</f>
        <v>26666.67</v>
      </c>
      <c r="P155" s="94">
        <f>+[1]DataEx!FO377</f>
        <v>26666.67</v>
      </c>
      <c r="Q155" s="94">
        <f>+[1]DataEx!FP377</f>
        <v>26666.67</v>
      </c>
      <c r="R155" s="94">
        <f>+[1]DataEx!FQ377</f>
        <v>26666.63</v>
      </c>
      <c r="S155" s="425">
        <f t="shared" si="20"/>
        <v>40220000.000000015</v>
      </c>
      <c r="T155" s="438">
        <f t="shared" si="21"/>
        <v>8.3494218513213373E-3</v>
      </c>
    </row>
    <row r="156" spans="1:20" ht="13.5" thickBot="1">
      <c r="A156" s="117" t="str">
        <f t="shared" ref="A156:A161" si="30">+CONCATENATE(A61,"p")</f>
        <v>1002p</v>
      </c>
      <c r="B156" s="582" t="str">
        <f>+VLOOKUP(LEFT($A156,LEN(A156)-1)*1,[1]Master!$D$27:$G$225,4,FALSE)</f>
        <v>Nedostajuća sredstva</v>
      </c>
      <c r="C156" s="583"/>
      <c r="D156" s="583"/>
      <c r="E156" s="583"/>
      <c r="F156" s="583"/>
      <c r="G156" s="77">
        <f t="shared" ref="G156:R156" si="31">+G150-G152-G155</f>
        <v>-64162981.937499985</v>
      </c>
      <c r="H156" s="77">
        <f t="shared" si="31"/>
        <v>-49963551.177499995</v>
      </c>
      <c r="I156" s="77">
        <f t="shared" si="31"/>
        <v>-65853879.377500013</v>
      </c>
      <c r="J156" s="77">
        <f t="shared" si="31"/>
        <v>-68696397.547499985</v>
      </c>
      <c r="K156" s="77">
        <f t="shared" si="31"/>
        <v>-205052828.04750001</v>
      </c>
      <c r="L156" s="77">
        <f t="shared" si="31"/>
        <v>-32116387.137500022</v>
      </c>
      <c r="M156" s="77">
        <f t="shared" si="31"/>
        <v>-71704253.742939219</v>
      </c>
      <c r="N156" s="77">
        <f t="shared" si="31"/>
        <v>-6674621.4294332061</v>
      </c>
      <c r="O156" s="77">
        <f t="shared" si="31"/>
        <v>-27665993.622549754</v>
      </c>
      <c r="P156" s="77">
        <f t="shared" si="31"/>
        <v>23716690.676703844</v>
      </c>
      <c r="Q156" s="77">
        <f t="shared" si="31"/>
        <v>-13766234.018861122</v>
      </c>
      <c r="R156" s="77">
        <f t="shared" si="31"/>
        <v>25522372.725640003</v>
      </c>
      <c r="S156" s="427">
        <f t="shared" si="20"/>
        <v>-556418064.63643956</v>
      </c>
      <c r="T156" s="440">
        <f t="shared" si="21"/>
        <v>-0.1155089295709949</v>
      </c>
    </row>
    <row r="157" spans="1:20" ht="13.5" thickBot="1">
      <c r="A157" s="117" t="str">
        <f t="shared" si="30"/>
        <v>1003p</v>
      </c>
      <c r="B157" s="566" t="str">
        <f>+VLOOKUP(LEFT($A157,LEN(A157)-1)*1,[1]Master!$D$27:$G$225,4,FALSE)</f>
        <v>Finansiranje</v>
      </c>
      <c r="C157" s="567"/>
      <c r="D157" s="567"/>
      <c r="E157" s="567"/>
      <c r="F157" s="567"/>
      <c r="G157" s="93">
        <f t="shared" ref="G157:R157" si="32">+SUM(G158:G161)</f>
        <v>64162981.937499985</v>
      </c>
      <c r="H157" s="93">
        <f t="shared" si="32"/>
        <v>49963551.177499995</v>
      </c>
      <c r="I157" s="93">
        <f t="shared" si="32"/>
        <v>65853879.377500013</v>
      </c>
      <c r="J157" s="93">
        <f t="shared" si="32"/>
        <v>68696397.547499985</v>
      </c>
      <c r="K157" s="93">
        <f t="shared" si="32"/>
        <v>205052828.04750001</v>
      </c>
      <c r="L157" s="93">
        <f t="shared" si="32"/>
        <v>32116387.137500022</v>
      </c>
      <c r="M157" s="93">
        <f t="shared" si="32"/>
        <v>71704253.742939219</v>
      </c>
      <c r="N157" s="93">
        <f t="shared" si="32"/>
        <v>6674621.4294332061</v>
      </c>
      <c r="O157" s="93">
        <f t="shared" si="32"/>
        <v>27665993.622549754</v>
      </c>
      <c r="P157" s="93">
        <f t="shared" si="32"/>
        <v>-23716690.67670384</v>
      </c>
      <c r="Q157" s="93">
        <f t="shared" si="32"/>
        <v>13766234.018861122</v>
      </c>
      <c r="R157" s="93">
        <f t="shared" si="32"/>
        <v>-25522372.725640006</v>
      </c>
      <c r="S157" s="428">
        <f t="shared" si="20"/>
        <v>556418064.63643956</v>
      </c>
      <c r="T157" s="441">
        <f t="shared" si="21"/>
        <v>0.1155089295709949</v>
      </c>
    </row>
    <row r="158" spans="1:20">
      <c r="A158" s="117" t="str">
        <f t="shared" si="30"/>
        <v>7511p</v>
      </c>
      <c r="B158" s="578" t="str">
        <f>+VLOOKUP(LEFT($A158,LEN(A158)-1)*1,[1]Master!$D$27:$G$225,4,FALSE)</f>
        <v>Pozajmice i krediti od domaćih izvora</v>
      </c>
      <c r="C158" s="579"/>
      <c r="D158" s="579"/>
      <c r="E158" s="579"/>
      <c r="F158" s="579"/>
      <c r="G158" s="96">
        <f>+[1]DataEx!FF261</f>
        <v>0</v>
      </c>
      <c r="H158" s="96">
        <f>+[1]DataEx!FG261</f>
        <v>0</v>
      </c>
      <c r="I158" s="96">
        <f>+[1]DataEx!FH261</f>
        <v>95000000</v>
      </c>
      <c r="J158" s="96">
        <f>+[1]DataEx!FI261</f>
        <v>0</v>
      </c>
      <c r="K158" s="96">
        <f>+[1]DataEx!FJ261</f>
        <v>95000000</v>
      </c>
      <c r="L158" s="96">
        <f>+[1]DataEx!FK261</f>
        <v>0</v>
      </c>
      <c r="M158" s="96">
        <f>+[1]DataEx!FL261</f>
        <v>0</v>
      </c>
      <c r="N158" s="96">
        <f>+[1]DataEx!FM261</f>
        <v>0</v>
      </c>
      <c r="O158" s="96">
        <f>+[1]DataEx!FN261</f>
        <v>0</v>
      </c>
      <c r="P158" s="96">
        <f>+[1]DataEx!FO261</f>
        <v>0</v>
      </c>
      <c r="Q158" s="96">
        <f>+[1]DataEx!FP261</f>
        <v>0</v>
      </c>
      <c r="R158" s="96">
        <f>+[1]DataEx!FQ261</f>
        <v>0</v>
      </c>
      <c r="S158" s="424">
        <f t="shared" si="20"/>
        <v>190000000</v>
      </c>
      <c r="T158" s="437">
        <f t="shared" si="21"/>
        <v>3.9442818293163935E-2</v>
      </c>
    </row>
    <row r="159" spans="1:20">
      <c r="A159" s="117" t="str">
        <f t="shared" si="30"/>
        <v>7512p</v>
      </c>
      <c r="B159" s="572" t="str">
        <f>+VLOOKUP(LEFT($A159,LEN(A159)-1)*1,[1]Master!$D$27:$G$225,4,FALSE)</f>
        <v>Pozajmice i krediti od inostranih izvora</v>
      </c>
      <c r="C159" s="573"/>
      <c r="D159" s="573"/>
      <c r="E159" s="573"/>
      <c r="F159" s="573"/>
      <c r="G159" s="96">
        <f>+[1]DataEx!FF262</f>
        <v>24022843.850000001</v>
      </c>
      <c r="H159" s="96">
        <f>+[1]DataEx!FG262</f>
        <v>0</v>
      </c>
      <c r="I159" s="96">
        <f>+[1]DataEx!FH262</f>
        <v>12399337.390000001</v>
      </c>
      <c r="J159" s="96">
        <f>+[1]DataEx!FI262</f>
        <v>15000000</v>
      </c>
      <c r="K159" s="96">
        <f>+[1]DataEx!FJ262</f>
        <v>17000000</v>
      </c>
      <c r="L159" s="96">
        <f>+[1]DataEx!FK262</f>
        <v>17000000</v>
      </c>
      <c r="M159" s="96">
        <f>+[1]DataEx!FL262</f>
        <v>17000000</v>
      </c>
      <c r="N159" s="96">
        <f>+[1]DataEx!FM262</f>
        <v>15000000</v>
      </c>
      <c r="O159" s="96">
        <f>+[1]DataEx!FN262</f>
        <v>17000000</v>
      </c>
      <c r="P159" s="96">
        <f>+[1]DataEx!FO262</f>
        <v>17000000</v>
      </c>
      <c r="Q159" s="96">
        <f>+[1]DataEx!FP262</f>
        <v>15000000</v>
      </c>
      <c r="R159" s="96">
        <f>+[1]DataEx!FQ262</f>
        <v>13983087.501553783</v>
      </c>
      <c r="S159" s="424">
        <f t="shared" si="20"/>
        <v>180405268.74155378</v>
      </c>
      <c r="T159" s="437">
        <f t="shared" si="21"/>
        <v>3.745101175843428E-2</v>
      </c>
    </row>
    <row r="160" spans="1:20">
      <c r="A160" s="117" t="str">
        <f t="shared" si="30"/>
        <v>72p</v>
      </c>
      <c r="B160" s="572" t="str">
        <f>+VLOOKUP(LEFT($A160,LEN(A160)-1)*1,[1]Master!$D$27:$G$225,4,FALSE)</f>
        <v>Primici od prodaje imovine</v>
      </c>
      <c r="C160" s="573"/>
      <c r="D160" s="573"/>
      <c r="E160" s="573"/>
      <c r="F160" s="573"/>
      <c r="G160" s="96">
        <f>+[1]DataEx!FF250</f>
        <v>500000</v>
      </c>
      <c r="H160" s="96">
        <f>+[1]DataEx!FG250</f>
        <v>500000</v>
      </c>
      <c r="I160" s="96">
        <f>+[1]DataEx!FH250</f>
        <v>500000</v>
      </c>
      <c r="J160" s="96">
        <f>+[1]DataEx!FI250</f>
        <v>500000</v>
      </c>
      <c r="K160" s="96">
        <f>+[1]DataEx!FJ250</f>
        <v>500000</v>
      </c>
      <c r="L160" s="96">
        <f>+[1]DataEx!FK250</f>
        <v>500000</v>
      </c>
      <c r="M160" s="96">
        <f>+[1]DataEx!FL250</f>
        <v>500000</v>
      </c>
      <c r="N160" s="96">
        <f>+[1]DataEx!FM250</f>
        <v>500000</v>
      </c>
      <c r="O160" s="96">
        <f>+[1]DataEx!FN250</f>
        <v>500000</v>
      </c>
      <c r="P160" s="96">
        <f>+[1]DataEx!FO250</f>
        <v>500000</v>
      </c>
      <c r="Q160" s="96">
        <f>+[1]DataEx!FP250</f>
        <v>500000</v>
      </c>
      <c r="R160" s="96">
        <f>+[1]DataEx!FQ250</f>
        <v>500000</v>
      </c>
      <c r="S160" s="424">
        <f t="shared" si="20"/>
        <v>6000000</v>
      </c>
      <c r="T160" s="437">
        <f t="shared" si="21"/>
        <v>1.2455626829420191E-3</v>
      </c>
    </row>
    <row r="161" spans="1:20" ht="13.5" thickBot="1">
      <c r="A161" s="117" t="str">
        <f t="shared" si="30"/>
        <v>1004p</v>
      </c>
      <c r="B161" s="98" t="str">
        <f>+VLOOKUP(LEFT($A161,LEN(A161)-1)*1,[1]Master!$D$27:$G$225,4,FALSE)</f>
        <v>Povećanje / smanjenje depozita</v>
      </c>
      <c r="C161" s="99"/>
      <c r="D161" s="99"/>
      <c r="E161" s="99"/>
      <c r="F161" s="99"/>
      <c r="G161" s="97">
        <f t="shared" ref="G161:R161" si="33">-G156-SUM(G158:G160)</f>
        <v>39640138.087499984</v>
      </c>
      <c r="H161" s="97">
        <f t="shared" si="33"/>
        <v>49463551.177499995</v>
      </c>
      <c r="I161" s="97">
        <f t="shared" si="33"/>
        <v>-42045458.012499988</v>
      </c>
      <c r="J161" s="97">
        <f t="shared" si="33"/>
        <v>53196397.547499985</v>
      </c>
      <c r="K161" s="97">
        <f t="shared" si="33"/>
        <v>92552828.047500014</v>
      </c>
      <c r="L161" s="97">
        <f t="shared" si="33"/>
        <v>14616387.137500022</v>
      </c>
      <c r="M161" s="97">
        <f t="shared" si="33"/>
        <v>54204253.742939219</v>
      </c>
      <c r="N161" s="97">
        <f t="shared" si="33"/>
        <v>-8825378.5705667939</v>
      </c>
      <c r="O161" s="97">
        <f t="shared" si="33"/>
        <v>10165993.622549754</v>
      </c>
      <c r="P161" s="97">
        <f t="shared" si="33"/>
        <v>-41216690.67670384</v>
      </c>
      <c r="Q161" s="97">
        <f t="shared" si="33"/>
        <v>-1733765.9811388776</v>
      </c>
      <c r="R161" s="97">
        <f t="shared" si="33"/>
        <v>-40005460.227193788</v>
      </c>
      <c r="S161" s="429">
        <f t="shared" si="20"/>
        <v>180012795.89488566</v>
      </c>
      <c r="T161" s="442">
        <f t="shared" si="21"/>
        <v>3.7369536836454643E-2</v>
      </c>
    </row>
  </sheetData>
  <mergeCells count="118"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W8" sqref="W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744</v>
      </c>
      <c r="H6" s="236" t="s">
        <v>745</v>
      </c>
      <c r="I6" s="236" t="s">
        <v>746</v>
      </c>
      <c r="J6" s="236" t="s">
        <v>747</v>
      </c>
      <c r="K6" s="236" t="s">
        <v>748</v>
      </c>
      <c r="L6" s="236" t="s">
        <v>749</v>
      </c>
      <c r="M6" s="236" t="s">
        <v>750</v>
      </c>
      <c r="N6" s="236" t="s">
        <v>751</v>
      </c>
      <c r="O6" s="236" t="s">
        <v>752</v>
      </c>
      <c r="P6" s="236" t="s">
        <v>753</v>
      </c>
      <c r="Q6" s="236" t="s">
        <v>754</v>
      </c>
      <c r="R6" s="236" t="s">
        <v>755</v>
      </c>
      <c r="S6" s="235"/>
      <c r="T6" s="235"/>
    </row>
    <row r="7" spans="1:20" ht="15" customHeight="1" thickBot="1">
      <c r="A7" s="146"/>
      <c r="B7" s="528" t="str">
        <f>+[1]Master!G251</f>
        <v>Ostvarenje budžeta</v>
      </c>
      <c r="C7" s="509"/>
      <c r="D7" s="509"/>
      <c r="E7" s="509"/>
      <c r="F7" s="509"/>
      <c r="G7" s="517">
        <v>2018</v>
      </c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21"/>
      <c r="S7" s="237" t="str">
        <f>+[1]Master!G248</f>
        <v>BDP</v>
      </c>
      <c r="T7" s="238">
        <v>4663130000</v>
      </c>
    </row>
    <row r="8" spans="1:20" ht="16.5" customHeight="1">
      <c r="A8" s="146"/>
      <c r="B8" s="510"/>
      <c r="C8" s="511"/>
      <c r="D8" s="511"/>
      <c r="E8" s="511"/>
      <c r="F8" s="512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517" t="str">
        <f>+[1]Master!G245</f>
        <v>Jan - Dec</v>
      </c>
      <c r="T8" s="521"/>
    </row>
    <row r="9" spans="1:20" ht="13.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476" t="str">
        <f>+VLOOKUP($A10,[1]Master!$D$27:$G$225,4,FALSE)</f>
        <v>Prihodi budžeta</v>
      </c>
      <c r="C10" s="477"/>
      <c r="D10" s="477"/>
      <c r="E10" s="477"/>
      <c r="F10" s="477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478" t="str">
        <f>+VLOOKUP($A11,[1]Master!$D$27:$G$225,4,FALSE)</f>
        <v>Porezi</v>
      </c>
      <c r="C11" s="479"/>
      <c r="D11" s="479"/>
      <c r="E11" s="479"/>
      <c r="F11" s="479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480" t="str">
        <f>+VLOOKUP($A12,[1]Master!$D$27:$G$225,4,FALSE)</f>
        <v>Porez na dohodak fizičkih lica</v>
      </c>
      <c r="C12" s="481"/>
      <c r="D12" s="481"/>
      <c r="E12" s="481"/>
      <c r="F12" s="481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480" t="str">
        <f>+VLOOKUP($A13,[1]Master!$D$27:$G$225,4,FALSE)</f>
        <v>Porez na dobit pravnih lica</v>
      </c>
      <c r="C13" s="481"/>
      <c r="D13" s="481"/>
      <c r="E13" s="481"/>
      <c r="F13" s="481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480" t="str">
        <f>+VLOOKUP($A14,[1]Master!$D$27:$G$225,4,FALSE)</f>
        <v>Porez na promet nepokretnosti</v>
      </c>
      <c r="C14" s="481"/>
      <c r="D14" s="481"/>
      <c r="E14" s="481"/>
      <c r="F14" s="481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480" t="str">
        <f>+VLOOKUP($A15,[1]Master!$D$27:$G$225,4,FALSE)</f>
        <v>Porez na dodatu vrijednost</v>
      </c>
      <c r="C15" s="481"/>
      <c r="D15" s="481"/>
      <c r="E15" s="481"/>
      <c r="F15" s="481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480" t="str">
        <f>+VLOOKUP($A16,[1]Master!$D$27:$G$225,4,FALSE)</f>
        <v>Akcize</v>
      </c>
      <c r="C16" s="481"/>
      <c r="D16" s="481"/>
      <c r="E16" s="481"/>
      <c r="F16" s="481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480" t="str">
        <f>+VLOOKUP($A17,[1]Master!$D$27:$G$225,4,FALSE)</f>
        <v>Porez na međunarodnu trgovinu i transakcije</v>
      </c>
      <c r="C17" s="481"/>
      <c r="D17" s="481"/>
      <c r="E17" s="481"/>
      <c r="F17" s="481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480" t="str">
        <f>+VLOOKUP($A18,[1]Master!$D$27:$G$225,4,FALSE)</f>
        <v>Ostali državni porezi</v>
      </c>
      <c r="C18" s="481"/>
      <c r="D18" s="481"/>
      <c r="E18" s="481"/>
      <c r="F18" s="481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484" t="str">
        <f>+VLOOKUP($A19,[1]Master!$D$27:$G$225,4,FALSE)</f>
        <v>Doprinosi</v>
      </c>
      <c r="C19" s="485"/>
      <c r="D19" s="485"/>
      <c r="E19" s="485"/>
      <c r="F19" s="485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480" t="str">
        <f>+VLOOKUP($A20,[1]Master!$D$27:$G$225,4,FALSE)</f>
        <v>Doprinosi za penzijsko i invalidsko osiguranje</v>
      </c>
      <c r="C20" s="481"/>
      <c r="D20" s="481"/>
      <c r="E20" s="481"/>
      <c r="F20" s="481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480" t="str">
        <f>+VLOOKUP($A21,[1]Master!$D$27:$G$225,4,FALSE)</f>
        <v>Doprinosi za zdravstveno osiguranje</v>
      </c>
      <c r="C21" s="481"/>
      <c r="D21" s="481"/>
      <c r="E21" s="481"/>
      <c r="F21" s="481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480" t="str">
        <f>+VLOOKUP($A22,[1]Master!$D$27:$G$225,4,FALSE)</f>
        <v>Doprinosi za osiguranje od nezaposlenosti</v>
      </c>
      <c r="C22" s="481"/>
      <c r="D22" s="481"/>
      <c r="E22" s="481"/>
      <c r="F22" s="481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480" t="str">
        <f>+VLOOKUP($A23,[1]Master!$D$27:$G$225,4,FALSE)</f>
        <v>Ostali doprinosi</v>
      </c>
      <c r="C23" s="481"/>
      <c r="D23" s="481"/>
      <c r="E23" s="481"/>
      <c r="F23" s="481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482" t="str">
        <f>+VLOOKUP($A24,[1]Master!$D$27:$G$225,4,FALSE)</f>
        <v>Takse</v>
      </c>
      <c r="C24" s="483"/>
      <c r="D24" s="483"/>
      <c r="E24" s="483"/>
      <c r="F24" s="483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482" t="str">
        <f>+VLOOKUP($A25,[1]Master!$D$27:$G$225,4,FALSE)</f>
        <v>Naknade</v>
      </c>
      <c r="C25" s="483"/>
      <c r="D25" s="483"/>
      <c r="E25" s="483"/>
      <c r="F25" s="483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482" t="str">
        <f>+VLOOKUP($A26,[1]Master!$D$27:$G$225,4,FALSE)</f>
        <v>Ostali prihodi</v>
      </c>
      <c r="C26" s="483"/>
      <c r="D26" s="483"/>
      <c r="E26" s="483"/>
      <c r="F26" s="483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482" t="str">
        <f>+VLOOKUP($A27,[1]Master!$D$27:$G$225,4,FALSE)</f>
        <v>Primici od otplate kredita i sredstva prenesena iz prethodne godine</v>
      </c>
      <c r="C27" s="483"/>
      <c r="D27" s="483"/>
      <c r="E27" s="483"/>
      <c r="F27" s="483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486" t="str">
        <f>+VLOOKUP($A28,[1]Master!$D$27:$G$225,4,FALSE)</f>
        <v>Donacije i transferi</v>
      </c>
      <c r="C28" s="487"/>
      <c r="D28" s="487"/>
      <c r="E28" s="487"/>
      <c r="F28" s="487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488" t="str">
        <f>+VLOOKUP($A29,[1]Master!$D$27:$G$225,4,FALSE)</f>
        <v>Budžetski izdaci</v>
      </c>
      <c r="C29" s="489"/>
      <c r="D29" s="489"/>
      <c r="E29" s="489"/>
      <c r="F29" s="489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490" t="str">
        <f>+VLOOKUP($A30,[1]Master!$D$27:$G$225,4,FALSE)</f>
        <v>Tekuća budžetska potrošnja</v>
      </c>
      <c r="C30" s="491"/>
      <c r="D30" s="491"/>
      <c r="E30" s="491"/>
      <c r="F30" s="491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492" t="str">
        <f>+VLOOKUP($A31,[1]Master!$D$27:$G$225,4,FALSE)</f>
        <v>Tekući izdaci</v>
      </c>
      <c r="C31" s="493"/>
      <c r="D31" s="493"/>
      <c r="E31" s="493"/>
      <c r="F31" s="493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480" t="str">
        <f>+VLOOKUP($A32,[1]Master!$D$27:$G$225,4,FALSE)</f>
        <v>Bruto zarade i doprinosi na teret poslodavca</v>
      </c>
      <c r="C32" s="481"/>
      <c r="D32" s="481"/>
      <c r="E32" s="481"/>
      <c r="F32" s="481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480" t="str">
        <f>+VLOOKUP($A33,[1]Master!$D$27:$G$225,4,FALSE)</f>
        <v>Ostala lična primanja</v>
      </c>
      <c r="C33" s="481"/>
      <c r="D33" s="481"/>
      <c r="E33" s="481"/>
      <c r="F33" s="481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480" t="str">
        <f>+VLOOKUP($A34,[1]Master!$D$27:$G$225,4,FALSE)</f>
        <v>Rashodi za materijal</v>
      </c>
      <c r="C34" s="481"/>
      <c r="D34" s="481"/>
      <c r="E34" s="481"/>
      <c r="F34" s="481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480" t="str">
        <f>+VLOOKUP($A35,[1]Master!$D$27:$G$225,4,FALSE)</f>
        <v>Rashodi za usluge</v>
      </c>
      <c r="C35" s="481"/>
      <c r="D35" s="481"/>
      <c r="E35" s="481"/>
      <c r="F35" s="481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480" t="str">
        <f>+VLOOKUP($A36,[1]Master!$D$27:$G$225,4,FALSE)</f>
        <v>Rashodi za tekuće održavanje</v>
      </c>
      <c r="C36" s="481"/>
      <c r="D36" s="481"/>
      <c r="E36" s="481"/>
      <c r="F36" s="481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480" t="str">
        <f>+VLOOKUP($A37,[1]Master!$D$27:$G$225,4,FALSE)</f>
        <v>Kamate</v>
      </c>
      <c r="C37" s="481"/>
      <c r="D37" s="481"/>
      <c r="E37" s="481"/>
      <c r="F37" s="481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480" t="str">
        <f>+VLOOKUP($A38,[1]Master!$D$27:$G$225,4,FALSE)</f>
        <v>Renta</v>
      </c>
      <c r="C38" s="481"/>
      <c r="D38" s="481"/>
      <c r="E38" s="481"/>
      <c r="F38" s="481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480" t="str">
        <f>+VLOOKUP($A39,[1]Master!$D$27:$G$225,4,FALSE)</f>
        <v>Subvencije</v>
      </c>
      <c r="C39" s="481"/>
      <c r="D39" s="481"/>
      <c r="E39" s="481"/>
      <c r="F39" s="481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480" t="str">
        <f>+VLOOKUP($A40,[1]Master!$D$27:$G$225,4,FALSE)</f>
        <v>Ostali izdaci</v>
      </c>
      <c r="C40" s="481"/>
      <c r="D40" s="481"/>
      <c r="E40" s="481"/>
      <c r="F40" s="481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480" t="str">
        <f>+VLOOKUP($A41,[1]Master!$D$27:$G$225,4,FALSE)</f>
        <v>Kapitalni izdaci u tekućem budžetu</v>
      </c>
      <c r="C41" s="481"/>
      <c r="D41" s="481"/>
      <c r="E41" s="481"/>
      <c r="F41" s="481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496" t="str">
        <f>+VLOOKUP($A42,[1]Master!$D$27:$G$225,4,FALSE)</f>
        <v>Transferi za socijalnu zaštitu</v>
      </c>
      <c r="C42" s="497"/>
      <c r="D42" s="497"/>
      <c r="E42" s="497"/>
      <c r="F42" s="497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480" t="str">
        <f>+VLOOKUP($A43,[1]Master!$D$27:$G$225,4,FALSE)</f>
        <v>Prava iz oblasti socijalne zaštite</v>
      </c>
      <c r="C43" s="481"/>
      <c r="D43" s="481"/>
      <c r="E43" s="481"/>
      <c r="F43" s="481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480" t="str">
        <f>+VLOOKUP($A44,[1]Master!$D$27:$G$225,4,FALSE)</f>
        <v>Sredstva za tehnološke viškove</v>
      </c>
      <c r="C44" s="481"/>
      <c r="D44" s="481"/>
      <c r="E44" s="481"/>
      <c r="F44" s="481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480" t="str">
        <f>+VLOOKUP($A45,[1]Master!$D$27:$G$225,4,FALSE)</f>
        <v>Prava iz oblasti penzijskog i invalidskog osiguranja</v>
      </c>
      <c r="C45" s="481"/>
      <c r="D45" s="481"/>
      <c r="E45" s="481"/>
      <c r="F45" s="481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480" t="str">
        <f>+VLOOKUP($A46,[1]Master!$D$27:$G$225,4,FALSE)</f>
        <v>Ostala prava iz oblasti zdravstvene zaštite</v>
      </c>
      <c r="C46" s="481"/>
      <c r="D46" s="481"/>
      <c r="E46" s="481"/>
      <c r="F46" s="481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88" t="str">
        <f>+VLOOKUP($A47,[1]Master!$D$27:$G$225,4,FALSE)</f>
        <v>Ostala prava iz zdravstvenog osiguranja</v>
      </c>
      <c r="C47" s="589"/>
      <c r="D47" s="589"/>
      <c r="E47" s="589"/>
      <c r="F47" s="589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494" t="str">
        <f>+VLOOKUP($A48,[1]Master!$D$27:$G$225,4,FALSE)</f>
        <v xml:space="preserve">Transferi institucijama, pojedincima, nevladinom i javnom sektoru </v>
      </c>
      <c r="C48" s="495"/>
      <c r="D48" s="495"/>
      <c r="E48" s="495"/>
      <c r="F48" s="495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494" t="str">
        <f>+VLOOKUP($A49,[1]Master!$D$27:$G$225,4,FALSE)</f>
        <v>Kapitalni budžet</v>
      </c>
      <c r="C49" s="495"/>
      <c r="D49" s="495"/>
      <c r="E49" s="495"/>
      <c r="F49" s="495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31" t="str">
        <f>+VLOOKUP($A50,[1]Master!$D$27:$G$225,4,FALSE)</f>
        <v>Pozajmice i krediti</v>
      </c>
      <c r="C50" s="532"/>
      <c r="D50" s="532"/>
      <c r="E50" s="532"/>
      <c r="F50" s="532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98" t="str">
        <f>+VLOOKUP($A51,[1]Master!$D$27:$G$225,4,FALSE)</f>
        <v>Rezerve</v>
      </c>
      <c r="C51" s="499"/>
      <c r="D51" s="499"/>
      <c r="E51" s="499"/>
      <c r="F51" s="499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500" t="str">
        <f>+VLOOKUP($A52,[1]Master!$D$27:$G$225,4,FALSE)</f>
        <v>Otplata garancija</v>
      </c>
      <c r="C52" s="501"/>
      <c r="D52" s="501"/>
      <c r="E52" s="501"/>
      <c r="F52" s="501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35" t="str">
        <f>+VLOOKUP($A53,[1]Master!$D$27:$G$225,4,TRUE)</f>
        <v>Otplata obaveza iz prethodnih godina</v>
      </c>
      <c r="C53" s="536"/>
      <c r="D53" s="536"/>
      <c r="E53" s="536"/>
      <c r="F53" s="536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37" t="str">
        <f>+VLOOKUP($A54,[1]Master!$D$27:$G$227,4,FALSE)</f>
        <v>Neto povećanje obaveza</v>
      </c>
      <c r="C54" s="538"/>
      <c r="D54" s="538"/>
      <c r="E54" s="538"/>
      <c r="F54" s="538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2" t="str">
        <f>+VLOOKUP($A55,[1]Master!$D$27:$G$225,4,FALSE)</f>
        <v>Suficit / deficit</v>
      </c>
      <c r="C55" s="503"/>
      <c r="D55" s="503"/>
      <c r="E55" s="503"/>
      <c r="F55" s="503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780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4" t="str">
        <f>+VLOOKUP($A57,[1]Master!$D$27:$G$225,4,FALSE)</f>
        <v>Primarni bilans</v>
      </c>
      <c r="C57" s="505"/>
      <c r="D57" s="505"/>
      <c r="E57" s="505"/>
      <c r="F57" s="505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49" t="str">
        <f>+VLOOKUP($A58,[1]Master!$D$27:$G$225,4,FALSE)</f>
        <v>Otplata dugova</v>
      </c>
      <c r="C58" s="550"/>
      <c r="D58" s="550"/>
      <c r="E58" s="550"/>
      <c r="F58" s="550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522" t="str">
        <f>+VLOOKUP($A59,[1]Master!$D$27:$G$225,4,FALSE)</f>
        <v>Otplata hartija od vrijednosti i kredita rezidentima</v>
      </c>
      <c r="C59" s="523"/>
      <c r="D59" s="523"/>
      <c r="E59" s="523"/>
      <c r="F59" s="523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98" t="str">
        <f>+VLOOKUP($A60,[1]Master!$D$27:$G$225,4,FALSE)</f>
        <v>Otplata hartija od vrijednosti i kredita nerezidentima</v>
      </c>
      <c r="C60" s="499"/>
      <c r="D60" s="499"/>
      <c r="E60" s="499"/>
      <c r="F60" s="499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49" t="str">
        <f>+VLOOKUP($A61,[1]Master!$D$27:$G$225,4,FALSE)</f>
        <v>Izdaci za kupovinu hartija od vrijednosti</v>
      </c>
      <c r="C61" s="550"/>
      <c r="D61" s="550"/>
      <c r="E61" s="550"/>
      <c r="F61" s="550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524" t="str">
        <f>+VLOOKUP($A62,[1]Master!$D$27:$G$225,4,FALSE)</f>
        <v>Nedostajuća sredstva</v>
      </c>
      <c r="C62" s="525"/>
      <c r="D62" s="525"/>
      <c r="E62" s="525"/>
      <c r="F62" s="525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488" t="str">
        <f>+VLOOKUP($A63,[1]Master!$D$27:$G$225,4,FALSE)</f>
        <v>Finansiranje</v>
      </c>
      <c r="C63" s="489"/>
      <c r="D63" s="489"/>
      <c r="E63" s="489"/>
      <c r="F63" s="489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522" t="str">
        <f>+VLOOKUP($A64,[1]Master!$D$27:$G$225,4,FALSE)</f>
        <v>Pozajmice i krediti od domaćih izvora</v>
      </c>
      <c r="C64" s="523"/>
      <c r="D64" s="523"/>
      <c r="E64" s="523"/>
      <c r="F64" s="523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98" t="str">
        <f>+VLOOKUP($A65,[1]Master!$D$27:$G$225,4,FALSE)</f>
        <v>Pozajmice i krediti od inostranih izvora</v>
      </c>
      <c r="C65" s="499"/>
      <c r="D65" s="499"/>
      <c r="E65" s="499"/>
      <c r="F65" s="499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98" t="str">
        <f>+VLOOKUP($A66,[1]Master!$D$27:$G$225,4,FALSE)</f>
        <v>Primici od prodaje imovine</v>
      </c>
      <c r="C66" s="499"/>
      <c r="D66" s="499"/>
      <c r="E66" s="499"/>
      <c r="F66" s="499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tr">
        <f>+VLOOKUP($A67,[1]Master!$D$27:$G$225,4,FALSE)</f>
        <v>Povećanje / smanjenje depozita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41" t="str">
        <f>+[1]Master!G252</f>
        <v>Plan ostvarenja budžeta</v>
      </c>
      <c r="C103" s="542"/>
      <c r="D103" s="542"/>
      <c r="E103" s="542"/>
      <c r="F103" s="542"/>
      <c r="G103" s="555">
        <v>2018</v>
      </c>
      <c r="H103" s="556"/>
      <c r="I103" s="556"/>
      <c r="J103" s="556"/>
      <c r="K103" s="556"/>
      <c r="L103" s="556"/>
      <c r="M103" s="556"/>
      <c r="N103" s="556"/>
      <c r="O103" s="556"/>
      <c r="P103" s="556"/>
      <c r="Q103" s="556"/>
      <c r="R103" s="557"/>
      <c r="S103" s="107" t="str">
        <f>+S7</f>
        <v>BDP</v>
      </c>
      <c r="T103" s="108">
        <f>+T7</f>
        <v>4663130000</v>
      </c>
    </row>
    <row r="104" spans="1:21" ht="15.75" customHeight="1">
      <c r="B104" s="543"/>
      <c r="C104" s="544"/>
      <c r="D104" s="544"/>
      <c r="E104" s="544"/>
      <c r="F104" s="545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5" t="str">
        <f>+[1]Master!G246</f>
        <v>Jan - Dec</v>
      </c>
      <c r="T104" s="557">
        <f>+T8</f>
        <v>0</v>
      </c>
    </row>
    <row r="105" spans="1:21" ht="13.5" thickBot="1">
      <c r="B105" s="546"/>
      <c r="C105" s="547"/>
      <c r="D105" s="547"/>
      <c r="E105" s="547"/>
      <c r="F105" s="548"/>
      <c r="G105" s="67" t="s">
        <v>419</v>
      </c>
      <c r="H105" s="67" t="s">
        <v>419</v>
      </c>
      <c r="I105" s="67" t="s">
        <v>419</v>
      </c>
      <c r="J105" s="67" t="s">
        <v>419</v>
      </c>
      <c r="K105" s="67" t="s">
        <v>419</v>
      </c>
      <c r="L105" s="67" t="s">
        <v>419</v>
      </c>
      <c r="M105" s="67" t="s">
        <v>419</v>
      </c>
      <c r="N105" s="67" t="s">
        <v>419</v>
      </c>
      <c r="O105" s="67" t="s">
        <v>419</v>
      </c>
      <c r="P105" s="67" t="s">
        <v>419</v>
      </c>
      <c r="Q105" s="67" t="s">
        <v>419</v>
      </c>
      <c r="R105" s="67" t="s">
        <v>419</v>
      </c>
      <c r="S105" s="65" t="s">
        <v>419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8" t="str">
        <f>+VLOOKUP(LEFT($A106,LEN(A106)-1)*1,[1]Master!$D$27:$G$225,4,FALSE)</f>
        <v>Prihodi budžeta</v>
      </c>
      <c r="C106" s="559"/>
      <c r="D106" s="559"/>
      <c r="E106" s="559"/>
      <c r="F106" s="559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0" t="str">
        <f>+VLOOKUP(LEFT($A107,LEN(A107)-1)*1,[1]Master!$D$27:$G$225,4,FALSE)</f>
        <v>Porezi</v>
      </c>
      <c r="C107" s="561"/>
      <c r="D107" s="561"/>
      <c r="E107" s="561"/>
      <c r="F107" s="561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51" t="str">
        <f>+VLOOKUP(LEFT($A108,LEN(A108)-1)*1,[1]Master!$D$27:$G$225,4,FALSE)</f>
        <v>Porez na dohodak fizičkih lica</v>
      </c>
      <c r="C108" s="552"/>
      <c r="D108" s="552"/>
      <c r="E108" s="552"/>
      <c r="F108" s="552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51" t="str">
        <f>+VLOOKUP(LEFT($A109,LEN(A109)-1)*1,[1]Master!$D$27:$G$225,4,FALSE)</f>
        <v>Porez na dobit pravnih lica</v>
      </c>
      <c r="C109" s="552"/>
      <c r="D109" s="552"/>
      <c r="E109" s="552"/>
      <c r="F109" s="552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51" t="str">
        <f>+VLOOKUP(LEFT($A110,LEN(A110)-1)*1,[1]Master!$D$27:$G$225,4,FALSE)</f>
        <v>Porez na promet nepokretnosti</v>
      </c>
      <c r="C110" s="552"/>
      <c r="D110" s="552"/>
      <c r="E110" s="552"/>
      <c r="F110" s="552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51" t="str">
        <f>+VLOOKUP(LEFT($A111,LEN(A111)-1)*1,[1]Master!$D$27:$G$225,4,FALSE)</f>
        <v>Porez na dodatu vrijednost</v>
      </c>
      <c r="C111" s="552"/>
      <c r="D111" s="552"/>
      <c r="E111" s="552"/>
      <c r="F111" s="552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51" t="str">
        <f>+VLOOKUP(LEFT($A112,LEN(A112)-1)*1,[1]Master!$D$27:$G$225,4,FALSE)</f>
        <v>Akcize</v>
      </c>
      <c r="C112" s="552"/>
      <c r="D112" s="552"/>
      <c r="E112" s="552"/>
      <c r="F112" s="552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51" t="str">
        <f>+VLOOKUP(LEFT($A113,LEN(A113)-1)*1,[1]Master!$D$27:$G$225,4,FALSE)</f>
        <v>Porez na međunarodnu trgovinu i transakcije</v>
      </c>
      <c r="C113" s="552"/>
      <c r="D113" s="552"/>
      <c r="E113" s="552"/>
      <c r="F113" s="552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51" t="str">
        <f>+VLOOKUP(LEFT($A114,LEN(A114)-1)*1,[1]Master!$D$27:$G$225,4,FALSE)</f>
        <v>Ostali državni porezi</v>
      </c>
      <c r="C114" s="552"/>
      <c r="D114" s="552"/>
      <c r="E114" s="552"/>
      <c r="F114" s="552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3" t="str">
        <f>+VLOOKUP(LEFT($A115,LEN(A115)-1)*1,[1]Master!$D$27:$G$225,4,FALSE)</f>
        <v>Doprinosi</v>
      </c>
      <c r="C115" s="554"/>
      <c r="D115" s="554"/>
      <c r="E115" s="554"/>
      <c r="F115" s="554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51" t="str">
        <f>+VLOOKUP(LEFT($A116,LEN(A116)-1)*1,[1]Master!$D$27:$G$225,4,FALSE)</f>
        <v>Doprinosi za penzijsko i invalidsko osiguranje</v>
      </c>
      <c r="C116" s="552"/>
      <c r="D116" s="552"/>
      <c r="E116" s="552"/>
      <c r="F116" s="552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51" t="str">
        <f>+VLOOKUP(LEFT($A117,LEN(A117)-1)*1,[1]Master!$D$27:$G$225,4,FALSE)</f>
        <v>Doprinosi za zdravstveno osiguranje</v>
      </c>
      <c r="C117" s="552"/>
      <c r="D117" s="552"/>
      <c r="E117" s="552"/>
      <c r="F117" s="552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51" t="str">
        <f>+VLOOKUP(LEFT($A118,LEN(A118)-1)*1,[1]Master!$D$27:$G$225,4,FALSE)</f>
        <v>Doprinosi za osiguranje od nezaposlenosti</v>
      </c>
      <c r="C118" s="552"/>
      <c r="D118" s="552"/>
      <c r="E118" s="552"/>
      <c r="F118" s="552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51" t="str">
        <f>+VLOOKUP(LEFT($A119,LEN(A119)-1)*1,[1]Master!$D$27:$G$225,4,FALSE)</f>
        <v>Ostali doprinosi</v>
      </c>
      <c r="C119" s="552"/>
      <c r="D119" s="552"/>
      <c r="E119" s="552"/>
      <c r="F119" s="552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62" t="str">
        <f>+VLOOKUP(LEFT($A120,LEN(A120)-1)*1,[1]Master!$D$27:$G$225,4,FALSE)</f>
        <v>Takse</v>
      </c>
      <c r="C120" s="563"/>
      <c r="D120" s="563"/>
      <c r="E120" s="563"/>
      <c r="F120" s="563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62" t="str">
        <f>+VLOOKUP(LEFT($A121,LEN(A121)-1)*1,[1]Master!$D$27:$G$225,4,FALSE)</f>
        <v>Naknade</v>
      </c>
      <c r="C121" s="563"/>
      <c r="D121" s="563"/>
      <c r="E121" s="563"/>
      <c r="F121" s="563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62" t="str">
        <f>+VLOOKUP(LEFT($A122,LEN(A122)-1)*1,[1]Master!$D$27:$G$225,4,FALSE)</f>
        <v>Ostali prihodi</v>
      </c>
      <c r="C122" s="563"/>
      <c r="D122" s="563"/>
      <c r="E122" s="563"/>
      <c r="F122" s="563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62" t="str">
        <f>+VLOOKUP(LEFT($A123,LEN(A123)-1)*1,[1]Master!$D$27:$G$225,4,FALSE)</f>
        <v>Primici od otplate kredita i sredstva prenesena iz prethodne godine</v>
      </c>
      <c r="C123" s="563"/>
      <c r="D123" s="563"/>
      <c r="E123" s="563"/>
      <c r="F123" s="563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64" t="str">
        <f>+VLOOKUP(LEFT($A124,LEN(A124)-1)*1,[1]Master!$D$27:$G$225,4,FALSE)</f>
        <v>Donacije i transferi</v>
      </c>
      <c r="C124" s="565"/>
      <c r="D124" s="565"/>
      <c r="E124" s="565"/>
      <c r="F124" s="565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66" t="str">
        <f>+VLOOKUP(LEFT($A125,LEN(A125)-1)*1,[1]Master!$D$27:$G$225,4,FALSE)</f>
        <v>Budžetski izdaci</v>
      </c>
      <c r="C125" s="567"/>
      <c r="D125" s="567"/>
      <c r="E125" s="567"/>
      <c r="F125" s="567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4" t="str">
        <f>+VLOOKUP(LEFT($A126,LEN(A126)-1)*1,[1]Master!$D$27:$G$225,4,FALSE)</f>
        <v>Tekuća budžetska potrošnja</v>
      </c>
      <c r="C126" s="585"/>
      <c r="D126" s="585"/>
      <c r="E126" s="585"/>
      <c r="F126" s="585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68" t="str">
        <f>+VLOOKUP(LEFT($A127,LEN(A127)-1)*1,[1]Master!$D$27:$G$225,4,FALSE)</f>
        <v>Tekući izdaci</v>
      </c>
      <c r="C127" s="569"/>
      <c r="D127" s="569"/>
      <c r="E127" s="569"/>
      <c r="F127" s="569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51" t="str">
        <f>+VLOOKUP(LEFT($A128,LEN(A128)-1)*1,[1]Master!$D$27:$G$225,4,FALSE)</f>
        <v>Bruto zarade i doprinosi na teret poslodavca</v>
      </c>
      <c r="C128" s="552"/>
      <c r="D128" s="552"/>
      <c r="E128" s="552"/>
      <c r="F128" s="552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51" t="str">
        <f>+VLOOKUP(LEFT($A129,LEN(A129)-1)*1,[1]Master!$D$27:$G$225,4,FALSE)</f>
        <v>Ostala lična primanja</v>
      </c>
      <c r="C129" s="552"/>
      <c r="D129" s="552"/>
      <c r="E129" s="552"/>
      <c r="F129" s="552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51" t="str">
        <f>+VLOOKUP(LEFT($A130,LEN(A130)-1)*1,[1]Master!$D$27:$G$225,4,FALSE)</f>
        <v>Rashodi za materijal</v>
      </c>
      <c r="C130" s="552"/>
      <c r="D130" s="552"/>
      <c r="E130" s="552"/>
      <c r="F130" s="552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51" t="str">
        <f>+VLOOKUP(LEFT($A131,LEN(A131)-1)*1,[1]Master!$D$27:$G$225,4,FALSE)</f>
        <v>Rashodi za usluge</v>
      </c>
      <c r="C131" s="552"/>
      <c r="D131" s="552"/>
      <c r="E131" s="552"/>
      <c r="F131" s="552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51" t="str">
        <f>+VLOOKUP(LEFT($A132,LEN(A132)-1)*1,[1]Master!$D$27:$G$225,4,FALSE)</f>
        <v>Rashodi za tekuće održavanje</v>
      </c>
      <c r="C132" s="552"/>
      <c r="D132" s="552"/>
      <c r="E132" s="552"/>
      <c r="F132" s="552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51" t="str">
        <f>+VLOOKUP(LEFT($A133,LEN(A133)-1)*1,[1]Master!$D$27:$G$225,4,FALSE)</f>
        <v>Kamate</v>
      </c>
      <c r="C133" s="552"/>
      <c r="D133" s="552"/>
      <c r="E133" s="552"/>
      <c r="F133" s="552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51" t="str">
        <f>+VLOOKUP(LEFT($A134,LEN(A134)-1)*1,[1]Master!$D$27:$G$225,4,FALSE)</f>
        <v>Renta</v>
      </c>
      <c r="C134" s="552"/>
      <c r="D134" s="552"/>
      <c r="E134" s="552"/>
      <c r="F134" s="552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51" t="str">
        <f>+VLOOKUP(LEFT($A135,LEN(A135)-1)*1,[1]Master!$D$27:$G$225,4,FALSE)</f>
        <v>Subvencije</v>
      </c>
      <c r="C135" s="552"/>
      <c r="D135" s="552"/>
      <c r="E135" s="552"/>
      <c r="F135" s="552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51" t="str">
        <f>+VLOOKUP(LEFT($A136,LEN(A136)-1)*1,[1]Master!$D$27:$G$225,4,FALSE)</f>
        <v>Ostali izdaci</v>
      </c>
      <c r="C136" s="552"/>
      <c r="D136" s="552"/>
      <c r="E136" s="552"/>
      <c r="F136" s="552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51" t="str">
        <f>+VLOOKUP(LEFT($A137,LEN(A137)-1)*1,[1]Master!$D$27:$G$225,4,FALSE)</f>
        <v>Kapitalni izdaci u tekućem budžetu</v>
      </c>
      <c r="C137" s="552"/>
      <c r="D137" s="552"/>
      <c r="E137" s="552"/>
      <c r="F137" s="552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70" t="str">
        <f>+VLOOKUP(LEFT($A138,LEN(A138)-1)*1,[1]Master!$D$27:$G$225,4,FALSE)</f>
        <v>Transferi za socijalnu zaštitu</v>
      </c>
      <c r="C138" s="571"/>
      <c r="D138" s="571"/>
      <c r="E138" s="571"/>
      <c r="F138" s="571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51" t="str">
        <f>+VLOOKUP(LEFT($A139,LEN(A139)-1)*1,[1]Master!$D$27:$G$225,4,FALSE)</f>
        <v>Prava iz oblasti socijalne zaštite</v>
      </c>
      <c r="C139" s="552"/>
      <c r="D139" s="552"/>
      <c r="E139" s="552"/>
      <c r="F139" s="552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51" t="str">
        <f>+VLOOKUP(LEFT($A140,LEN(A140)-1)*1,[1]Master!$D$27:$G$225,4,FALSE)</f>
        <v>Sredstva za tehnološke viškove</v>
      </c>
      <c r="C140" s="552"/>
      <c r="D140" s="552"/>
      <c r="E140" s="552"/>
      <c r="F140" s="552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51" t="str">
        <f>+VLOOKUP(LEFT($A141,LEN(A141)-1)*1,[1]Master!$D$27:$G$225,4,FALSE)</f>
        <v>Prava iz oblasti penzijskog i invalidskog osiguranja</v>
      </c>
      <c r="C141" s="552"/>
      <c r="D141" s="552"/>
      <c r="E141" s="552"/>
      <c r="F141" s="552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51" t="str">
        <f>+VLOOKUP(LEFT($A142,LEN(A142)-1)*1,[1]Master!$D$27:$G$225,4,FALSE)</f>
        <v>Ostala prava iz oblasti zdravstvene zaštite</v>
      </c>
      <c r="C142" s="552"/>
      <c r="D142" s="552"/>
      <c r="E142" s="552"/>
      <c r="F142" s="552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51" t="str">
        <f>+VLOOKUP(LEFT($A143,LEN(A143)-1)*1,[1]Master!$D$27:$G$225,4,FALSE)</f>
        <v>Ostala prava iz zdravstvenog osiguranja</v>
      </c>
      <c r="C143" s="552"/>
      <c r="D143" s="552"/>
      <c r="E143" s="552"/>
      <c r="F143" s="552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76" t="str">
        <f>+VLOOKUP(LEFT($A144,LEN(A144)-1)*1,[1]Master!$D$27:$G$225,4,FALSE)</f>
        <v xml:space="preserve">Transferi institucijama, pojedincima, nevladinom i javnom sektoru </v>
      </c>
      <c r="C144" s="577"/>
      <c r="D144" s="577"/>
      <c r="E144" s="577"/>
      <c r="F144" s="577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76" t="str">
        <f>+VLOOKUP(LEFT($A145,LEN(A145)-1)*1,[1]Master!$D$27:$G$225,4,FALSE)</f>
        <v>Kapitalni budžet</v>
      </c>
      <c r="C145" s="577"/>
      <c r="D145" s="577"/>
      <c r="E145" s="577"/>
      <c r="F145" s="577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72" t="str">
        <f>+VLOOKUP(LEFT($A146,LEN(A146)-1)*1,[1]Master!$D$27:$G$225,4,FALSE)</f>
        <v>Pozajmice i krediti</v>
      </c>
      <c r="C146" s="573"/>
      <c r="D146" s="573"/>
      <c r="E146" s="573"/>
      <c r="F146" s="573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72" t="str">
        <f>+VLOOKUP(LEFT($A147,LEN(A147)-1)*1,[1]Master!$D$27:$G$225,4,FALSE)</f>
        <v>Rezerve</v>
      </c>
      <c r="C147" s="573"/>
      <c r="D147" s="573"/>
      <c r="E147" s="573"/>
      <c r="F147" s="573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72" t="str">
        <f>+VLOOKUP(LEFT($A148,LEN(A148)-1)*1,[1]Master!$D$27:$G$225,4,FALSE)</f>
        <v>Otplata garancija</v>
      </c>
      <c r="C148" s="573"/>
      <c r="D148" s="573"/>
      <c r="E148" s="573"/>
      <c r="F148" s="573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688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74" t="str">
        <f>+VLOOKUP(LEFT($A150,LEN(A150)-1)*1,[1]Master!$D$27:$G$225,4,FALSE)</f>
        <v>Suficit / deficit</v>
      </c>
      <c r="C150" s="575"/>
      <c r="D150" s="575"/>
      <c r="E150" s="575"/>
      <c r="F150" s="575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80" t="str">
        <f>+VLOOKUP(LEFT($A151,LEN(A151)-1)*1,[1]Master!$D$27:$G$225,4,FALSE)</f>
        <v>Primarni bilans</v>
      </c>
      <c r="C151" s="581"/>
      <c r="D151" s="581"/>
      <c r="E151" s="581"/>
      <c r="F151" s="581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70" t="str">
        <f>+VLOOKUP(LEFT($A152,LEN(A152)-1)*1,[1]Master!$D$27:$G$225,4,FALSE)</f>
        <v>Otplata dugova</v>
      </c>
      <c r="C152" s="571"/>
      <c r="D152" s="571"/>
      <c r="E152" s="571"/>
      <c r="F152" s="571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78" t="str">
        <f>+VLOOKUP(LEFT($A153,LEN(A153)-1)*1,[1]Master!$D$27:$G$225,4,FALSE)</f>
        <v>Otplata hartija od vrijednosti i kredita rezidentima</v>
      </c>
      <c r="C153" s="579"/>
      <c r="D153" s="579"/>
      <c r="E153" s="579"/>
      <c r="F153" s="579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72" t="str">
        <f>+VLOOKUP(LEFT($A154,LEN(A154)-1)*1,[1]Master!$D$27:$G$225,4,FALSE)</f>
        <v>Otplata hartija od vrijednosti i kredita nerezidentima</v>
      </c>
      <c r="C154" s="573"/>
      <c r="D154" s="573"/>
      <c r="E154" s="573"/>
      <c r="F154" s="573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72" t="str">
        <f>+VLOOKUP(LEFT($A155,LEN(A155)-1)*1,[1]Master!$D$27:$G$225,4,FALSE)</f>
        <v>Otplata obaveza iz prethodnih godina</v>
      </c>
      <c r="C155" s="573"/>
      <c r="D155" s="573"/>
      <c r="E155" s="573"/>
      <c r="F155" s="573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773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2" t="str">
        <f>+VLOOKUP(LEFT($A157,LEN(A157)-1)*1,[1]Master!$D$27:$G$225,4,FALSE)</f>
        <v>Nedostajuća sredstva</v>
      </c>
      <c r="C157" s="583"/>
      <c r="D157" s="583"/>
      <c r="E157" s="583"/>
      <c r="F157" s="583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66" t="str">
        <f>+VLOOKUP(LEFT($A158,LEN(A158)-1)*1,[1]Master!$D$27:$G$225,4,FALSE)</f>
        <v>Finansiranje</v>
      </c>
      <c r="C158" s="567"/>
      <c r="D158" s="567"/>
      <c r="E158" s="567"/>
      <c r="F158" s="567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78" t="str">
        <f>+VLOOKUP(LEFT($A159,LEN(A159)-1)*1,[1]Master!$D$27:$G$225,4,FALSE)</f>
        <v>Pozajmice i krediti od domaćih izvora</v>
      </c>
      <c r="C159" s="579"/>
      <c r="D159" s="579"/>
      <c r="E159" s="579"/>
      <c r="F159" s="579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72" t="str">
        <f>+VLOOKUP(LEFT($A160,LEN(A160)-1)*1,[1]Master!$D$27:$G$225,4,FALSE)</f>
        <v>Pozajmice i krediti od inostranih izvora</v>
      </c>
      <c r="C160" s="573"/>
      <c r="D160" s="573"/>
      <c r="E160" s="573"/>
      <c r="F160" s="573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72" t="str">
        <f>+VLOOKUP(LEFT($A161,LEN(A161)-1)*1,[1]Master!$D$27:$G$225,4,FALSE)</f>
        <v>Primici od prodaje imovine</v>
      </c>
      <c r="C161" s="573"/>
      <c r="D161" s="573"/>
      <c r="E161" s="573"/>
      <c r="F161" s="573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N8" activePane="bottomRight" state="frozen"/>
      <selection pane="topRight" activeCell="F1" sqref="F1"/>
      <selection pane="bottomLeft" activeCell="A8" sqref="A8"/>
      <selection pane="bottomRight" activeCell="FR8" sqref="FR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bestFit="1" customWidth="1"/>
    <col min="175" max="175" width="13.85546875" style="41" bestFit="1" customWidth="1"/>
    <col min="176" max="176" width="14" style="41" bestFit="1" customWidth="1"/>
    <col min="177" max="177" width="13.85546875" style="41" bestFit="1" customWidth="1"/>
    <col min="178" max="179" width="12.85546875" style="41" bestFit="1" customWidth="1"/>
    <col min="180" max="183" width="13.85546875" style="41" bestFit="1" customWidth="1"/>
    <col min="184" max="184" width="12.85546875" style="41" bestFit="1" customWidth="1"/>
    <col min="185" max="185" width="13.85546875" style="41" bestFit="1" customWidth="1"/>
    <col min="186" max="186" width="3.42578125" style="41" customWidth="1"/>
    <col min="187" max="187" width="15.42578125" style="369" bestFit="1" customWidth="1"/>
    <col min="188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3" t="s">
        <v>557</v>
      </c>
      <c r="F6" s="591">
        <v>2006</v>
      </c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2"/>
      <c r="R6" s="591">
        <v>2007</v>
      </c>
      <c r="S6" s="590"/>
      <c r="T6" s="590"/>
      <c r="U6" s="590"/>
      <c r="V6" s="590"/>
      <c r="W6" s="590"/>
      <c r="X6" s="590"/>
      <c r="Y6" s="590"/>
      <c r="Z6" s="590"/>
      <c r="AA6" s="590"/>
      <c r="AB6" s="590"/>
      <c r="AC6" s="592"/>
      <c r="AD6" s="591">
        <v>2008</v>
      </c>
      <c r="AE6" s="590"/>
      <c r="AF6" s="590"/>
      <c r="AG6" s="590"/>
      <c r="AH6" s="590"/>
      <c r="AI6" s="590"/>
      <c r="AJ6" s="590"/>
      <c r="AK6" s="590"/>
      <c r="AL6" s="590"/>
      <c r="AM6" s="590"/>
      <c r="AN6" s="590"/>
      <c r="AO6" s="592"/>
      <c r="AP6" s="591">
        <v>2009</v>
      </c>
      <c r="AQ6" s="590"/>
      <c r="AR6" s="590"/>
      <c r="AS6" s="590"/>
      <c r="AT6" s="590"/>
      <c r="AU6" s="590"/>
      <c r="AV6" s="590"/>
      <c r="AW6" s="590"/>
      <c r="AX6" s="590"/>
      <c r="AY6" s="590"/>
      <c r="AZ6" s="590"/>
      <c r="BA6" s="592"/>
      <c r="BB6" s="591">
        <v>2010</v>
      </c>
      <c r="BC6" s="590"/>
      <c r="BD6" s="590"/>
      <c r="BE6" s="590"/>
      <c r="BF6" s="590"/>
      <c r="BG6" s="590"/>
      <c r="BH6" s="590"/>
      <c r="BI6" s="590"/>
      <c r="BJ6" s="590"/>
      <c r="BK6" s="590"/>
      <c r="BL6" s="590"/>
      <c r="BM6" s="592"/>
      <c r="BN6" s="591">
        <v>2011</v>
      </c>
      <c r="BO6" s="590"/>
      <c r="BP6" s="590"/>
      <c r="BQ6" s="590"/>
      <c r="BR6" s="590"/>
      <c r="BS6" s="590"/>
      <c r="BT6" s="590"/>
      <c r="BU6" s="590"/>
      <c r="BV6" s="590"/>
      <c r="BW6" s="590"/>
      <c r="BX6" s="590"/>
      <c r="BY6" s="592"/>
      <c r="BZ6" s="590">
        <v>2012</v>
      </c>
      <c r="CA6" s="590"/>
      <c r="CB6" s="590"/>
      <c r="CC6" s="590"/>
      <c r="CD6" s="590"/>
      <c r="CE6" s="590"/>
      <c r="CF6" s="590"/>
      <c r="CG6" s="590"/>
      <c r="CH6" s="590"/>
      <c r="CI6" s="590"/>
      <c r="CJ6" s="590"/>
      <c r="CK6" s="590"/>
      <c r="CL6" s="591">
        <v>2013</v>
      </c>
      <c r="CM6" s="590"/>
      <c r="CN6" s="590"/>
      <c r="CO6" s="590"/>
      <c r="CP6" s="590"/>
      <c r="CQ6" s="590"/>
      <c r="CR6" s="590"/>
      <c r="CS6" s="590"/>
      <c r="CT6" s="590"/>
      <c r="CU6" s="590"/>
      <c r="CV6" s="590"/>
      <c r="CW6" s="592"/>
      <c r="CX6" s="591">
        <v>2014</v>
      </c>
      <c r="CY6" s="590"/>
      <c r="CZ6" s="590"/>
      <c r="DA6" s="590"/>
      <c r="DB6" s="590"/>
      <c r="DC6" s="590"/>
      <c r="DD6" s="590"/>
      <c r="DE6" s="590"/>
      <c r="DF6" s="590"/>
      <c r="DG6" s="590"/>
      <c r="DH6" s="590"/>
      <c r="DI6" s="592"/>
      <c r="DJ6" s="591">
        <v>2015</v>
      </c>
      <c r="DK6" s="590"/>
      <c r="DL6" s="590"/>
      <c r="DM6" s="590"/>
      <c r="DN6" s="590"/>
      <c r="DO6" s="590"/>
      <c r="DP6" s="590"/>
      <c r="DQ6" s="590"/>
      <c r="DR6" s="590"/>
      <c r="DS6" s="590"/>
      <c r="DT6" s="590"/>
      <c r="DU6" s="592"/>
    </row>
    <row r="7" spans="1:321">
      <c r="E7" s="593"/>
      <c r="F7" s="73" t="s">
        <v>425</v>
      </c>
      <c r="G7" s="74" t="s">
        <v>426</v>
      </c>
      <c r="H7" s="74" t="s">
        <v>427</v>
      </c>
      <c r="I7" s="74" t="s">
        <v>428</v>
      </c>
      <c r="J7" s="74" t="s">
        <v>429</v>
      </c>
      <c r="K7" s="74" t="s">
        <v>430</v>
      </c>
      <c r="L7" s="74" t="s">
        <v>431</v>
      </c>
      <c r="M7" s="74" t="s">
        <v>432</v>
      </c>
      <c r="N7" s="74" t="s">
        <v>433</v>
      </c>
      <c r="O7" s="74" t="s">
        <v>434</v>
      </c>
      <c r="P7" s="74" t="s">
        <v>435</v>
      </c>
      <c r="Q7" s="75" t="s">
        <v>436</v>
      </c>
      <c r="R7" s="73" t="s">
        <v>437</v>
      </c>
      <c r="S7" s="74" t="s">
        <v>438</v>
      </c>
      <c r="T7" s="74" t="s">
        <v>439</v>
      </c>
      <c r="U7" s="74" t="s">
        <v>440</v>
      </c>
      <c r="V7" s="74" t="s">
        <v>441</v>
      </c>
      <c r="W7" s="74" t="s">
        <v>442</v>
      </c>
      <c r="X7" s="74" t="s">
        <v>443</v>
      </c>
      <c r="Y7" s="74" t="s">
        <v>444</v>
      </c>
      <c r="Z7" s="74" t="s">
        <v>445</v>
      </c>
      <c r="AA7" s="74" t="s">
        <v>446</v>
      </c>
      <c r="AB7" s="74" t="s">
        <v>447</v>
      </c>
      <c r="AC7" s="75" t="s">
        <v>448</v>
      </c>
      <c r="AD7" s="73" t="s">
        <v>450</v>
      </c>
      <c r="AE7" s="74" t="s">
        <v>451</v>
      </c>
      <c r="AF7" s="74" t="s">
        <v>452</v>
      </c>
      <c r="AG7" s="74" t="s">
        <v>453</v>
      </c>
      <c r="AH7" s="74" t="s">
        <v>454</v>
      </c>
      <c r="AI7" s="74" t="s">
        <v>455</v>
      </c>
      <c r="AJ7" s="74" t="s">
        <v>456</v>
      </c>
      <c r="AK7" s="74" t="s">
        <v>457</v>
      </c>
      <c r="AL7" s="74" t="s">
        <v>458</v>
      </c>
      <c r="AM7" s="74" t="s">
        <v>459</v>
      </c>
      <c r="AN7" s="74" t="s">
        <v>460</v>
      </c>
      <c r="AO7" s="75" t="s">
        <v>449</v>
      </c>
      <c r="AP7" s="73" t="s">
        <v>461</v>
      </c>
      <c r="AQ7" s="74" t="s">
        <v>462</v>
      </c>
      <c r="AR7" s="74" t="s">
        <v>463</v>
      </c>
      <c r="AS7" s="74" t="s">
        <v>464</v>
      </c>
      <c r="AT7" s="74" t="s">
        <v>465</v>
      </c>
      <c r="AU7" s="74" t="s">
        <v>466</v>
      </c>
      <c r="AV7" s="74" t="s">
        <v>467</v>
      </c>
      <c r="AW7" s="74" t="s">
        <v>468</v>
      </c>
      <c r="AX7" s="74" t="s">
        <v>469</v>
      </c>
      <c r="AY7" s="74" t="s">
        <v>470</v>
      </c>
      <c r="AZ7" s="74" t="s">
        <v>471</v>
      </c>
      <c r="BA7" s="75" t="s">
        <v>472</v>
      </c>
      <c r="BB7" s="73" t="s">
        <v>473</v>
      </c>
      <c r="BC7" s="74" t="s">
        <v>474</v>
      </c>
      <c r="BD7" s="74" t="s">
        <v>475</v>
      </c>
      <c r="BE7" s="74" t="s">
        <v>476</v>
      </c>
      <c r="BF7" s="74" t="s">
        <v>477</v>
      </c>
      <c r="BG7" s="74" t="s">
        <v>478</v>
      </c>
      <c r="BH7" s="74" t="s">
        <v>479</v>
      </c>
      <c r="BI7" s="74" t="s">
        <v>480</v>
      </c>
      <c r="BJ7" s="74" t="s">
        <v>481</v>
      </c>
      <c r="BK7" s="74" t="s">
        <v>482</v>
      </c>
      <c r="BL7" s="74" t="s">
        <v>483</v>
      </c>
      <c r="BM7" s="75" t="s">
        <v>484</v>
      </c>
      <c r="BN7" s="73" t="s">
        <v>485</v>
      </c>
      <c r="BO7" s="74" t="s">
        <v>486</v>
      </c>
      <c r="BP7" s="74" t="s">
        <v>487</v>
      </c>
      <c r="BQ7" s="74" t="s">
        <v>488</v>
      </c>
      <c r="BR7" s="74" t="s">
        <v>489</v>
      </c>
      <c r="BS7" s="74" t="s">
        <v>490</v>
      </c>
      <c r="BT7" s="74" t="s">
        <v>491</v>
      </c>
      <c r="BU7" s="74" t="s">
        <v>492</v>
      </c>
      <c r="BV7" s="74" t="s">
        <v>493</v>
      </c>
      <c r="BW7" s="74" t="s">
        <v>494</v>
      </c>
      <c r="BX7" s="74" t="s">
        <v>495</v>
      </c>
      <c r="BY7" s="75" t="s">
        <v>496</v>
      </c>
      <c r="BZ7" s="74" t="s">
        <v>497</v>
      </c>
      <c r="CA7" s="74" t="s">
        <v>498</v>
      </c>
      <c r="CB7" s="74" t="s">
        <v>499</v>
      </c>
      <c r="CC7" s="74" t="s">
        <v>500</v>
      </c>
      <c r="CD7" s="74" t="s">
        <v>501</v>
      </c>
      <c r="CE7" s="74" t="s">
        <v>502</v>
      </c>
      <c r="CF7" s="74" t="s">
        <v>503</v>
      </c>
      <c r="CG7" s="74" t="s">
        <v>504</v>
      </c>
      <c r="CH7" s="74" t="s">
        <v>505</v>
      </c>
      <c r="CI7" s="74" t="s">
        <v>506</v>
      </c>
      <c r="CJ7" s="74" t="s">
        <v>507</v>
      </c>
      <c r="CK7" s="74" t="s">
        <v>508</v>
      </c>
      <c r="CL7" s="73" t="s">
        <v>509</v>
      </c>
      <c r="CM7" s="74" t="s">
        <v>510</v>
      </c>
      <c r="CN7" s="74" t="s">
        <v>511</v>
      </c>
      <c r="CO7" s="74" t="s">
        <v>512</v>
      </c>
      <c r="CP7" s="74" t="s">
        <v>513</v>
      </c>
      <c r="CQ7" s="74" t="s">
        <v>514</v>
      </c>
      <c r="CR7" s="74" t="s">
        <v>515</v>
      </c>
      <c r="CS7" s="74" t="s">
        <v>516</v>
      </c>
      <c r="CT7" s="74" t="s">
        <v>517</v>
      </c>
      <c r="CU7" s="74" t="s">
        <v>518</v>
      </c>
      <c r="CV7" s="74" t="s">
        <v>519</v>
      </c>
      <c r="CW7" s="75" t="s">
        <v>520</v>
      </c>
      <c r="CX7" s="73" t="s">
        <v>521</v>
      </c>
      <c r="CY7" s="74" t="s">
        <v>522</v>
      </c>
      <c r="CZ7" s="74" t="s">
        <v>523</v>
      </c>
      <c r="DA7" s="74" t="s">
        <v>524</v>
      </c>
      <c r="DB7" s="74" t="s">
        <v>525</v>
      </c>
      <c r="DC7" s="74" t="s">
        <v>526</v>
      </c>
      <c r="DD7" s="74" t="s">
        <v>527</v>
      </c>
      <c r="DE7" s="74" t="s">
        <v>528</v>
      </c>
      <c r="DF7" s="74" t="s">
        <v>529</v>
      </c>
      <c r="DG7" s="74" t="s">
        <v>530</v>
      </c>
      <c r="DH7" s="74" t="s">
        <v>531</v>
      </c>
      <c r="DI7" s="75" t="s">
        <v>532</v>
      </c>
      <c r="DJ7" s="73" t="s">
        <v>533</v>
      </c>
      <c r="DK7" s="74" t="s">
        <v>534</v>
      </c>
      <c r="DL7" s="74" t="s">
        <v>535</v>
      </c>
      <c r="DM7" s="74" t="s">
        <v>536</v>
      </c>
      <c r="DN7" s="74" t="s">
        <v>537</v>
      </c>
      <c r="DO7" s="74" t="s">
        <v>538</v>
      </c>
      <c r="DP7" s="74" t="s">
        <v>539</v>
      </c>
      <c r="DQ7" s="74" t="s">
        <v>540</v>
      </c>
      <c r="DR7" s="74" t="s">
        <v>541</v>
      </c>
      <c r="DS7" s="74" t="s">
        <v>542</v>
      </c>
      <c r="DT7" s="74" t="s">
        <v>543</v>
      </c>
      <c r="DU7" s="75" t="s">
        <v>544</v>
      </c>
      <c r="DV7" s="42" t="s">
        <v>695</v>
      </c>
      <c r="DW7" s="42" t="s">
        <v>696</v>
      </c>
      <c r="DX7" s="42" t="s">
        <v>697</v>
      </c>
      <c r="DY7" s="42" t="s">
        <v>698</v>
      </c>
      <c r="DZ7" s="42" t="s">
        <v>699</v>
      </c>
      <c r="EA7" s="42" t="s">
        <v>700</v>
      </c>
      <c r="EB7" s="42" t="s">
        <v>701</v>
      </c>
      <c r="EC7" s="42" t="s">
        <v>702</v>
      </c>
      <c r="ED7" s="42" t="s">
        <v>703</v>
      </c>
      <c r="EE7" s="42" t="s">
        <v>704</v>
      </c>
      <c r="EF7" s="42" t="s">
        <v>705</v>
      </c>
      <c r="EG7" s="42" t="s">
        <v>706</v>
      </c>
      <c r="EH7" s="42" t="s">
        <v>726</v>
      </c>
      <c r="EI7" s="42" t="s">
        <v>727</v>
      </c>
      <c r="EJ7" s="42" t="s">
        <v>728</v>
      </c>
      <c r="EK7" s="42" t="s">
        <v>729</v>
      </c>
      <c r="EL7" s="42" t="s">
        <v>730</v>
      </c>
      <c r="EM7" s="42" t="s">
        <v>731</v>
      </c>
      <c r="EN7" s="42" t="s">
        <v>732</v>
      </c>
      <c r="EO7" s="42" t="s">
        <v>733</v>
      </c>
      <c r="EP7" s="42" t="s">
        <v>734</v>
      </c>
      <c r="EQ7" s="42" t="s">
        <v>735</v>
      </c>
      <c r="ER7" s="42" t="s">
        <v>736</v>
      </c>
      <c r="ES7" s="42" t="s">
        <v>737</v>
      </c>
      <c r="ET7" s="331" t="s">
        <v>744</v>
      </c>
      <c r="EU7" s="331" t="s">
        <v>745</v>
      </c>
      <c r="EV7" s="331" t="s">
        <v>746</v>
      </c>
      <c r="EW7" s="331" t="s">
        <v>747</v>
      </c>
      <c r="EX7" s="331" t="s">
        <v>748</v>
      </c>
      <c r="EY7" s="331" t="s">
        <v>749</v>
      </c>
      <c r="EZ7" s="331" t="s">
        <v>750</v>
      </c>
      <c r="FA7" s="331" t="s">
        <v>751</v>
      </c>
      <c r="FB7" s="331" t="s">
        <v>752</v>
      </c>
      <c r="FC7" s="331" t="s">
        <v>753</v>
      </c>
      <c r="FD7" s="331" t="s">
        <v>754</v>
      </c>
      <c r="FE7" s="331" t="s">
        <v>755</v>
      </c>
      <c r="FF7" s="331" t="s">
        <v>761</v>
      </c>
      <c r="FG7" s="331" t="s">
        <v>762</v>
      </c>
      <c r="FH7" s="331" t="s">
        <v>763</v>
      </c>
      <c r="FI7" s="331" t="s">
        <v>764</v>
      </c>
      <c r="FJ7" s="331" t="s">
        <v>765</v>
      </c>
      <c r="FK7" s="331" t="s">
        <v>766</v>
      </c>
      <c r="FL7" s="331" t="s">
        <v>767</v>
      </c>
      <c r="FM7" s="331" t="s">
        <v>768</v>
      </c>
      <c r="FN7" s="331" t="s">
        <v>769</v>
      </c>
      <c r="FO7" s="331" t="s">
        <v>770</v>
      </c>
      <c r="FP7" s="331" t="s">
        <v>771</v>
      </c>
      <c r="FQ7" s="331" t="s">
        <v>772</v>
      </c>
      <c r="FR7" s="331" t="s">
        <v>782</v>
      </c>
      <c r="FS7" s="331" t="s">
        <v>783</v>
      </c>
      <c r="FT7" s="331" t="s">
        <v>784</v>
      </c>
      <c r="FU7" s="331" t="s">
        <v>785</v>
      </c>
      <c r="FV7" s="331" t="s">
        <v>786</v>
      </c>
      <c r="FW7" s="331" t="s">
        <v>787</v>
      </c>
      <c r="FX7" s="331" t="s">
        <v>788</v>
      </c>
      <c r="FY7" s="331" t="s">
        <v>789</v>
      </c>
      <c r="FZ7" s="331" t="s">
        <v>790</v>
      </c>
      <c r="GA7" s="331" t="s">
        <v>791</v>
      </c>
      <c r="GB7" s="331" t="s">
        <v>792</v>
      </c>
      <c r="GC7" s="331" t="s">
        <v>793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18">
        <v>73320205.209999993</v>
      </c>
      <c r="FS10" s="370">
        <v>69683087.400000006</v>
      </c>
      <c r="FT10" s="318"/>
      <c r="FU10" s="318"/>
      <c r="FV10" s="318"/>
      <c r="FW10" s="318"/>
      <c r="FX10" s="318"/>
      <c r="FY10" s="318"/>
      <c r="FZ10" s="318"/>
      <c r="GA10" s="318"/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69">
        <v>9514934.0399999991</v>
      </c>
      <c r="FT11" s="316"/>
      <c r="FU11" s="316"/>
      <c r="FV11" s="316"/>
      <c r="FW11" s="316"/>
      <c r="FX11" s="316"/>
      <c r="FY11" s="316"/>
      <c r="FZ11" s="316"/>
      <c r="GA11" s="316"/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69">
        <v>2402403.02</v>
      </c>
      <c r="FT12" s="316"/>
      <c r="FU12" s="316"/>
      <c r="FV12" s="316"/>
      <c r="FW12" s="316"/>
      <c r="FX12" s="316"/>
      <c r="FY12" s="316"/>
      <c r="FZ12" s="316"/>
      <c r="GA12" s="316"/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69">
        <v>168097.86</v>
      </c>
      <c r="FT13" s="316"/>
      <c r="FU13" s="316"/>
      <c r="FV13" s="316"/>
      <c r="FW13" s="316"/>
      <c r="FX13" s="316"/>
      <c r="FY13" s="316"/>
      <c r="FZ13" s="316"/>
      <c r="GA13" s="316"/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69">
        <v>40097544.82</v>
      </c>
      <c r="FT14" s="316"/>
      <c r="FU14" s="316"/>
      <c r="FV14" s="316"/>
      <c r="FW14" s="316"/>
      <c r="FX14" s="316"/>
      <c r="FY14" s="316"/>
      <c r="FZ14" s="316"/>
      <c r="GA14" s="316"/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69">
        <v>14831752.550000001</v>
      </c>
      <c r="FT15" s="316"/>
      <c r="FU15" s="316"/>
      <c r="FV15" s="316"/>
      <c r="FW15" s="316"/>
      <c r="FX15" s="316"/>
      <c r="FY15" s="316"/>
      <c r="FZ15" s="316"/>
      <c r="GA15" s="316"/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69">
        <v>1922810.55</v>
      </c>
      <c r="FT16" s="316"/>
      <c r="FU16" s="316"/>
      <c r="FV16" s="316"/>
      <c r="FW16" s="316"/>
      <c r="FX16" s="316"/>
      <c r="FY16" s="316"/>
      <c r="FZ16" s="316"/>
      <c r="GA16" s="316"/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69">
        <v>745544.56</v>
      </c>
      <c r="FT17" s="316"/>
      <c r="FU17" s="316"/>
      <c r="FV17" s="316"/>
      <c r="FW17" s="316"/>
      <c r="FX17" s="316"/>
      <c r="FY17" s="316"/>
      <c r="FZ17" s="316"/>
      <c r="GA17" s="316"/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18">
        <v>15749286.220000001</v>
      </c>
      <c r="FS18" s="370">
        <v>42574769.890000001</v>
      </c>
      <c r="FT18" s="318"/>
      <c r="FU18" s="318"/>
      <c r="FV18" s="318"/>
      <c r="FW18" s="318"/>
      <c r="FX18" s="318"/>
      <c r="FY18" s="318"/>
      <c r="FZ18" s="318"/>
      <c r="GA18" s="318"/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69">
        <v>26782162.98</v>
      </c>
      <c r="FT19" s="316"/>
      <c r="FU19" s="316"/>
      <c r="FV19" s="316"/>
      <c r="FW19" s="316"/>
      <c r="FX19" s="316"/>
      <c r="FY19" s="316"/>
      <c r="FZ19" s="316"/>
      <c r="GA19" s="316"/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69">
        <v>13521231.24</v>
      </c>
      <c r="FT20" s="316"/>
      <c r="FU20" s="316"/>
      <c r="FV20" s="316"/>
      <c r="FW20" s="316"/>
      <c r="FX20" s="316"/>
      <c r="FY20" s="316"/>
      <c r="FZ20" s="316"/>
      <c r="GA20" s="316"/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69">
        <v>1236727.53</v>
      </c>
      <c r="FT21" s="316"/>
      <c r="FU21" s="316"/>
      <c r="FV21" s="316"/>
      <c r="FW21" s="316"/>
      <c r="FX21" s="316"/>
      <c r="FY21" s="316"/>
      <c r="FZ21" s="316"/>
      <c r="GA21" s="316"/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69">
        <v>1034648.14</v>
      </c>
      <c r="FT22" s="316"/>
      <c r="FU22" s="316"/>
      <c r="FV22" s="316"/>
      <c r="FW22" s="316"/>
      <c r="FX22" s="316"/>
      <c r="FY22" s="316"/>
      <c r="FZ22" s="316"/>
      <c r="GA22" s="316"/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2">+SUM(CX24:CX27)</f>
        <v>987210.26</v>
      </c>
      <c r="CY23" s="121">
        <f t="shared" si="2"/>
        <v>2559133.91</v>
      </c>
      <c r="CZ23" s="121">
        <f t="shared" si="2"/>
        <v>1026658.4100000001</v>
      </c>
      <c r="DA23" s="121">
        <f t="shared" si="2"/>
        <v>1154845.05</v>
      </c>
      <c r="DB23" s="121">
        <f t="shared" si="2"/>
        <v>1020195.28</v>
      </c>
      <c r="DC23" s="121">
        <f t="shared" si="2"/>
        <v>1227617.2</v>
      </c>
      <c r="DD23" s="121">
        <f t="shared" si="2"/>
        <v>1201295.81</v>
      </c>
      <c r="DE23" s="121">
        <f t="shared" si="2"/>
        <v>1330351.8499999999</v>
      </c>
      <c r="DF23" s="121">
        <f t="shared" si="2"/>
        <v>1239112.8199999998</v>
      </c>
      <c r="DG23" s="121">
        <f t="shared" si="2"/>
        <v>1180240.26</v>
      </c>
      <c r="DH23" s="121">
        <f t="shared" si="2"/>
        <v>933354.76</v>
      </c>
      <c r="DI23" s="122">
        <f t="shared" si="2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1445452.81</v>
      </c>
      <c r="FR23" s="318">
        <v>669819.01</v>
      </c>
      <c r="FS23" s="370">
        <v>845756.92</v>
      </c>
      <c r="FT23" s="318"/>
      <c r="FU23" s="318"/>
      <c r="FV23" s="318"/>
      <c r="FW23" s="318"/>
      <c r="FX23" s="318"/>
      <c r="FY23" s="318"/>
      <c r="FZ23" s="318"/>
      <c r="GA23" s="318"/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952209.79</v>
      </c>
      <c r="FR24" s="316">
        <v>520343.73</v>
      </c>
      <c r="FS24" s="369">
        <v>652056.92000000004</v>
      </c>
      <c r="FT24" s="316"/>
      <c r="FU24" s="316"/>
      <c r="FV24" s="316"/>
      <c r="FW24" s="316"/>
      <c r="FX24" s="316"/>
      <c r="FY24" s="316"/>
      <c r="FZ24" s="316"/>
      <c r="GA24" s="316"/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69">
        <v>103685.1</v>
      </c>
      <c r="FT25" s="316"/>
      <c r="FU25" s="316"/>
      <c r="FV25" s="316"/>
      <c r="FW25" s="316"/>
      <c r="FX25" s="316"/>
      <c r="FY25" s="316"/>
      <c r="FZ25" s="316"/>
      <c r="GA25" s="316"/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69">
        <v>34709.39</v>
      </c>
      <c r="FT26" s="316"/>
      <c r="FU26" s="316"/>
      <c r="FV26" s="316"/>
      <c r="FW26" s="316"/>
      <c r="FX26" s="316"/>
      <c r="FY26" s="316"/>
      <c r="FZ26" s="316"/>
      <c r="GA26" s="316"/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69">
        <v>55305.51</v>
      </c>
      <c r="FT27" s="316"/>
      <c r="FU27" s="316"/>
      <c r="FV27" s="316"/>
      <c r="FW27" s="316"/>
      <c r="FX27" s="316"/>
      <c r="FY27" s="316"/>
      <c r="FZ27" s="316"/>
      <c r="GA27" s="316"/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3">+SUM(CX29:CX34)</f>
        <v>1287580.6800000002</v>
      </c>
      <c r="CY28" s="121">
        <f t="shared" si="3"/>
        <v>715085.05</v>
      </c>
      <c r="CZ28" s="121">
        <f t="shared" si="3"/>
        <v>890846.15</v>
      </c>
      <c r="DA28" s="121">
        <f t="shared" si="3"/>
        <v>876230.8</v>
      </c>
      <c r="DB28" s="121">
        <f t="shared" si="3"/>
        <v>1494813.69</v>
      </c>
      <c r="DC28" s="121">
        <f t="shared" si="3"/>
        <v>1663478.84</v>
      </c>
      <c r="DD28" s="121">
        <f t="shared" si="3"/>
        <v>1730168.3699999999</v>
      </c>
      <c r="DE28" s="121">
        <f t="shared" si="3"/>
        <v>1561341.1400000001</v>
      </c>
      <c r="DF28" s="121">
        <f t="shared" si="3"/>
        <v>1413088.9</v>
      </c>
      <c r="DG28" s="121">
        <f t="shared" si="3"/>
        <v>2751386.49</v>
      </c>
      <c r="DH28" s="121">
        <f t="shared" si="3"/>
        <v>1144837.4099999999</v>
      </c>
      <c r="DI28" s="122">
        <f t="shared" si="3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18">
        <v>2226726.9300000002</v>
      </c>
      <c r="FS28" s="370">
        <v>2200614.79</v>
      </c>
      <c r="FT28" s="318"/>
      <c r="FU28" s="318"/>
      <c r="FV28" s="318"/>
      <c r="FW28" s="318"/>
      <c r="FX28" s="318"/>
      <c r="FY28" s="318"/>
      <c r="FZ28" s="318"/>
      <c r="GA28" s="318"/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69">
        <v>97907.71</v>
      </c>
      <c r="FT29" s="316"/>
      <c r="FU29" s="316"/>
      <c r="FV29" s="316"/>
      <c r="FW29" s="316"/>
      <c r="FX29" s="316"/>
      <c r="FY29" s="316"/>
      <c r="FZ29" s="316"/>
      <c r="GA29" s="316"/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781</v>
      </c>
      <c r="FQ30" s="316">
        <v>979690.53</v>
      </c>
      <c r="FR30" s="316">
        <v>126343.77</v>
      </c>
      <c r="FS30" s="369">
        <v>175288.1</v>
      </c>
      <c r="FT30" s="316"/>
      <c r="FU30" s="316"/>
      <c r="FV30" s="316"/>
      <c r="FW30" s="316"/>
      <c r="FX30" s="316"/>
      <c r="FY30" s="316"/>
      <c r="FZ30" s="316"/>
      <c r="GA30" s="316"/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69">
        <v>84.68</v>
      </c>
      <c r="FT31" s="316"/>
      <c r="FU31" s="316"/>
      <c r="FV31" s="316"/>
      <c r="FW31" s="316"/>
      <c r="FX31" s="316"/>
      <c r="FY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803</v>
      </c>
      <c r="EN32" s="316" t="s">
        <v>804</v>
      </c>
      <c r="EO32" s="316">
        <v>608693.02</v>
      </c>
      <c r="EP32" s="316" t="s">
        <v>805</v>
      </c>
      <c r="EQ32" s="316">
        <v>179273.43</v>
      </c>
      <c r="ER32" s="316" t="s">
        <v>806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69">
        <v>791268.92</v>
      </c>
      <c r="FT32" s="316"/>
      <c r="FU32" s="316"/>
      <c r="FV32" s="316"/>
      <c r="FW32" s="316"/>
      <c r="FX32" s="316"/>
      <c r="FY32" s="316"/>
      <c r="FZ32" s="316"/>
      <c r="GA32" s="316"/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69">
        <v>144224.95999999999</v>
      </c>
      <c r="FT33" s="316"/>
      <c r="FU33" s="316"/>
      <c r="FV33" s="316"/>
      <c r="FW33" s="316"/>
      <c r="FX33" s="316"/>
      <c r="FY33" s="316"/>
      <c r="FZ33" s="316"/>
      <c r="GA33" s="316"/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69">
        <v>991840.42</v>
      </c>
      <c r="FT34" s="316"/>
      <c r="FU34" s="316"/>
      <c r="FV34" s="316"/>
      <c r="FW34" s="316"/>
      <c r="FX34" s="316"/>
      <c r="FY34" s="316"/>
      <c r="FZ34" s="316"/>
      <c r="GA34" s="316"/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4">+SUM(CX36:CX39)</f>
        <v>2212904.56</v>
      </c>
      <c r="CY35" s="121">
        <f t="shared" si="4"/>
        <v>1440899.72</v>
      </c>
      <c r="CZ35" s="121">
        <f t="shared" si="4"/>
        <v>1630424.69</v>
      </c>
      <c r="DA35" s="121">
        <f t="shared" si="4"/>
        <v>2252207.5300000003</v>
      </c>
      <c r="DB35" s="121">
        <f t="shared" si="4"/>
        <v>3037379.71</v>
      </c>
      <c r="DC35" s="121">
        <f t="shared" si="4"/>
        <v>3367439.83</v>
      </c>
      <c r="DD35" s="121">
        <f t="shared" si="4"/>
        <v>2293849.2600000002</v>
      </c>
      <c r="DE35" s="121">
        <f t="shared" si="4"/>
        <v>2870214.09</v>
      </c>
      <c r="DF35" s="121">
        <f t="shared" si="4"/>
        <v>2413546.9499999997</v>
      </c>
      <c r="DG35" s="121">
        <f t="shared" si="4"/>
        <v>2077385.13</v>
      </c>
      <c r="DH35" s="121">
        <f t="shared" si="4"/>
        <v>1707765.33</v>
      </c>
      <c r="DI35" s="122">
        <f t="shared" si="4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2199531.1</v>
      </c>
      <c r="FH35" s="318">
        <v>3193816.55</v>
      </c>
      <c r="FI35" s="318">
        <v>2384912.75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2214023.2000000002</v>
      </c>
      <c r="FO35" s="318">
        <v>2505033.94</v>
      </c>
      <c r="FP35" s="318">
        <v>2278636.0299999998</v>
      </c>
      <c r="FQ35" s="318">
        <v>42306339.840000004</v>
      </c>
      <c r="FR35" s="318">
        <v>1484714.27</v>
      </c>
      <c r="FS35" s="370">
        <v>2100277.88</v>
      </c>
      <c r="FT35" s="318"/>
      <c r="FU35" s="318"/>
      <c r="FV35" s="318"/>
      <c r="FW35" s="318"/>
      <c r="FX35" s="318"/>
      <c r="FY35" s="318"/>
      <c r="FZ35" s="318"/>
      <c r="GA35" s="318"/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53359.77</v>
      </c>
      <c r="FS36" s="369">
        <v>217955.03</v>
      </c>
      <c r="FT36" s="316"/>
      <c r="FU36" s="316"/>
      <c r="FV36" s="316"/>
      <c r="FW36" s="316"/>
      <c r="FX36" s="316"/>
      <c r="FY36" s="316"/>
      <c r="FZ36" s="316"/>
      <c r="GA36" s="316"/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69">
        <v>1051133.5</v>
      </c>
      <c r="FT37" s="316"/>
      <c r="FU37" s="316"/>
      <c r="FV37" s="316"/>
      <c r="FW37" s="316"/>
      <c r="FX37" s="316"/>
      <c r="FY37" s="316"/>
      <c r="FZ37" s="316"/>
      <c r="GA37" s="316"/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69">
        <v>207689.67</v>
      </c>
      <c r="FT38" s="316"/>
      <c r="FU38" s="316"/>
      <c r="FV38" s="316"/>
      <c r="FW38" s="316"/>
      <c r="FX38" s="316"/>
      <c r="FY38" s="316"/>
      <c r="FZ38" s="316"/>
      <c r="GA38" s="316"/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490213.19</v>
      </c>
      <c r="FS39" s="369">
        <v>623499.68000000005</v>
      </c>
      <c r="FT39" s="316"/>
      <c r="FU39" s="316"/>
      <c r="FV39" s="316"/>
      <c r="FW39" s="316"/>
      <c r="FX39" s="316"/>
      <c r="FY39" s="316"/>
      <c r="FZ39" s="316"/>
      <c r="GA39" s="316"/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5">+SUM(DB41:DB42)</f>
        <v>144908.31</v>
      </c>
      <c r="DC40" s="121">
        <f t="shared" si="5"/>
        <v>267027.43</v>
      </c>
      <c r="DD40" s="121">
        <f t="shared" si="5"/>
        <v>704985.3899999999</v>
      </c>
      <c r="DE40" s="121">
        <f t="shared" si="5"/>
        <v>471372.96</v>
      </c>
      <c r="DF40" s="121">
        <f t="shared" si="5"/>
        <v>1969746.6500000001</v>
      </c>
      <c r="DG40" s="121">
        <f t="shared" si="5"/>
        <v>882280.21</v>
      </c>
      <c r="DH40" s="121">
        <f t="shared" si="5"/>
        <v>238081.41999999998</v>
      </c>
      <c r="DI40" s="122">
        <f t="shared" si="5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70">
        <v>437988.22</v>
      </c>
      <c r="FT40" s="318"/>
      <c r="FU40" s="318"/>
      <c r="FV40" s="318"/>
      <c r="FW40" s="318"/>
      <c r="FX40" s="318"/>
      <c r="FY40" s="318"/>
      <c r="FZ40" s="318"/>
      <c r="GA40" s="318"/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69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69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6">+SUM(CY44:CY45)</f>
        <v>107462.68</v>
      </c>
      <c r="CZ43" s="121">
        <f t="shared" si="6"/>
        <v>292731.87</v>
      </c>
      <c r="DA43" s="121">
        <f t="shared" si="6"/>
        <v>369726.11</v>
      </c>
      <c r="DB43" s="121">
        <f t="shared" si="6"/>
        <v>118088.34</v>
      </c>
      <c r="DC43" s="121">
        <f t="shared" si="6"/>
        <v>988773.85</v>
      </c>
      <c r="DD43" s="121">
        <f t="shared" si="6"/>
        <v>98780.82</v>
      </c>
      <c r="DE43" s="121">
        <f t="shared" si="6"/>
        <v>305044.76</v>
      </c>
      <c r="DF43" s="121">
        <f t="shared" si="6"/>
        <v>476893.98</v>
      </c>
      <c r="DG43" s="121">
        <f t="shared" si="6"/>
        <v>368051.05</v>
      </c>
      <c r="DH43" s="121">
        <f t="shared" si="6"/>
        <v>1895040.21</v>
      </c>
      <c r="DI43" s="122">
        <f t="shared" si="6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1668986.37</v>
      </c>
      <c r="FR43" s="318">
        <v>80819.179999999993</v>
      </c>
      <c r="FS43" s="370">
        <v>813727.89</v>
      </c>
      <c r="FT43" s="318"/>
      <c r="FU43" s="318"/>
      <c r="FV43" s="318"/>
      <c r="FW43" s="318"/>
      <c r="FX43" s="318"/>
      <c r="FY43" s="318"/>
      <c r="FZ43" s="318"/>
      <c r="GA43" s="318"/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69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69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7">+SUM(CY47:CY48)</f>
        <v>720536.12</v>
      </c>
      <c r="CZ46" s="121">
        <f t="shared" si="7"/>
        <v>173095.78</v>
      </c>
      <c r="DA46" s="121">
        <f t="shared" si="7"/>
        <v>636951.02</v>
      </c>
      <c r="DB46" s="121">
        <f t="shared" si="7"/>
        <v>295224.23</v>
      </c>
      <c r="DC46" s="121">
        <f t="shared" si="7"/>
        <v>145661.5</v>
      </c>
      <c r="DD46" s="121">
        <f t="shared" si="7"/>
        <v>289870.69</v>
      </c>
      <c r="DE46" s="121">
        <f t="shared" si="7"/>
        <v>331260.12</v>
      </c>
      <c r="DF46" s="121">
        <f t="shared" si="7"/>
        <v>407300.13</v>
      </c>
      <c r="DG46" s="121">
        <f t="shared" si="7"/>
        <v>306869.74</v>
      </c>
      <c r="DH46" s="121">
        <f t="shared" si="7"/>
        <v>983922.2</v>
      </c>
      <c r="DI46" s="122">
        <f t="shared" si="7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3964637.48</v>
      </c>
      <c r="FR46" s="318">
        <v>754264.83</v>
      </c>
      <c r="FS46" s="370">
        <v>1636489.54</v>
      </c>
      <c r="FT46" s="318"/>
      <c r="FU46" s="318"/>
      <c r="FV46" s="318"/>
      <c r="FW46" s="318"/>
      <c r="FX46" s="318"/>
      <c r="FY46" s="318"/>
      <c r="FZ46" s="318"/>
      <c r="GA46" s="318"/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69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69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8">+CY50</f>
        <v>43700264.219999999</v>
      </c>
      <c r="CZ49" s="121">
        <f t="shared" si="8"/>
        <v>83407940.25</v>
      </c>
      <c r="DA49" s="121">
        <f t="shared" si="8"/>
        <v>32989063.890000001</v>
      </c>
      <c r="DB49" s="121">
        <f t="shared" si="8"/>
        <v>280177927.55000001</v>
      </c>
      <c r="DC49" s="121">
        <f t="shared" si="8"/>
        <v>524720.3600000001</v>
      </c>
      <c r="DD49" s="121">
        <f t="shared" si="8"/>
        <v>15730778.189999999</v>
      </c>
      <c r="DE49" s="121">
        <f t="shared" si="8"/>
        <v>41036448.079999998</v>
      </c>
      <c r="DF49" s="121">
        <f t="shared" si="8"/>
        <v>15186675.5</v>
      </c>
      <c r="DG49" s="121">
        <f t="shared" si="8"/>
        <v>4181439.2199999997</v>
      </c>
      <c r="DH49" s="121">
        <f t="shared" si="8"/>
        <v>3184747.73</v>
      </c>
      <c r="DI49" s="122">
        <f t="shared" si="8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70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9">+SUM(CY51:CY52)</f>
        <v>43700264.219999999</v>
      </c>
      <c r="CZ50" s="101">
        <f t="shared" si="9"/>
        <v>83407940.25</v>
      </c>
      <c r="DA50" s="101">
        <f t="shared" si="9"/>
        <v>32989063.890000001</v>
      </c>
      <c r="DB50" s="101">
        <f t="shared" si="9"/>
        <v>280177927.55000001</v>
      </c>
      <c r="DC50" s="101">
        <f t="shared" si="9"/>
        <v>524720.3600000001</v>
      </c>
      <c r="DD50" s="101">
        <f t="shared" si="9"/>
        <v>15730778.189999999</v>
      </c>
      <c r="DE50" s="101">
        <f t="shared" si="9"/>
        <v>41036448.079999998</v>
      </c>
      <c r="DF50" s="101">
        <f t="shared" si="9"/>
        <v>15186675.5</v>
      </c>
      <c r="DG50" s="101">
        <f t="shared" si="9"/>
        <v>4181439.2199999997</v>
      </c>
      <c r="DH50" s="101">
        <f t="shared" si="9"/>
        <v>3184747.73</v>
      </c>
      <c r="DI50" s="102">
        <f t="shared" si="9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69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69">
        <v>23000000</v>
      </c>
      <c r="FT51" s="316"/>
      <c r="FU51" s="316"/>
      <c r="FV51" s="316"/>
      <c r="FW51" s="316"/>
      <c r="FX51" s="316"/>
      <c r="FY51" s="316"/>
      <c r="FZ51" s="316"/>
      <c r="GA51" s="316"/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512724701.25</v>
      </c>
      <c r="FP52" s="316">
        <v>10136902.300000001</v>
      </c>
      <c r="FQ52" s="316">
        <v>17594759.329999998</v>
      </c>
      <c r="FR52" s="316">
        <v>316564.84000000003</v>
      </c>
      <c r="FS52" s="369">
        <v>1511136.76</v>
      </c>
      <c r="FT52" s="316"/>
      <c r="FU52" s="316"/>
      <c r="FV52" s="316"/>
      <c r="FW52" s="316"/>
      <c r="FX52" s="316"/>
      <c r="FY52" s="316"/>
      <c r="FZ52" s="316"/>
      <c r="GA52" s="316"/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43410895.729999997</v>
      </c>
      <c r="FR55" s="316">
        <v>40884882.280000001</v>
      </c>
      <c r="FS55" s="316">
        <v>41362850.270000003</v>
      </c>
      <c r="FT55" s="316"/>
      <c r="FU55" s="316"/>
      <c r="FV55" s="316"/>
      <c r="FW55" s="316"/>
      <c r="FX55" s="316"/>
      <c r="FY55" s="316"/>
      <c r="FZ55" s="316"/>
      <c r="GA55" s="316"/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f>1037317.51-3755</f>
        <v>1033562.51</v>
      </c>
      <c r="FH61" s="316">
        <f>739399.21-3755</f>
        <v>735644.21</v>
      </c>
      <c r="FI61" s="316">
        <f>1606178.02-3755</f>
        <v>1602423.02</v>
      </c>
      <c r="FJ61" s="316">
        <f>1045130.65-3755</f>
        <v>1041375.65</v>
      </c>
      <c r="FK61" s="316">
        <f>649835.03-3755</f>
        <v>646080.03</v>
      </c>
      <c r="FL61" s="368">
        <f>1612322.32-7510</f>
        <v>1604812.32</v>
      </c>
      <c r="FM61" s="316">
        <f>863508.85</f>
        <v>863508.85</v>
      </c>
      <c r="FN61" s="316">
        <f>1072577.13-3755</f>
        <v>1068822.1299999999</v>
      </c>
      <c r="FO61" s="316">
        <f>1121921.44-3755</f>
        <v>1118166.44</v>
      </c>
      <c r="FP61" s="316">
        <f>1060149.58-3755</f>
        <v>1056394.58</v>
      </c>
      <c r="FQ61" s="369">
        <f>3987318.08-7510</f>
        <v>3979808.08</v>
      </c>
      <c r="FR61" s="369">
        <v>476603.42</v>
      </c>
      <c r="FS61" s="316">
        <v>1082169.6499999999</v>
      </c>
      <c r="FT61" s="316"/>
      <c r="FU61" s="316"/>
      <c r="FV61" s="316"/>
      <c r="FW61" s="316"/>
      <c r="FX61" s="316"/>
      <c r="FY61" s="316"/>
      <c r="FZ61" s="316"/>
      <c r="GA61" s="316"/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848989.3</v>
      </c>
      <c r="FG69" s="316">
        <f>2487192.65-72.6</f>
        <v>2487120.0499999998</v>
      </c>
      <c r="FH69" s="316">
        <f>2594267.44-1172.06</f>
        <v>2593095.38</v>
      </c>
      <c r="FI69" s="316">
        <v>2483216.04</v>
      </c>
      <c r="FJ69" s="316">
        <v>2260839.3199999998</v>
      </c>
      <c r="FK69" s="316">
        <f>3138707.97-1847.12</f>
        <v>3136860.85</v>
      </c>
      <c r="FL69" s="368">
        <v>2237139.04</v>
      </c>
      <c r="FM69" s="316">
        <v>2457548.14</v>
      </c>
      <c r="FN69" s="316">
        <f>2773014.3-132586.18</f>
        <v>2640428.1199999996</v>
      </c>
      <c r="FO69" s="316">
        <f>3205444.52-453.75</f>
        <v>3204990.77</v>
      </c>
      <c r="FP69" s="316">
        <f>3631125.91-538.27</f>
        <v>3630587.64</v>
      </c>
      <c r="FQ69" s="316">
        <f>5178410.9-1488.33</f>
        <v>5176922.57</v>
      </c>
      <c r="FR69" s="316">
        <v>845574.4</v>
      </c>
      <c r="FS69" s="316">
        <v>4271561.3099999996</v>
      </c>
      <c r="FT69" s="316"/>
      <c r="FU69" s="316"/>
      <c r="FV69" s="316"/>
      <c r="FW69" s="316"/>
      <c r="FX69" s="316"/>
      <c r="FY69" s="316"/>
      <c r="FZ69" s="316"/>
      <c r="GA69" s="316"/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f>2798097.16-39060.34</f>
        <v>2759036.8200000003</v>
      </c>
      <c r="FG76" s="316">
        <f>4315711.99-701161.07</f>
        <v>3614550.9200000004</v>
      </c>
      <c r="FH76" s="316">
        <f>4685437.57-710620.25</f>
        <v>3974817.3200000003</v>
      </c>
      <c r="FI76" s="316">
        <f>4348888.45-291739.06</f>
        <v>4057149.39</v>
      </c>
      <c r="FJ76" s="316">
        <f>6607364.25-322487.03</f>
        <v>6284877.2199999997</v>
      </c>
      <c r="FK76" s="316">
        <f>6800888.16-716972.31</f>
        <v>6083915.8499999996</v>
      </c>
      <c r="FL76" s="368">
        <f>8571929.27-1017895.43</f>
        <v>7554033.8399999999</v>
      </c>
      <c r="FM76" s="316">
        <f>3295941.58-181310.27</f>
        <v>3114631.31</v>
      </c>
      <c r="FN76" s="316">
        <f>5825082.51-728313.65</f>
        <v>5096768.8599999994</v>
      </c>
      <c r="FO76" s="316">
        <f>7992204.62-1047897.36</f>
        <v>6944307.2599999998</v>
      </c>
      <c r="FP76" s="369">
        <f>7183420.35-326561.62</f>
        <v>6856858.7299999995</v>
      </c>
      <c r="FQ76" s="316">
        <f>15292384.64-2176507.67</f>
        <v>13115876.970000001</v>
      </c>
      <c r="FR76" s="316">
        <v>1526609.67</v>
      </c>
      <c r="FS76" s="316">
        <v>5801121.7699999996</v>
      </c>
      <c r="FT76" s="316"/>
      <c r="FU76" s="316"/>
      <c r="FV76" s="316"/>
      <c r="FW76" s="316"/>
      <c r="FX76" s="316"/>
      <c r="FY76" s="316"/>
      <c r="FZ76" s="316"/>
      <c r="GA76" s="316"/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f>1531025.06-969.2</f>
        <v>1530055.86</v>
      </c>
      <c r="FH86" s="316">
        <v>1550264.35</v>
      </c>
      <c r="FI86" s="316">
        <v>1599647.1</v>
      </c>
      <c r="FJ86" s="316">
        <v>1715921.5</v>
      </c>
      <c r="FK86" s="316">
        <f>1358028.1-2071.34</f>
        <v>1355956.76</v>
      </c>
      <c r="FL86" s="368">
        <f>2071180.13-828.89</f>
        <v>2070351.24</v>
      </c>
      <c r="FM86" s="316">
        <v>1118342.44</v>
      </c>
      <c r="FN86" s="316">
        <f>1708547.91-84.2</f>
        <v>1708463.71</v>
      </c>
      <c r="FO86" s="316">
        <v>2758670.97</v>
      </c>
      <c r="FP86" s="316">
        <v>2123777.0099999998</v>
      </c>
      <c r="FQ86" s="316">
        <f>4885931.83-4711.8</f>
        <v>4881220.03</v>
      </c>
      <c r="FR86" s="316">
        <v>108691.98</v>
      </c>
      <c r="FS86" s="316">
        <v>2265483.7400000002</v>
      </c>
      <c r="FT86" s="316"/>
      <c r="FU86" s="316"/>
      <c r="FV86" s="316"/>
      <c r="FW86" s="316"/>
      <c r="FX86" s="316"/>
      <c r="FY86" s="316"/>
      <c r="FZ86" s="316"/>
      <c r="GA86" s="316"/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5627705.1600000001</v>
      </c>
      <c r="FR90" s="316">
        <v>7546241.2199999997</v>
      </c>
      <c r="FS90" s="316">
        <v>1839801.88</v>
      </c>
      <c r="FT90" s="316"/>
      <c r="FU90" s="316"/>
      <c r="FV90" s="316"/>
      <c r="FW90" s="316"/>
      <c r="FX90" s="316"/>
      <c r="FY90" s="316"/>
      <c r="FZ90" s="316"/>
      <c r="GA90" s="316"/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2287205.65</v>
      </c>
      <c r="FR93" s="316">
        <v>616777.93000000005</v>
      </c>
      <c r="FS93" s="316">
        <v>930050.26</v>
      </c>
      <c r="FT93" s="316"/>
      <c r="FU93" s="316"/>
      <c r="FV93" s="316"/>
      <c r="FW93" s="316"/>
      <c r="FX93" s="316"/>
      <c r="FY93" s="316"/>
      <c r="FZ93" s="316"/>
      <c r="GA93" s="316"/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2194236.0299999998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>
        <v>1211715.27</v>
      </c>
      <c r="FT97" s="316"/>
      <c r="FU97" s="316"/>
      <c r="FV97" s="316"/>
      <c r="FW97" s="316"/>
      <c r="FX97" s="316"/>
      <c r="FY97" s="316"/>
      <c r="FZ97" s="316"/>
      <c r="GA97" s="316"/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f>693433.59-99772.52</f>
        <v>593661.06999999995</v>
      </c>
      <c r="FG101" s="316">
        <f>3354189.3-169766.85</f>
        <v>3184422.4499999997</v>
      </c>
      <c r="FH101" s="316">
        <f>2292294.35-380700.43</f>
        <v>1911593.9200000002</v>
      </c>
      <c r="FI101" s="316">
        <f>5377993.49-317617.32</f>
        <v>5060376.17</v>
      </c>
      <c r="FJ101" s="316">
        <f>2113701.01-322036.33</f>
        <v>1791664.6799999997</v>
      </c>
      <c r="FK101" s="316">
        <f>4480934.04-861588.43</f>
        <v>3619345.61</v>
      </c>
      <c r="FL101" s="368">
        <f>3827386.53-392905.38</f>
        <v>3434481.15</v>
      </c>
      <c r="FM101" s="316">
        <f>4013042.17-500300.19</f>
        <v>3512741.98</v>
      </c>
      <c r="FN101" s="316">
        <f>4099694.74-1475938.62</f>
        <v>2623756.12</v>
      </c>
      <c r="FO101" s="316">
        <f>3042856.49-357345.66</f>
        <v>2685510.83</v>
      </c>
      <c r="FP101" s="316">
        <f>3173787.81-398911.38</f>
        <v>2774876.43</v>
      </c>
      <c r="FQ101" s="316">
        <f>13550254.87-5858623.94</f>
        <v>7691630.9299999988</v>
      </c>
      <c r="FR101" s="316">
        <v>1397051.29</v>
      </c>
      <c r="FS101" s="316">
        <v>3848578.53</v>
      </c>
      <c r="FT101" s="316"/>
      <c r="FU101" s="316"/>
      <c r="FV101" s="316"/>
      <c r="FW101" s="316"/>
      <c r="FX101" s="316"/>
      <c r="FY101" s="316"/>
      <c r="FZ101" s="316"/>
      <c r="GA101" s="316"/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6410465.4699999997</v>
      </c>
      <c r="FK112" s="316">
        <v>6536921.0899999999</v>
      </c>
      <c r="FL112" s="368">
        <v>6798455.0999999996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>
        <v>7174722.5199999996</v>
      </c>
      <c r="FT112" s="316"/>
      <c r="FU112" s="316"/>
      <c r="FV112" s="316"/>
      <c r="FW112" s="316"/>
      <c r="FX112" s="316"/>
      <c r="FY112" s="316"/>
      <c r="FZ112" s="316"/>
      <c r="GA112" s="316"/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807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6205235.9000000004</v>
      </c>
      <c r="FR121" s="316">
        <v>54255.6</v>
      </c>
      <c r="FS121" s="316">
        <v>1607182</v>
      </c>
      <c r="FT121" s="316"/>
      <c r="FU121" s="316"/>
      <c r="FV121" s="316"/>
      <c r="FW121" s="316"/>
      <c r="FX121" s="316"/>
      <c r="FY121" s="316"/>
      <c r="FZ121" s="316"/>
      <c r="GA121" s="316"/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35530204.509999998</v>
      </c>
      <c r="FH127" s="316">
        <v>35281542.840000004</v>
      </c>
      <c r="FI127" s="316">
        <v>35247727.210000001</v>
      </c>
      <c r="FJ127" s="316">
        <v>34782667.030000001</v>
      </c>
      <c r="FK127" s="316">
        <v>35185457.75</v>
      </c>
      <c r="FL127" s="369">
        <v>35081479.57</v>
      </c>
      <c r="FM127" s="316">
        <v>35015667.189999998</v>
      </c>
      <c r="FN127" s="316">
        <v>35023295.399999999</v>
      </c>
      <c r="FO127" s="316">
        <v>34921729.93</v>
      </c>
      <c r="FP127" s="316">
        <v>35000424.549999997</v>
      </c>
      <c r="FQ127" s="369">
        <v>35337455.140000001</v>
      </c>
      <c r="FR127" s="316">
        <v>34875207.159999996</v>
      </c>
      <c r="FS127" s="316">
        <v>36010789.840000004</v>
      </c>
      <c r="FT127" s="316"/>
      <c r="FU127" s="316"/>
      <c r="FV127" s="316"/>
      <c r="FW127" s="316"/>
      <c r="FX127" s="316"/>
      <c r="FY127" s="316"/>
      <c r="FZ127" s="316"/>
      <c r="GA127" s="316"/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>
        <v>1831428.58</v>
      </c>
      <c r="FT135" s="316"/>
      <c r="FU135" s="316"/>
      <c r="FV135" s="316"/>
      <c r="FW135" s="316"/>
      <c r="FX135" s="316"/>
      <c r="FY135" s="316"/>
      <c r="FZ135" s="316"/>
      <c r="GA135" s="316"/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>
        <v>838710.44</v>
      </c>
      <c r="FT137" s="316"/>
      <c r="FU137" s="316"/>
      <c r="FV137" s="316"/>
      <c r="FW137" s="316"/>
      <c r="FX137" s="316"/>
      <c r="FY137" s="316"/>
      <c r="FZ137" s="316"/>
      <c r="GA137" s="316"/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14819789.789999999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>
        <v>23914849.32</v>
      </c>
      <c r="FT141" s="316"/>
      <c r="FU141" s="316"/>
      <c r="FV141" s="316"/>
      <c r="FW141" s="316"/>
      <c r="FX141" s="316"/>
      <c r="FY141" s="316"/>
      <c r="FZ141" s="316"/>
      <c r="GA141" s="316"/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>
        <v>16553117.15</v>
      </c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>
        <v>2077471.58</v>
      </c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796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26799713.309999999</v>
      </c>
      <c r="FG159" s="316">
        <v>4566174.7300000004</v>
      </c>
      <c r="FH159" s="316">
        <v>16026445.34</v>
      </c>
      <c r="FI159" s="316">
        <v>12709228.77</v>
      </c>
      <c r="FJ159" s="316">
        <v>12112655.92</v>
      </c>
      <c r="FK159" s="41">
        <v>14428455.43</v>
      </c>
      <c r="FL159" s="369">
        <v>24624860.789999999</v>
      </c>
      <c r="FM159" s="316">
        <v>41555733.579999998</v>
      </c>
      <c r="FN159" s="316">
        <v>16395443.43</v>
      </c>
      <c r="FO159" s="316">
        <v>29474002.559999999</v>
      </c>
      <c r="FP159" s="316">
        <v>24779663.789999999</v>
      </c>
      <c r="FQ159" s="316">
        <v>48910344.240000002</v>
      </c>
      <c r="FR159" s="316">
        <v>4153095.62</v>
      </c>
      <c r="FS159" s="316">
        <v>8919354.2899999991</v>
      </c>
      <c r="FT159" s="316"/>
      <c r="FU159" s="316"/>
      <c r="FV159" s="316"/>
      <c r="FW159" s="316"/>
      <c r="FX159" s="316"/>
      <c r="FY159" s="316"/>
      <c r="FZ159" s="316"/>
      <c r="GA159" s="316"/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>
        <v>277634</v>
      </c>
      <c r="FT169" s="316"/>
      <c r="FU169" s="316"/>
      <c r="FV169" s="316"/>
      <c r="FW169" s="316"/>
      <c r="FX169" s="316"/>
      <c r="FY169" s="316"/>
      <c r="FZ169" s="316"/>
      <c r="GA169" s="316"/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>
        <v>54840868.399999999</v>
      </c>
      <c r="FT178" s="316"/>
      <c r="FU178" s="316"/>
      <c r="FV178" s="316"/>
      <c r="FW178" s="316"/>
      <c r="FX178" s="316"/>
      <c r="FY178" s="316"/>
      <c r="FZ178" s="316"/>
      <c r="GA178" s="316"/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>
        <v>10524954.35</v>
      </c>
      <c r="FT179" s="316"/>
      <c r="FU179" s="316"/>
      <c r="FV179" s="316"/>
      <c r="FW179" s="316"/>
      <c r="FX179" s="316"/>
      <c r="FY179" s="316"/>
      <c r="FZ179" s="316"/>
      <c r="GA179" s="316"/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1788599.55</v>
      </c>
      <c r="FJ183" s="316">
        <v>1469971.03</v>
      </c>
      <c r="FK183" s="316">
        <v>1848609.33</v>
      </c>
      <c r="FL183" s="368">
        <v>4446503.8099999996</v>
      </c>
      <c r="FM183" s="316">
        <v>903390.64</v>
      </c>
      <c r="FN183" s="316">
        <v>1579978.54</v>
      </c>
      <c r="FO183" s="316">
        <v>1269302.99</v>
      </c>
      <c r="FP183" s="316">
        <v>1244693.3799999999</v>
      </c>
      <c r="FQ183" s="316">
        <v>1794864.65</v>
      </c>
      <c r="FR183" s="316">
        <v>1234088.2</v>
      </c>
      <c r="FS183" s="316">
        <v>1922034.51</v>
      </c>
      <c r="FT183" s="316"/>
      <c r="FU183" s="316"/>
      <c r="FV183" s="316"/>
      <c r="FW183" s="316"/>
      <c r="FX183" s="316"/>
      <c r="FY183" s="316"/>
      <c r="FZ183" s="316"/>
      <c r="GA183" s="316"/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368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>
        <v>720000</v>
      </c>
      <c r="FT184" s="316"/>
      <c r="FU184" s="316"/>
      <c r="FV184" s="316"/>
      <c r="FW184" s="316"/>
      <c r="FX184" s="316"/>
      <c r="FY184" s="316"/>
      <c r="FZ184" s="316"/>
      <c r="GA184" s="316"/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370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372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374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687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Izdaci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0">+CY190-CY191</f>
        <v>#REF!</v>
      </c>
      <c r="CZ192" s="101" t="e">
        <f t="shared" si="10"/>
        <v>#REF!</v>
      </c>
      <c r="DA192" s="101" t="e">
        <f t="shared" si="10"/>
        <v>#REF!</v>
      </c>
      <c r="DB192" s="101" t="e">
        <f t="shared" si="10"/>
        <v>#REF!</v>
      </c>
      <c r="DC192" s="101" t="e">
        <f t="shared" si="10"/>
        <v>#REF!</v>
      </c>
      <c r="DD192" s="101" t="e">
        <f t="shared" si="10"/>
        <v>#REF!</v>
      </c>
      <c r="DE192" s="101" t="e">
        <f t="shared" si="10"/>
        <v>#REF!</v>
      </c>
      <c r="DF192" s="101" t="e">
        <f t="shared" si="10"/>
        <v>#REF!</v>
      </c>
      <c r="DG192" s="101" t="e">
        <f t="shared" si="10"/>
        <v>#REF!</v>
      </c>
      <c r="DH192" s="101" t="e">
        <f t="shared" si="10"/>
        <v>#REF!</v>
      </c>
      <c r="DI192" s="101" t="e">
        <f t="shared" si="10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3" t="s">
        <v>678</v>
      </c>
      <c r="F214" s="591">
        <v>2006</v>
      </c>
      <c r="G214" s="590"/>
      <c r="H214" s="590"/>
      <c r="I214" s="590"/>
      <c r="J214" s="590"/>
      <c r="K214" s="590"/>
      <c r="L214" s="590"/>
      <c r="M214" s="590"/>
      <c r="N214" s="590"/>
      <c r="O214" s="590"/>
      <c r="P214" s="590"/>
      <c r="Q214" s="592"/>
      <c r="R214" s="591">
        <v>2007</v>
      </c>
      <c r="S214" s="590"/>
      <c r="T214" s="590"/>
      <c r="U214" s="590"/>
      <c r="V214" s="590"/>
      <c r="W214" s="590"/>
      <c r="X214" s="590"/>
      <c r="Y214" s="590"/>
      <c r="Z214" s="590"/>
      <c r="AA214" s="590"/>
      <c r="AB214" s="590"/>
      <c r="AC214" s="592"/>
      <c r="AD214" s="591">
        <v>2008</v>
      </c>
      <c r="AE214" s="590"/>
      <c r="AF214" s="590"/>
      <c r="AG214" s="590"/>
      <c r="AH214" s="590"/>
      <c r="AI214" s="590"/>
      <c r="AJ214" s="590"/>
      <c r="AK214" s="590"/>
      <c r="AL214" s="590"/>
      <c r="AM214" s="590"/>
      <c r="AN214" s="590"/>
      <c r="AO214" s="592"/>
      <c r="AP214" s="591">
        <v>2009</v>
      </c>
      <c r="AQ214" s="590"/>
      <c r="AR214" s="590"/>
      <c r="AS214" s="590"/>
      <c r="AT214" s="590"/>
      <c r="AU214" s="590"/>
      <c r="AV214" s="590"/>
      <c r="AW214" s="590"/>
      <c r="AX214" s="590"/>
      <c r="AY214" s="590"/>
      <c r="AZ214" s="590"/>
      <c r="BA214" s="592"/>
      <c r="BB214" s="591">
        <v>2010</v>
      </c>
      <c r="BC214" s="590"/>
      <c r="BD214" s="590"/>
      <c r="BE214" s="590"/>
      <c r="BF214" s="590"/>
      <c r="BG214" s="590"/>
      <c r="BH214" s="590"/>
      <c r="BI214" s="590"/>
      <c r="BJ214" s="590"/>
      <c r="BK214" s="590"/>
      <c r="BL214" s="590"/>
      <c r="BM214" s="592"/>
      <c r="BN214" s="591">
        <v>2011</v>
      </c>
      <c r="BO214" s="590"/>
      <c r="BP214" s="590"/>
      <c r="BQ214" s="590"/>
      <c r="BR214" s="590"/>
      <c r="BS214" s="590"/>
      <c r="BT214" s="590"/>
      <c r="BU214" s="590"/>
      <c r="BV214" s="590"/>
      <c r="BW214" s="590"/>
      <c r="BX214" s="590"/>
      <c r="BY214" s="592"/>
      <c r="BZ214" s="590">
        <v>2012</v>
      </c>
      <c r="CA214" s="590"/>
      <c r="CB214" s="590"/>
      <c r="CC214" s="590"/>
      <c r="CD214" s="590"/>
      <c r="CE214" s="590"/>
      <c r="CF214" s="590"/>
      <c r="CG214" s="590"/>
      <c r="CH214" s="590"/>
      <c r="CI214" s="590"/>
      <c r="CJ214" s="590"/>
      <c r="CK214" s="590"/>
      <c r="CL214" s="591">
        <v>2013</v>
      </c>
      <c r="CM214" s="590"/>
      <c r="CN214" s="590"/>
      <c r="CO214" s="590"/>
      <c r="CP214" s="590"/>
      <c r="CQ214" s="590"/>
      <c r="CR214" s="590"/>
      <c r="CS214" s="590"/>
      <c r="CT214" s="590"/>
      <c r="CU214" s="590"/>
      <c r="CV214" s="590"/>
      <c r="CW214" s="592"/>
      <c r="CX214" s="591">
        <v>2014</v>
      </c>
      <c r="CY214" s="590"/>
      <c r="CZ214" s="590"/>
      <c r="DA214" s="590"/>
      <c r="DB214" s="590"/>
      <c r="DC214" s="590"/>
      <c r="DD214" s="590"/>
      <c r="DE214" s="590"/>
      <c r="DF214" s="590"/>
      <c r="DG214" s="590"/>
      <c r="DH214" s="590"/>
      <c r="DI214" s="592"/>
      <c r="DJ214" s="591">
        <v>2015</v>
      </c>
      <c r="DK214" s="590"/>
      <c r="DL214" s="590"/>
      <c r="DM214" s="590"/>
      <c r="DN214" s="590"/>
      <c r="DO214" s="590"/>
      <c r="DP214" s="590"/>
      <c r="DQ214" s="590"/>
      <c r="DR214" s="590"/>
      <c r="DS214" s="590"/>
      <c r="DT214" s="590"/>
      <c r="DU214" s="592"/>
    </row>
    <row r="215" spans="1:187">
      <c r="E215" s="593"/>
      <c r="F215" s="73" t="s">
        <v>558</v>
      </c>
      <c r="G215" s="74" t="s">
        <v>559</v>
      </c>
      <c r="H215" s="74" t="s">
        <v>560</v>
      </c>
      <c r="I215" s="74" t="s">
        <v>561</v>
      </c>
      <c r="J215" s="74" t="s">
        <v>562</v>
      </c>
      <c r="K215" s="74" t="s">
        <v>563</v>
      </c>
      <c r="L215" s="74" t="s">
        <v>564</v>
      </c>
      <c r="M215" s="74" t="s">
        <v>565</v>
      </c>
      <c r="N215" s="74" t="s">
        <v>566</v>
      </c>
      <c r="O215" s="74" t="s">
        <v>567</v>
      </c>
      <c r="P215" s="74" t="s">
        <v>568</v>
      </c>
      <c r="Q215" s="75" t="s">
        <v>569</v>
      </c>
      <c r="R215" s="73" t="s">
        <v>570</v>
      </c>
      <c r="S215" s="74" t="s">
        <v>571</v>
      </c>
      <c r="T215" s="74" t="s">
        <v>572</v>
      </c>
      <c r="U215" s="74" t="s">
        <v>573</v>
      </c>
      <c r="V215" s="74" t="s">
        <v>574</v>
      </c>
      <c r="W215" s="74" t="s">
        <v>575</v>
      </c>
      <c r="X215" s="74" t="s">
        <v>576</v>
      </c>
      <c r="Y215" s="74" t="s">
        <v>577</v>
      </c>
      <c r="Z215" s="74" t="s">
        <v>578</v>
      </c>
      <c r="AA215" s="74" t="s">
        <v>579</v>
      </c>
      <c r="AB215" s="74" t="s">
        <v>580</v>
      </c>
      <c r="AC215" s="75" t="s">
        <v>581</v>
      </c>
      <c r="AD215" s="73" t="s">
        <v>582</v>
      </c>
      <c r="AE215" s="74" t="s">
        <v>583</v>
      </c>
      <c r="AF215" s="74" t="s">
        <v>584</v>
      </c>
      <c r="AG215" s="74" t="s">
        <v>585</v>
      </c>
      <c r="AH215" s="74" t="s">
        <v>586</v>
      </c>
      <c r="AI215" s="74" t="s">
        <v>587</v>
      </c>
      <c r="AJ215" s="74" t="s">
        <v>588</v>
      </c>
      <c r="AK215" s="74" t="s">
        <v>589</v>
      </c>
      <c r="AL215" s="74" t="s">
        <v>590</v>
      </c>
      <c r="AM215" s="74" t="s">
        <v>591</v>
      </c>
      <c r="AN215" s="74" t="s">
        <v>592</v>
      </c>
      <c r="AO215" s="75" t="s">
        <v>593</v>
      </c>
      <c r="AP215" s="73" t="s">
        <v>594</v>
      </c>
      <c r="AQ215" s="74" t="s">
        <v>595</v>
      </c>
      <c r="AR215" s="74" t="s">
        <v>596</v>
      </c>
      <c r="AS215" s="74" t="s">
        <v>597</v>
      </c>
      <c r="AT215" s="74" t="s">
        <v>598</v>
      </c>
      <c r="AU215" s="74" t="s">
        <v>599</v>
      </c>
      <c r="AV215" s="74" t="s">
        <v>600</v>
      </c>
      <c r="AW215" s="74" t="s">
        <v>601</v>
      </c>
      <c r="AX215" s="74" t="s">
        <v>602</v>
      </c>
      <c r="AY215" s="74" t="s">
        <v>603</v>
      </c>
      <c r="AZ215" s="74" t="s">
        <v>604</v>
      </c>
      <c r="BA215" s="75" t="s">
        <v>605</v>
      </c>
      <c r="BB215" s="73" t="s">
        <v>606</v>
      </c>
      <c r="BC215" s="74" t="s">
        <v>607</v>
      </c>
      <c r="BD215" s="74" t="s">
        <v>608</v>
      </c>
      <c r="BE215" s="74" t="s">
        <v>609</v>
      </c>
      <c r="BF215" s="74" t="s">
        <v>610</v>
      </c>
      <c r="BG215" s="74" t="s">
        <v>611</v>
      </c>
      <c r="BH215" s="74" t="s">
        <v>612</v>
      </c>
      <c r="BI215" s="74" t="s">
        <v>613</v>
      </c>
      <c r="BJ215" s="74" t="s">
        <v>614</v>
      </c>
      <c r="BK215" s="74" t="s">
        <v>615</v>
      </c>
      <c r="BL215" s="74" t="s">
        <v>616</v>
      </c>
      <c r="BM215" s="75" t="s">
        <v>617</v>
      </c>
      <c r="BN215" s="73" t="s">
        <v>618</v>
      </c>
      <c r="BO215" s="74" t="s">
        <v>619</v>
      </c>
      <c r="BP215" s="74" t="s">
        <v>620</v>
      </c>
      <c r="BQ215" s="74" t="s">
        <v>621</v>
      </c>
      <c r="BR215" s="74" t="s">
        <v>622</v>
      </c>
      <c r="BS215" s="74" t="s">
        <v>623</v>
      </c>
      <c r="BT215" s="74" t="s">
        <v>624</v>
      </c>
      <c r="BU215" s="74" t="s">
        <v>625</v>
      </c>
      <c r="BV215" s="74" t="s">
        <v>626</v>
      </c>
      <c r="BW215" s="74" t="s">
        <v>627</v>
      </c>
      <c r="BX215" s="74" t="s">
        <v>628</v>
      </c>
      <c r="BY215" s="75" t="s">
        <v>629</v>
      </c>
      <c r="BZ215" s="74" t="s">
        <v>630</v>
      </c>
      <c r="CA215" s="74" t="s">
        <v>631</v>
      </c>
      <c r="CB215" s="74" t="s">
        <v>632</v>
      </c>
      <c r="CC215" s="74" t="s">
        <v>633</v>
      </c>
      <c r="CD215" s="74" t="s">
        <v>634</v>
      </c>
      <c r="CE215" s="74" t="s">
        <v>635</v>
      </c>
      <c r="CF215" s="74" t="s">
        <v>636</v>
      </c>
      <c r="CG215" s="74" t="s">
        <v>637</v>
      </c>
      <c r="CH215" s="74" t="s">
        <v>638</v>
      </c>
      <c r="CI215" s="74" t="s">
        <v>639</v>
      </c>
      <c r="CJ215" s="74" t="s">
        <v>640</v>
      </c>
      <c r="CK215" s="74" t="s">
        <v>641</v>
      </c>
      <c r="CL215" s="73" t="s">
        <v>642</v>
      </c>
      <c r="CM215" s="74" t="s">
        <v>643</v>
      </c>
      <c r="CN215" s="74" t="s">
        <v>644</v>
      </c>
      <c r="CO215" s="74" t="s">
        <v>645</v>
      </c>
      <c r="CP215" s="74" t="s">
        <v>646</v>
      </c>
      <c r="CQ215" s="74" t="s">
        <v>647</v>
      </c>
      <c r="CR215" s="74" t="s">
        <v>648</v>
      </c>
      <c r="CS215" s="74" t="s">
        <v>649</v>
      </c>
      <c r="CT215" s="74" t="s">
        <v>650</v>
      </c>
      <c r="CU215" s="74" t="s">
        <v>651</v>
      </c>
      <c r="CV215" s="74" t="s">
        <v>652</v>
      </c>
      <c r="CW215" s="75" t="s">
        <v>653</v>
      </c>
      <c r="CX215" s="73" t="s">
        <v>654</v>
      </c>
      <c r="CY215" s="74" t="s">
        <v>655</v>
      </c>
      <c r="CZ215" s="74" t="s">
        <v>656</v>
      </c>
      <c r="DA215" s="74" t="s">
        <v>657</v>
      </c>
      <c r="DB215" s="74" t="s">
        <v>658</v>
      </c>
      <c r="DC215" s="74" t="s">
        <v>659</v>
      </c>
      <c r="DD215" s="74" t="s">
        <v>660</v>
      </c>
      <c r="DE215" s="74" t="s">
        <v>661</v>
      </c>
      <c r="DF215" s="74" t="s">
        <v>662</v>
      </c>
      <c r="DG215" s="74" t="s">
        <v>663</v>
      </c>
      <c r="DH215" s="74" t="s">
        <v>664</v>
      </c>
      <c r="DI215" s="75" t="s">
        <v>665</v>
      </c>
      <c r="DJ215" s="73" t="s">
        <v>666</v>
      </c>
      <c r="DK215" s="74" t="s">
        <v>667</v>
      </c>
      <c r="DL215" s="74" t="s">
        <v>668</v>
      </c>
      <c r="DM215" s="74" t="s">
        <v>669</v>
      </c>
      <c r="DN215" s="74" t="s">
        <v>670</v>
      </c>
      <c r="DO215" s="74" t="s">
        <v>671</v>
      </c>
      <c r="DP215" s="74" t="s">
        <v>672</v>
      </c>
      <c r="DQ215" s="74" t="s">
        <v>673</v>
      </c>
      <c r="DR215" s="74" t="s">
        <v>674</v>
      </c>
      <c r="DS215" s="74" t="s">
        <v>675</v>
      </c>
      <c r="DT215" s="74" t="s">
        <v>676</v>
      </c>
      <c r="DU215" s="75" t="s">
        <v>677</v>
      </c>
      <c r="DV215" s="42" t="s">
        <v>707</v>
      </c>
      <c r="DW215" s="42" t="s">
        <v>708</v>
      </c>
      <c r="DX215" s="42" t="s">
        <v>709</v>
      </c>
      <c r="DY215" s="42" t="s">
        <v>710</v>
      </c>
      <c r="DZ215" s="42" t="s">
        <v>711</v>
      </c>
      <c r="EA215" s="42" t="s">
        <v>712</v>
      </c>
      <c r="EB215" s="42" t="s">
        <v>713</v>
      </c>
      <c r="EC215" s="42" t="s">
        <v>714</v>
      </c>
      <c r="ED215" s="42" t="s">
        <v>715</v>
      </c>
      <c r="EE215" s="42" t="s">
        <v>716</v>
      </c>
      <c r="EF215" s="42" t="s">
        <v>717</v>
      </c>
      <c r="EG215" s="42" t="s">
        <v>718</v>
      </c>
      <c r="EH215" s="331" t="s">
        <v>726</v>
      </c>
      <c r="EI215" s="331" t="s">
        <v>727</v>
      </c>
      <c r="EJ215" s="331" t="s">
        <v>728</v>
      </c>
      <c r="EK215" s="331" t="s">
        <v>729</v>
      </c>
      <c r="EL215" s="331" t="s">
        <v>730</v>
      </c>
      <c r="EM215" s="331" t="s">
        <v>731</v>
      </c>
      <c r="EN215" s="331" t="s">
        <v>732</v>
      </c>
      <c r="EO215" s="331" t="s">
        <v>733</v>
      </c>
      <c r="EP215" s="331" t="s">
        <v>734</v>
      </c>
      <c r="EQ215" s="331" t="s">
        <v>735</v>
      </c>
      <c r="ER215" s="331" t="s">
        <v>736</v>
      </c>
      <c r="ES215" s="331" t="s">
        <v>737</v>
      </c>
      <c r="ET215" s="331" t="s">
        <v>744</v>
      </c>
      <c r="EU215" s="331" t="s">
        <v>745</v>
      </c>
      <c r="EV215" s="331" t="s">
        <v>746</v>
      </c>
      <c r="EW215" s="331" t="s">
        <v>747</v>
      </c>
      <c r="EX215" s="331" t="s">
        <v>748</v>
      </c>
      <c r="EY215" s="331" t="s">
        <v>749</v>
      </c>
      <c r="EZ215" s="331" t="s">
        <v>750</v>
      </c>
      <c r="FA215" s="331" t="s">
        <v>751</v>
      </c>
      <c r="FB215" s="331" t="s">
        <v>752</v>
      </c>
      <c r="FC215" s="331" t="s">
        <v>753</v>
      </c>
      <c r="FD215" s="331" t="s">
        <v>754</v>
      </c>
      <c r="FE215" s="331" t="s">
        <v>755</v>
      </c>
      <c r="FF215" s="331" t="s">
        <v>761</v>
      </c>
      <c r="FG215" s="331" t="s">
        <v>762</v>
      </c>
      <c r="FH215" s="331" t="s">
        <v>763</v>
      </c>
      <c r="FI215" s="331" t="s">
        <v>764</v>
      </c>
      <c r="FJ215" s="331" t="s">
        <v>765</v>
      </c>
      <c r="FK215" s="331" t="s">
        <v>766</v>
      </c>
      <c r="FL215" s="331" t="s">
        <v>767</v>
      </c>
      <c r="FM215" s="331" t="s">
        <v>768</v>
      </c>
      <c r="FN215" s="331" t="s">
        <v>769</v>
      </c>
      <c r="FO215" s="331" t="s">
        <v>770</v>
      </c>
      <c r="FP215" s="331" t="s">
        <v>771</v>
      </c>
      <c r="FQ215" s="331" t="s">
        <v>772</v>
      </c>
      <c r="FR215" s="41" t="s">
        <v>782</v>
      </c>
      <c r="FS215" s="364" t="s">
        <v>783</v>
      </c>
      <c r="FT215" s="41" t="s">
        <v>784</v>
      </c>
      <c r="FU215" s="41" t="s">
        <v>785</v>
      </c>
      <c r="FV215" s="41" t="s">
        <v>786</v>
      </c>
      <c r="FW215" s="41" t="s">
        <v>787</v>
      </c>
      <c r="FX215" s="41" t="s">
        <v>788</v>
      </c>
      <c r="FY215" s="41" t="s">
        <v>789</v>
      </c>
      <c r="FZ215" s="41" t="s">
        <v>790</v>
      </c>
      <c r="GA215" s="41" t="s">
        <v>791</v>
      </c>
      <c r="GB215" s="41" t="s">
        <v>792</v>
      </c>
      <c r="GC215" s="41" t="s">
        <v>793</v>
      </c>
    </row>
    <row r="216" spans="1:187">
      <c r="A216" s="72">
        <v>7</v>
      </c>
      <c r="B216" s="72" t="s">
        <v>94</v>
      </c>
      <c r="D216" s="72" t="str">
        <f t="shared" ref="D216:D224" si="11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2">+DJ217+DJ249+DJ252+DJ255+DJ259</f>
        <v>122551260.24287842</v>
      </c>
      <c r="DK216" s="267">
        <f t="shared" si="12"/>
        <v>136159563.39454627</v>
      </c>
      <c r="DL216" s="101">
        <f t="shared" si="12"/>
        <v>153914910.29907674</v>
      </c>
      <c r="DM216" s="101">
        <f t="shared" si="12"/>
        <v>163708472.43183026</v>
      </c>
      <c r="DN216" s="101">
        <f t="shared" si="12"/>
        <v>156781589.98980972</v>
      </c>
      <c r="DO216" s="101">
        <f t="shared" si="12"/>
        <v>165239010.35287622</v>
      </c>
      <c r="DP216" s="101">
        <f t="shared" si="12"/>
        <v>177558111.71591145</v>
      </c>
      <c r="DQ216" s="101">
        <f t="shared" si="12"/>
        <v>182756941.75310284</v>
      </c>
      <c r="DR216" s="101">
        <f t="shared" si="12"/>
        <v>174439167.43655851</v>
      </c>
      <c r="DS216" s="101">
        <f t="shared" si="12"/>
        <v>168685078.52847385</v>
      </c>
      <c r="DT216" s="101">
        <f t="shared" si="12"/>
        <v>153670608.50422055</v>
      </c>
      <c r="DU216" s="102">
        <f t="shared" si="12"/>
        <v>207796185.84071553</v>
      </c>
      <c r="DV216" s="284">
        <f t="shared" ref="DV216:ES216" si="13">DV217+DV249+DV259</f>
        <v>128850563.59659526</v>
      </c>
      <c r="DW216" s="284">
        <f t="shared" si="13"/>
        <v>146614404.76445901</v>
      </c>
      <c r="DX216" s="284">
        <f t="shared" si="13"/>
        <v>163468653.87502012</v>
      </c>
      <c r="DY216" s="284">
        <f t="shared" si="13"/>
        <v>175371539.58759058</v>
      </c>
      <c r="DZ216" s="284">
        <f t="shared" si="13"/>
        <v>164767421.70767844</v>
      </c>
      <c r="EA216" s="284">
        <f t="shared" si="13"/>
        <v>180014582.75346881</v>
      </c>
      <c r="EB216" s="284">
        <f t="shared" si="13"/>
        <v>195825830.75993624</v>
      </c>
      <c r="EC216" s="284">
        <f t="shared" si="13"/>
        <v>197931941.23618484</v>
      </c>
      <c r="ED216" s="284">
        <f t="shared" si="13"/>
        <v>188242241.54629749</v>
      </c>
      <c r="EE216" s="284">
        <f t="shared" si="13"/>
        <v>198826191.33020011</v>
      </c>
      <c r="EF216" s="284">
        <f t="shared" si="13"/>
        <v>162119388.44968379</v>
      </c>
      <c r="EG216" s="284">
        <f t="shared" si="13"/>
        <v>223583117.22288498</v>
      </c>
      <c r="EH216" s="284">
        <f t="shared" si="13"/>
        <v>109927912.88314301</v>
      </c>
      <c r="EI216" s="284">
        <f t="shared" si="13"/>
        <v>139988884.7104401</v>
      </c>
      <c r="EJ216" s="284">
        <f t="shared" si="13"/>
        <v>168619244.90199408</v>
      </c>
      <c r="EK216" s="284">
        <f t="shared" si="13"/>
        <v>161064908.13011798</v>
      </c>
      <c r="EL216" s="284">
        <f t="shared" si="13"/>
        <v>157187778.36459905</v>
      </c>
      <c r="EM216" s="284">
        <f t="shared" si="13"/>
        <v>173103498.61527026</v>
      </c>
      <c r="EN216" s="284">
        <f t="shared" si="13"/>
        <v>173549199.05869666</v>
      </c>
      <c r="EO216" s="284">
        <f t="shared" si="13"/>
        <v>189139313.24435988</v>
      </c>
      <c r="EP216" s="284">
        <f t="shared" si="13"/>
        <v>182820453.81019896</v>
      </c>
      <c r="EQ216" s="284">
        <f t="shared" si="13"/>
        <v>169544272.17165217</v>
      </c>
      <c r="ER216" s="284">
        <f t="shared" si="13"/>
        <v>161107751.27361044</v>
      </c>
      <c r="ES216" s="284">
        <f t="shared" si="13"/>
        <v>219737269.93309948</v>
      </c>
    </row>
    <row r="217" spans="1:187">
      <c r="B217" s="72">
        <v>71</v>
      </c>
      <c r="D217" s="72" t="str">
        <f t="shared" si="11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4">DV218+DV227+DV232+DV237+DV244+DV252+DV255</f>
        <v>73254807.508548588</v>
      </c>
      <c r="DW217" s="284">
        <f t="shared" si="14"/>
        <v>91018648.676412344</v>
      </c>
      <c r="DX217" s="284">
        <f t="shared" si="14"/>
        <v>107872897.78697345</v>
      </c>
      <c r="DY217" s="284">
        <f t="shared" si="14"/>
        <v>119775783.49954391</v>
      </c>
      <c r="DZ217" s="284">
        <f t="shared" si="14"/>
        <v>109171665.61963177</v>
      </c>
      <c r="EA217" s="284">
        <f t="shared" si="14"/>
        <v>124418826.66542214</v>
      </c>
      <c r="EB217" s="284">
        <f t="shared" si="14"/>
        <v>140230074.67188957</v>
      </c>
      <c r="EC217" s="284">
        <f t="shared" si="14"/>
        <v>142336185.14813817</v>
      </c>
      <c r="ED217" s="284">
        <f t="shared" si="14"/>
        <v>132646485.45825082</v>
      </c>
      <c r="EE217" s="284">
        <f t="shared" si="14"/>
        <v>143230435.24215344</v>
      </c>
      <c r="EF217" s="284">
        <f t="shared" si="14"/>
        <v>106523632.36163713</v>
      </c>
      <c r="EG217" s="284">
        <f t="shared" si="14"/>
        <v>167987361.13483831</v>
      </c>
      <c r="EH217" s="284">
        <f t="shared" si="14"/>
        <v>72080094.246903852</v>
      </c>
      <c r="EI217" s="284">
        <f t="shared" si="14"/>
        <v>102141066.07420093</v>
      </c>
      <c r="EJ217" s="284">
        <f t="shared" si="14"/>
        <v>130771426.26575491</v>
      </c>
      <c r="EK217" s="284">
        <f t="shared" si="14"/>
        <v>123217089.49387881</v>
      </c>
      <c r="EL217" s="284">
        <f t="shared" si="14"/>
        <v>119339959.72835988</v>
      </c>
      <c r="EM217" s="284">
        <f t="shared" si="14"/>
        <v>135255679.97903109</v>
      </c>
      <c r="EN217" s="284">
        <f t="shared" si="14"/>
        <v>135701380.42245749</v>
      </c>
      <c r="EO217" s="284">
        <f t="shared" si="14"/>
        <v>151291494.60812071</v>
      </c>
      <c r="EP217" s="284">
        <f t="shared" si="14"/>
        <v>144972635.17395979</v>
      </c>
      <c r="EQ217" s="284">
        <f t="shared" si="14"/>
        <v>131696453.535413</v>
      </c>
      <c r="ER217" s="284">
        <f t="shared" si="14"/>
        <v>123259932.63737127</v>
      </c>
      <c r="ES217" s="284">
        <f t="shared" si="14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1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15">+SUM(CL219:CL226)</f>
        <v>41686253.110737316</v>
      </c>
      <c r="CM218" s="121">
        <f t="shared" si="15"/>
        <v>40855853.79586979</v>
      </c>
      <c r="CN218" s="121">
        <f t="shared" si="15"/>
        <v>48871129.289274208</v>
      </c>
      <c r="CO218" s="121">
        <f t="shared" si="15"/>
        <v>63044978.667560622</v>
      </c>
      <c r="CP218" s="121">
        <f t="shared" si="15"/>
        <v>59903018.246625409</v>
      </c>
      <c r="CQ218" s="121">
        <f t="shared" si="15"/>
        <v>65474825.471494481</v>
      </c>
      <c r="CR218" s="121">
        <f t="shared" si="15"/>
        <v>71410525.13479729</v>
      </c>
      <c r="CS218" s="121">
        <f t="shared" si="15"/>
        <v>66453623.073847495</v>
      </c>
      <c r="CT218" s="121">
        <f t="shared" si="15"/>
        <v>65790416.568190843</v>
      </c>
      <c r="CU218" s="121">
        <f t="shared" si="15"/>
        <v>63302926.264795646</v>
      </c>
      <c r="CV218" s="121">
        <f t="shared" si="15"/>
        <v>56224451.677824281</v>
      </c>
      <c r="CW218" s="122">
        <f t="shared" si="15"/>
        <v>57412527.94082702</v>
      </c>
      <c r="CX218" s="120">
        <f t="shared" si="15"/>
        <v>46630073.989835031</v>
      </c>
      <c r="CY218" s="121">
        <f t="shared" ref="CY218:DI218" si="16">+SUM(CY219:CY226)</f>
        <v>47737456.241611488</v>
      </c>
      <c r="CZ218" s="121">
        <f t="shared" si="16"/>
        <v>55661924.949411348</v>
      </c>
      <c r="DA218" s="121">
        <f t="shared" si="16"/>
        <v>73380169.878103226</v>
      </c>
      <c r="DB218" s="121">
        <f t="shared" si="16"/>
        <v>63336581.53084594</v>
      </c>
      <c r="DC218" s="121">
        <f t="shared" si="16"/>
        <v>68150867.818816096</v>
      </c>
      <c r="DD218" s="121">
        <f t="shared" si="16"/>
        <v>80502115.642067581</v>
      </c>
      <c r="DE218" s="121">
        <f t="shared" si="16"/>
        <v>83661776.550335452</v>
      </c>
      <c r="DF218" s="121">
        <f t="shared" si="16"/>
        <v>77286158.272165686</v>
      </c>
      <c r="DG218" s="121">
        <f t="shared" si="16"/>
        <v>64936637.53359136</v>
      </c>
      <c r="DH218" s="121">
        <f t="shared" si="16"/>
        <v>59626792.723406494</v>
      </c>
      <c r="DI218" s="122">
        <f t="shared" si="16"/>
        <v>76918346.229341179</v>
      </c>
      <c r="DJ218" s="120">
        <f>+SUM(DJ219:DJ226)</f>
        <v>47438461.833814912</v>
      </c>
      <c r="DK218" s="280">
        <f t="shared" ref="DK218:DU218" si="17">+SUM(DK219:DK226)</f>
        <v>48051254.173922725</v>
      </c>
      <c r="DL218" s="121">
        <f t="shared" si="17"/>
        <v>68643020.701511934</v>
      </c>
      <c r="DM218" s="121">
        <f t="shared" si="17"/>
        <v>74644324.702040896</v>
      </c>
      <c r="DN218" s="121">
        <f t="shared" si="17"/>
        <v>62371540.361953884</v>
      </c>
      <c r="DO218" s="121">
        <f t="shared" si="17"/>
        <v>70088728.880090371</v>
      </c>
      <c r="DP218" s="121">
        <f t="shared" si="17"/>
        <v>83389342.293927491</v>
      </c>
      <c r="DQ218" s="121">
        <f t="shared" si="17"/>
        <v>87963080.772664562</v>
      </c>
      <c r="DR218" s="121">
        <f t="shared" si="17"/>
        <v>80794946.466777354</v>
      </c>
      <c r="DS218" s="121">
        <f t="shared" si="17"/>
        <v>70587663.849750429</v>
      </c>
      <c r="DT218" s="121">
        <f t="shared" si="17"/>
        <v>60436221.191738874</v>
      </c>
      <c r="DU218" s="122">
        <f t="shared" si="17"/>
        <v>78264034.341148108</v>
      </c>
      <c r="DV218" s="285">
        <f>SUM(DV219:DV226)</f>
        <v>48519296.02748242</v>
      </c>
      <c r="DW218" s="285">
        <f t="shared" ref="DW218:ES218" si="18">SUM(DW219:DW226)</f>
        <v>51347232.904158622</v>
      </c>
      <c r="DX218" s="285">
        <f t="shared" si="18"/>
        <v>65011100.969904706</v>
      </c>
      <c r="DY218" s="285">
        <f t="shared" si="18"/>
        <v>75093253.280867532</v>
      </c>
      <c r="DZ218" s="285">
        <f t="shared" si="18"/>
        <v>64376516.948674828</v>
      </c>
      <c r="EA218" s="285">
        <f t="shared" si="18"/>
        <v>71906788.704869837</v>
      </c>
      <c r="EB218" s="285">
        <f t="shared" si="18"/>
        <v>84224318.482175812</v>
      </c>
      <c r="EC218" s="285">
        <f t="shared" si="18"/>
        <v>88333743.072993502</v>
      </c>
      <c r="ED218" s="285">
        <f t="shared" si="18"/>
        <v>82494871.783352494</v>
      </c>
      <c r="EE218" s="285">
        <f t="shared" si="18"/>
        <v>82511282.288320467</v>
      </c>
      <c r="EF218" s="285">
        <f t="shared" si="18"/>
        <v>60879285.246393085</v>
      </c>
      <c r="EG218" s="285">
        <f t="shared" si="18"/>
        <v>73552702.357222885</v>
      </c>
      <c r="EH218" s="285">
        <f>SUM(EH219:EH226)</f>
        <v>53393011.197744071</v>
      </c>
      <c r="EI218" s="285">
        <f t="shared" si="18"/>
        <v>59298498.751362592</v>
      </c>
      <c r="EJ218" s="285">
        <f t="shared" si="18"/>
        <v>79240240.613968194</v>
      </c>
      <c r="EK218" s="285">
        <f t="shared" si="18"/>
        <v>76769826.71535778</v>
      </c>
      <c r="EL218" s="285">
        <f t="shared" si="18"/>
        <v>72284574.424425364</v>
      </c>
      <c r="EM218" s="285">
        <f t="shared" si="18"/>
        <v>82867820.454024225</v>
      </c>
      <c r="EN218" s="285">
        <f t="shared" si="18"/>
        <v>90215653.451355755</v>
      </c>
      <c r="EO218" s="285">
        <f t="shared" si="18"/>
        <v>102091916.6793773</v>
      </c>
      <c r="EP218" s="285">
        <f t="shared" si="18"/>
        <v>90311561.121648863</v>
      </c>
      <c r="EQ218" s="285">
        <f t="shared" si="18"/>
        <v>81590409.643190965</v>
      </c>
      <c r="ER218" s="285">
        <f t="shared" si="18"/>
        <v>71104013.719024956</v>
      </c>
      <c r="ES218" s="285">
        <f t="shared" si="18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4">
        <v>72868523.591369644</v>
      </c>
      <c r="FS218" s="454">
        <v>68300892.484016389</v>
      </c>
      <c r="FT218" s="454">
        <v>101394429.02819102</v>
      </c>
      <c r="FU218" s="454">
        <v>113552946.83620664</v>
      </c>
      <c r="FV218" s="454">
        <v>96410386.649220213</v>
      </c>
      <c r="FW218" s="454">
        <v>91655871.24306567</v>
      </c>
      <c r="FX218" s="454">
        <v>119293258.34361127</v>
      </c>
      <c r="FY218" s="454">
        <v>121646540.91643213</v>
      </c>
      <c r="FZ218" s="454">
        <v>117181792.42158785</v>
      </c>
      <c r="GA218" s="454">
        <v>103869495.73333339</v>
      </c>
      <c r="GB218" s="454">
        <v>89501407.607428327</v>
      </c>
      <c r="GC218" s="454">
        <v>103457319.17875919</v>
      </c>
      <c r="GE218" s="447">
        <f>SUM(FR218:GD218)</f>
        <v>1199132864.0332217</v>
      </c>
    </row>
    <row r="219" spans="1:187">
      <c r="D219" s="72" t="str">
        <f t="shared" si="11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4247772.9043182321</v>
      </c>
      <c r="FS219" s="263">
        <v>9376802.3482605685</v>
      </c>
      <c r="FT219" s="263">
        <v>9059590.5603003595</v>
      </c>
      <c r="FU219" s="263">
        <v>14784516.1050505</v>
      </c>
      <c r="FV219" s="263">
        <v>10227226.83180018</v>
      </c>
      <c r="FW219" s="263">
        <v>10142170.106392335</v>
      </c>
      <c r="FX219" s="263">
        <v>11004516.220393213</v>
      </c>
      <c r="FY219" s="263">
        <v>10494150.286638713</v>
      </c>
      <c r="FZ219" s="263">
        <v>10348728.72707198</v>
      </c>
      <c r="GA219" s="263">
        <v>10842408.697154773</v>
      </c>
      <c r="GB219" s="263">
        <v>10004017.895010754</v>
      </c>
      <c r="GC219" s="263">
        <v>18671198.27068641</v>
      </c>
      <c r="GE219" s="448">
        <f>SUM(FR219:GD219)</f>
        <v>129203098.95307803</v>
      </c>
    </row>
    <row r="220" spans="1:187">
      <c r="D220" s="72" t="str">
        <f t="shared" si="11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627782.45265207789</v>
      </c>
      <c r="FS220" s="263">
        <v>2048312.2562287676</v>
      </c>
      <c r="FT220" s="263">
        <v>23447396.440071519</v>
      </c>
      <c r="FU220" s="263">
        <v>21300265.770182844</v>
      </c>
      <c r="FV220" s="263">
        <v>4990703.2575689331</v>
      </c>
      <c r="FW220" s="263">
        <v>3839576.3798291981</v>
      </c>
      <c r="FX220" s="263">
        <v>5410731.6020327918</v>
      </c>
      <c r="FY220" s="263">
        <v>3228155.7041742411</v>
      </c>
      <c r="FZ220" s="263">
        <v>2340786.03513694</v>
      </c>
      <c r="GA220" s="263">
        <v>720170.47195216361</v>
      </c>
      <c r="GB220" s="263">
        <v>918098.08431421698</v>
      </c>
      <c r="GC220" s="263">
        <v>4473049.2199428063</v>
      </c>
      <c r="GE220" s="448">
        <f t="shared" ref="GE220:GE226" si="19">SUM(FR220:GD220)</f>
        <v>73345027.674086511</v>
      </c>
    </row>
    <row r="221" spans="1:187">
      <c r="D221" s="72" t="str">
        <f t="shared" si="11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109917.2112672653</v>
      </c>
      <c r="FS221" s="263">
        <v>157627.83703386062</v>
      </c>
      <c r="FT221" s="263">
        <v>136046.9232149462</v>
      </c>
      <c r="FU221" s="263">
        <v>189969.17755328628</v>
      </c>
      <c r="FV221" s="263">
        <v>137123.3907048546</v>
      </c>
      <c r="FW221" s="263">
        <v>147110.04103562396</v>
      </c>
      <c r="FX221" s="263">
        <v>141936.14419131188</v>
      </c>
      <c r="FY221" s="263">
        <v>160267.88329025259</v>
      </c>
      <c r="FZ221" s="263">
        <v>122387.69127453606</v>
      </c>
      <c r="GA221" s="263">
        <v>161793.16319870885</v>
      </c>
      <c r="GB221" s="263">
        <v>160631.62948311894</v>
      </c>
      <c r="GC221" s="263">
        <v>268987.27918103465</v>
      </c>
      <c r="GE221" s="448">
        <f t="shared" si="19"/>
        <v>1893798.3714287998</v>
      </c>
    </row>
    <row r="222" spans="1:187">
      <c r="D222" s="72" t="str">
        <f t="shared" si="11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50030338.787693664</v>
      </c>
      <c r="FS222" s="263">
        <v>40226724.69128225</v>
      </c>
      <c r="FT222" s="263">
        <v>51494173.085536182</v>
      </c>
      <c r="FU222" s="263">
        <v>56230397.238285325</v>
      </c>
      <c r="FV222" s="263">
        <v>57541254.075762056</v>
      </c>
      <c r="FW222" s="263">
        <v>54151638.146728054</v>
      </c>
      <c r="FX222" s="263">
        <v>73039139.596671969</v>
      </c>
      <c r="FY222" s="263">
        <v>73104235.871438459</v>
      </c>
      <c r="FZ222" s="263">
        <v>72212989.907607689</v>
      </c>
      <c r="GA222" s="263">
        <v>67208847.037182078</v>
      </c>
      <c r="GB222" s="263">
        <v>55844741.70897913</v>
      </c>
      <c r="GC222" s="263">
        <v>58366039.987854265</v>
      </c>
      <c r="GE222" s="448">
        <f t="shared" si="19"/>
        <v>709450520.13502109</v>
      </c>
    </row>
    <row r="223" spans="1:187">
      <c r="D223" s="72" t="str">
        <f t="shared" si="11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15582615.935145671</v>
      </c>
      <c r="FS223" s="263">
        <v>13786728.708412785</v>
      </c>
      <c r="FT223" s="263">
        <v>13922329.131337306</v>
      </c>
      <c r="FU223" s="263">
        <v>17514781.558868464</v>
      </c>
      <c r="FV223" s="263">
        <v>20060289.508355808</v>
      </c>
      <c r="FW223" s="263">
        <v>19873285.982644927</v>
      </c>
      <c r="FX223" s="263">
        <v>25530016.505225107</v>
      </c>
      <c r="FY223" s="263">
        <v>30758150.572077803</v>
      </c>
      <c r="FZ223" s="263">
        <v>28509300.373805836</v>
      </c>
      <c r="GA223" s="263">
        <v>21428053.381139103</v>
      </c>
      <c r="GB223" s="263">
        <v>19472054.39091884</v>
      </c>
      <c r="GC223" s="263">
        <v>18262634.566828799</v>
      </c>
      <c r="GE223" s="448">
        <f t="shared" si="19"/>
        <v>244700240.61476046</v>
      </c>
    </row>
    <row r="224" spans="1:187" ht="30">
      <c r="D224" s="72" t="str">
        <f t="shared" si="11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1386941.7326399479</v>
      </c>
      <c r="FS224" s="263">
        <v>1687520.1709283332</v>
      </c>
      <c r="FT224" s="263">
        <v>2396502.7982573896</v>
      </c>
      <c r="FU224" s="263">
        <v>2464332.484725228</v>
      </c>
      <c r="FV224" s="263">
        <v>2435737.6143241315</v>
      </c>
      <c r="FW224" s="263">
        <v>2419253.2694640565</v>
      </c>
      <c r="FX224" s="263">
        <v>3005680.1409719805</v>
      </c>
      <c r="FY224" s="263">
        <v>2714280.9962749984</v>
      </c>
      <c r="FZ224" s="263">
        <v>2484992.7158025955</v>
      </c>
      <c r="GA224" s="263">
        <v>2426179.0884626629</v>
      </c>
      <c r="GB224" s="263">
        <v>1969755.5171901861</v>
      </c>
      <c r="GC224" s="263">
        <v>2374100.2770140865</v>
      </c>
      <c r="GE224" s="448">
        <f t="shared" si="19"/>
        <v>27765276.806055594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8">
        <f t="shared" si="19"/>
        <v>0</v>
      </c>
    </row>
    <row r="226" spans="1:187">
      <c r="D226" s="72" t="str">
        <f t="shared" ref="D226:D257" si="20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883154.56765277567</v>
      </c>
      <c r="FS226" s="263">
        <v>1017176.4718698277</v>
      </c>
      <c r="FT226" s="263">
        <v>938390.0894733076</v>
      </c>
      <c r="FU226" s="263">
        <v>1068684.5015409975</v>
      </c>
      <c r="FV226" s="263">
        <v>1018051.9707042454</v>
      </c>
      <c r="FW226" s="263">
        <v>1082837.3169714699</v>
      </c>
      <c r="FX226" s="263">
        <v>1161238.1341248986</v>
      </c>
      <c r="FY226" s="263">
        <v>1187299.6025376567</v>
      </c>
      <c r="FZ226" s="263">
        <v>1162606.9708882784</v>
      </c>
      <c r="GA226" s="263">
        <v>1082043.8942438895</v>
      </c>
      <c r="GB226" s="263">
        <v>1132108.3815320772</v>
      </c>
      <c r="GC226" s="263">
        <v>1041309.5772517719</v>
      </c>
      <c r="GE226" s="448">
        <f t="shared" si="19"/>
        <v>12774901.478791194</v>
      </c>
    </row>
    <row r="227" spans="1:187" s="9" customFormat="1">
      <c r="A227" s="118"/>
      <c r="B227" s="118"/>
      <c r="C227" s="118">
        <v>712</v>
      </c>
      <c r="D227" s="118" t="str">
        <f t="shared" si="20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21">+SUM(CL228:CL231)</f>
        <v>10225366.011998521</v>
      </c>
      <c r="CM227" s="121">
        <f t="shared" si="21"/>
        <v>26328872.744704504</v>
      </c>
      <c r="CN227" s="121">
        <f t="shared" si="21"/>
        <v>28215029.512952704</v>
      </c>
      <c r="CO227" s="121">
        <f t="shared" si="21"/>
        <v>31078344.176256344</v>
      </c>
      <c r="CP227" s="121">
        <f t="shared" si="21"/>
        <v>31062993.346150994</v>
      </c>
      <c r="CQ227" s="121">
        <f t="shared" si="21"/>
        <v>29533886.744876273</v>
      </c>
      <c r="CR227" s="121">
        <f t="shared" si="21"/>
        <v>35614836.490956061</v>
      </c>
      <c r="CS227" s="121">
        <f t="shared" si="21"/>
        <v>41423629.787263155</v>
      </c>
      <c r="CT227" s="121">
        <f t="shared" si="21"/>
        <v>27897944.753825549</v>
      </c>
      <c r="CU227" s="121">
        <f t="shared" si="21"/>
        <v>35782419.896350168</v>
      </c>
      <c r="CV227" s="121">
        <f t="shared" si="21"/>
        <v>35053926.847713381</v>
      </c>
      <c r="CW227" s="122">
        <f t="shared" si="21"/>
        <v>52000480.125178605</v>
      </c>
      <c r="CX227" s="120">
        <f t="shared" si="21"/>
        <v>11696495.709410317</v>
      </c>
      <c r="CY227" s="121">
        <f t="shared" ref="CY227:DI227" si="22">+SUM(CY228:CY231)</f>
        <v>27967194.589402422</v>
      </c>
      <c r="CZ227" s="121">
        <f t="shared" si="22"/>
        <v>28929880.111931738</v>
      </c>
      <c r="DA227" s="121">
        <f t="shared" si="22"/>
        <v>27258327.618631121</v>
      </c>
      <c r="DB227" s="121">
        <f t="shared" si="22"/>
        <v>28592562.735781778</v>
      </c>
      <c r="DC227" s="121">
        <f t="shared" si="22"/>
        <v>32131723.207960628</v>
      </c>
      <c r="DD227" s="121">
        <f t="shared" si="22"/>
        <v>33016814.12419793</v>
      </c>
      <c r="DE227" s="121">
        <f t="shared" si="22"/>
        <v>36072346.59471108</v>
      </c>
      <c r="DF227" s="121">
        <f t="shared" si="22"/>
        <v>38203128.528232403</v>
      </c>
      <c r="DG227" s="121">
        <f t="shared" si="22"/>
        <v>43672969.77403643</v>
      </c>
      <c r="DH227" s="121">
        <f t="shared" si="22"/>
        <v>30164652.787533071</v>
      </c>
      <c r="DI227" s="122">
        <f t="shared" si="22"/>
        <v>60117077.92735371</v>
      </c>
      <c r="DJ227" s="120">
        <f>+SUM(DJ228:DJ231)</f>
        <v>17453194.433351744</v>
      </c>
      <c r="DK227" s="280">
        <f t="shared" ref="DK227:DU227" si="23">+SUM(DK228:DK231)</f>
        <v>27390142.980436314</v>
      </c>
      <c r="DL227" s="121">
        <f t="shared" si="23"/>
        <v>28082312.197140861</v>
      </c>
      <c r="DM227" s="121">
        <f t="shared" si="23"/>
        <v>30124960.749123506</v>
      </c>
      <c r="DN227" s="121">
        <f t="shared" si="23"/>
        <v>34683059.189534552</v>
      </c>
      <c r="DO227" s="121">
        <f t="shared" si="23"/>
        <v>35520127.578458838</v>
      </c>
      <c r="DP227" s="121">
        <f t="shared" si="23"/>
        <v>34214609.03892383</v>
      </c>
      <c r="DQ227" s="121">
        <f t="shared" si="23"/>
        <v>35699732.916304395</v>
      </c>
      <c r="DR227" s="121">
        <f t="shared" si="23"/>
        <v>34477573.889674954</v>
      </c>
      <c r="DS227" s="121">
        <f t="shared" si="23"/>
        <v>38517756.206527121</v>
      </c>
      <c r="DT227" s="121">
        <f t="shared" si="23"/>
        <v>32938623.312072884</v>
      </c>
      <c r="DU227" s="122">
        <f t="shared" si="23"/>
        <v>68390080.261651829</v>
      </c>
      <c r="DV227" s="285">
        <f>SUM(DV228:DV231)</f>
        <v>18354060.58487517</v>
      </c>
      <c r="DW227" s="285">
        <f t="shared" ref="DW227:ES227" si="24">SUM(DW228:DW231)</f>
        <v>32251984.308998123</v>
      </c>
      <c r="DX227" s="285">
        <f t="shared" si="24"/>
        <v>35252780.4112795</v>
      </c>
      <c r="DY227" s="285">
        <f t="shared" si="24"/>
        <v>36048622.442372173</v>
      </c>
      <c r="DZ227" s="285">
        <f t="shared" si="24"/>
        <v>36467046.907571375</v>
      </c>
      <c r="EA227" s="285">
        <f t="shared" si="24"/>
        <v>39962406.622471027</v>
      </c>
      <c r="EB227" s="285">
        <f t="shared" si="24"/>
        <v>41754281.859282047</v>
      </c>
      <c r="EC227" s="285">
        <f t="shared" si="24"/>
        <v>41778770.739156105</v>
      </c>
      <c r="ED227" s="285">
        <f t="shared" si="24"/>
        <v>40678217.175356045</v>
      </c>
      <c r="EE227" s="285">
        <f t="shared" si="24"/>
        <v>50087168.979291983</v>
      </c>
      <c r="EF227" s="285">
        <f t="shared" si="24"/>
        <v>35104466.825188249</v>
      </c>
      <c r="EG227" s="285">
        <f t="shared" si="24"/>
        <v>75416411.255019069</v>
      </c>
      <c r="EH227" s="285">
        <f t="shared" si="24"/>
        <v>14494391.656080697</v>
      </c>
      <c r="EI227" s="285">
        <f t="shared" si="24"/>
        <v>38286134.504472315</v>
      </c>
      <c r="EJ227" s="285">
        <f t="shared" si="24"/>
        <v>42512596.169410236</v>
      </c>
      <c r="EK227" s="285">
        <f t="shared" si="24"/>
        <v>36881500.656790689</v>
      </c>
      <c r="EL227" s="285">
        <f t="shared" si="24"/>
        <v>37654579.061565474</v>
      </c>
      <c r="EM227" s="285">
        <f t="shared" si="24"/>
        <v>40791760.633679733</v>
      </c>
      <c r="EN227" s="285">
        <f t="shared" si="24"/>
        <v>36948873.818993188</v>
      </c>
      <c r="EO227" s="285">
        <f t="shared" si="24"/>
        <v>40320200.299979933</v>
      </c>
      <c r="EP227" s="285">
        <f t="shared" si="24"/>
        <v>44012184.309503838</v>
      </c>
      <c r="EQ227" s="285">
        <f t="shared" si="24"/>
        <v>39620758.48069074</v>
      </c>
      <c r="ER227" s="285">
        <f t="shared" si="24"/>
        <v>41454472.958962008</v>
      </c>
      <c r="ES227" s="285">
        <f t="shared" si="24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4">
        <v>15835723.169364264</v>
      </c>
      <c r="FS227" s="454">
        <v>42050901.902156882</v>
      </c>
      <c r="FT227" s="454">
        <v>41165816.654906645</v>
      </c>
      <c r="FU227" s="454">
        <v>71460445.947101474</v>
      </c>
      <c r="FV227" s="454">
        <v>37646077.674470186</v>
      </c>
      <c r="FW227" s="454">
        <v>45454016.537137315</v>
      </c>
      <c r="FX227" s="454">
        <v>48845908.370285161</v>
      </c>
      <c r="FY227" s="454">
        <v>45961407.018496931</v>
      </c>
      <c r="FZ227" s="454">
        <v>44527055.317223892</v>
      </c>
      <c r="GA227" s="454">
        <v>46718215.929809026</v>
      </c>
      <c r="GB227" s="454">
        <v>44257264.346553147</v>
      </c>
      <c r="GC227" s="454">
        <v>85651782.334506199</v>
      </c>
      <c r="GE227" s="447">
        <f>SUM(FR227:GD227)</f>
        <v>569574615.20201111</v>
      </c>
    </row>
    <row r="228" spans="1:187" ht="30">
      <c r="D228" s="72" t="str">
        <f t="shared" si="20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9753677.1066540871</v>
      </c>
      <c r="FS228" s="263">
        <v>25247995.638608895</v>
      </c>
      <c r="FT228" s="263">
        <v>24560134.812409252</v>
      </c>
      <c r="FU228" s="263">
        <v>43950798.51863493</v>
      </c>
      <c r="FV228" s="263">
        <v>22692935.606279898</v>
      </c>
      <c r="FW228" s="263">
        <v>27728025.490367297</v>
      </c>
      <c r="FX228" s="263">
        <v>29734665.728275266</v>
      </c>
      <c r="FY228" s="263">
        <v>28251243.506967958</v>
      </c>
      <c r="FZ228" s="263">
        <v>27641975.548622753</v>
      </c>
      <c r="GA228" s="263">
        <v>29323314.317518704</v>
      </c>
      <c r="GB228" s="263">
        <v>27964929.42093296</v>
      </c>
      <c r="GC228" s="263">
        <v>54599579.934650965</v>
      </c>
      <c r="GE228" s="448">
        <f>SUM(FS228:GD228)</f>
        <v>341695598.52326888</v>
      </c>
    </row>
    <row r="229" spans="1:187" ht="30">
      <c r="D229" s="72" t="str">
        <f t="shared" si="20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5256146.905831675</v>
      </c>
      <c r="FS229" s="263">
        <v>14597766.28354576</v>
      </c>
      <c r="FT229" s="263">
        <v>14264533.110637551</v>
      </c>
      <c r="FU229" s="263">
        <v>23884940.168937128</v>
      </c>
      <c r="FV229" s="263">
        <v>12991990.821242537</v>
      </c>
      <c r="FW229" s="263">
        <v>15373191.401835907</v>
      </c>
      <c r="FX229" s="263">
        <v>16606376.199806731</v>
      </c>
      <c r="FY229" s="263">
        <v>15310350.125251874</v>
      </c>
      <c r="FZ229" s="263">
        <v>14498491.002978249</v>
      </c>
      <c r="GA229" s="263">
        <v>14811904.639849145</v>
      </c>
      <c r="GB229" s="263">
        <v>13882878.988506734</v>
      </c>
      <c r="GC229" s="263">
        <v>26337283.273071673</v>
      </c>
      <c r="GE229" s="448">
        <f t="shared" ref="GE229:GE231" si="25">SUM(FS229:GD229)</f>
        <v>182559706.0156633</v>
      </c>
    </row>
    <row r="230" spans="1:187" ht="30">
      <c r="D230" s="72" t="str">
        <f t="shared" si="20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473453.158457916</v>
      </c>
      <c r="FS230" s="263">
        <v>1245019.9031552123</v>
      </c>
      <c r="FT230" s="263">
        <v>1218679.9210013372</v>
      </c>
      <c r="FU230" s="263">
        <v>1998933.8340953649</v>
      </c>
      <c r="FV230" s="263">
        <v>1121012.6510790826</v>
      </c>
      <c r="FW230" s="263">
        <v>1312015.54447653</v>
      </c>
      <c r="FX230" s="263">
        <v>1413141.9482049055</v>
      </c>
      <c r="FY230" s="263">
        <v>1348238.7551276963</v>
      </c>
      <c r="FZ230" s="263">
        <v>1333394.0994209074</v>
      </c>
      <c r="GA230" s="263">
        <v>1407047.2496787095</v>
      </c>
      <c r="GB230" s="263">
        <v>1322932.7166010505</v>
      </c>
      <c r="GC230" s="263">
        <v>2554998.3125818875</v>
      </c>
      <c r="GE230" s="448">
        <f t="shared" si="25"/>
        <v>16275414.935422687</v>
      </c>
    </row>
    <row r="231" spans="1:187">
      <c r="D231" s="72" t="str">
        <f t="shared" si="20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352445.99842058652</v>
      </c>
      <c r="FS231" s="263">
        <v>960120.0768470125</v>
      </c>
      <c r="FT231" s="263">
        <v>1122468.8108585002</v>
      </c>
      <c r="FU231" s="263">
        <v>1625773.4254340553</v>
      </c>
      <c r="FV231" s="263">
        <v>840138.59586867213</v>
      </c>
      <c r="FW231" s="263">
        <v>1040784.1004575822</v>
      </c>
      <c r="FX231" s="263">
        <v>1091724.493998257</v>
      </c>
      <c r="FY231" s="263">
        <v>1051574.6311493963</v>
      </c>
      <c r="FZ231" s="263">
        <v>1053194.6662019892</v>
      </c>
      <c r="GA231" s="263">
        <v>1175949.7227624629</v>
      </c>
      <c r="GB231" s="263">
        <v>1086523.2205123967</v>
      </c>
      <c r="GC231" s="263">
        <v>2159920.8142016884</v>
      </c>
      <c r="GE231" s="448">
        <f t="shared" si="25"/>
        <v>13208172.558292015</v>
      </c>
    </row>
    <row r="232" spans="1:187" s="9" customFormat="1">
      <c r="A232" s="118"/>
      <c r="B232" s="118"/>
      <c r="C232" s="118">
        <v>713</v>
      </c>
      <c r="D232" s="118" t="str">
        <f t="shared" si="20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26">+SUM(CL233:CL236)</f>
        <v>2027877.2372930939</v>
      </c>
      <c r="CM232" s="121">
        <f t="shared" si="26"/>
        <v>1882424.3685098737</v>
      </c>
      <c r="CN232" s="121">
        <f t="shared" si="26"/>
        <v>2363168.5236575948</v>
      </c>
      <c r="CO232" s="121">
        <f t="shared" si="26"/>
        <v>2393449.5740456693</v>
      </c>
      <c r="CP232" s="121">
        <f t="shared" si="26"/>
        <v>2431766.3719360717</v>
      </c>
      <c r="CQ232" s="121">
        <f t="shared" si="26"/>
        <v>2858151.7123018736</v>
      </c>
      <c r="CR232" s="121">
        <f t="shared" si="26"/>
        <v>2917908.2048975867</v>
      </c>
      <c r="CS232" s="121">
        <f t="shared" si="26"/>
        <v>2932949.8029298875</v>
      </c>
      <c r="CT232" s="121">
        <f t="shared" si="26"/>
        <v>2302181.1067919475</v>
      </c>
      <c r="CU232" s="121">
        <f t="shared" si="26"/>
        <v>2479397.4364794977</v>
      </c>
      <c r="CV232" s="121">
        <f t="shared" si="26"/>
        <v>2197340.2207755819</v>
      </c>
      <c r="CW232" s="122">
        <f t="shared" si="26"/>
        <v>2280154.7968325969</v>
      </c>
      <c r="CX232" s="120">
        <f t="shared" si="26"/>
        <v>902871.84498938802</v>
      </c>
      <c r="CY232" s="121">
        <f t="shared" si="26"/>
        <v>1376722.835592885</v>
      </c>
      <c r="CZ232" s="121">
        <f t="shared" si="26"/>
        <v>1533902.3810318899</v>
      </c>
      <c r="DA232" s="121">
        <f t="shared" si="26"/>
        <v>1769167.7909803819</v>
      </c>
      <c r="DB232" s="121">
        <f t="shared" si="26"/>
        <v>1635179.6025759527</v>
      </c>
      <c r="DC232" s="121">
        <f t="shared" si="26"/>
        <v>1713767.4441061548</v>
      </c>
      <c r="DD232" s="121">
        <f t="shared" si="26"/>
        <v>2233130.224239069</v>
      </c>
      <c r="DE232" s="121">
        <f t="shared" si="26"/>
        <v>1791089.1999486499</v>
      </c>
      <c r="DF232" s="121">
        <f t="shared" si="26"/>
        <v>1407201.854776232</v>
      </c>
      <c r="DG232" s="121">
        <f t="shared" si="26"/>
        <v>2107131.608306407</v>
      </c>
      <c r="DH232" s="121">
        <f t="shared" si="26"/>
        <v>2082325.1460510979</v>
      </c>
      <c r="DI232" s="122">
        <f t="shared" si="26"/>
        <v>2370557.2656825301</v>
      </c>
      <c r="DJ232" s="120">
        <f t="shared" si="26"/>
        <v>1017432.8805905436</v>
      </c>
      <c r="DK232" s="280">
        <f t="shared" si="26"/>
        <v>2806441.7507150937</v>
      </c>
      <c r="DL232" s="121">
        <f t="shared" si="26"/>
        <v>1117006.3290833589</v>
      </c>
      <c r="DM232" s="121">
        <f t="shared" si="26"/>
        <v>1264717.5392387407</v>
      </c>
      <c r="DN232" s="121">
        <f t="shared" si="26"/>
        <v>1093045.5428240406</v>
      </c>
      <c r="DO232" s="121">
        <f t="shared" si="26"/>
        <v>1395344.9576274238</v>
      </c>
      <c r="DP232" s="121">
        <f t="shared" si="26"/>
        <v>1446144.3329938813</v>
      </c>
      <c r="DQ232" s="121">
        <f t="shared" si="26"/>
        <v>1356791.631586303</v>
      </c>
      <c r="DR232" s="121">
        <f t="shared" si="26"/>
        <v>1266226.6725826806</v>
      </c>
      <c r="DS232" s="121">
        <f t="shared" si="26"/>
        <v>1318880.8810031279</v>
      </c>
      <c r="DT232" s="121">
        <f t="shared" si="26"/>
        <v>1346463.6496868518</v>
      </c>
      <c r="DU232" s="122">
        <f t="shared" si="26"/>
        <v>1474390.4967195832</v>
      </c>
      <c r="DV232" s="285">
        <f t="shared" ref="DV232:ES232" si="27">SUM(DV233:DV236)</f>
        <v>723207.81855982868</v>
      </c>
      <c r="DW232" s="285">
        <f t="shared" si="27"/>
        <v>1375936.6828377536</v>
      </c>
      <c r="DX232" s="285">
        <f t="shared" si="27"/>
        <v>1085048.6732404828</v>
      </c>
      <c r="DY232" s="285">
        <f t="shared" si="27"/>
        <v>1135307.1677424815</v>
      </c>
      <c r="DZ232" s="285">
        <f t="shared" si="27"/>
        <v>1038831.7010082075</v>
      </c>
      <c r="EA232" s="285">
        <f t="shared" si="27"/>
        <v>1185196.3988510575</v>
      </c>
      <c r="EB232" s="285">
        <f t="shared" si="27"/>
        <v>1392519.4702588716</v>
      </c>
      <c r="EC232" s="285">
        <f t="shared" si="27"/>
        <v>1336120.0015746492</v>
      </c>
      <c r="ED232" s="285">
        <f t="shared" si="27"/>
        <v>1100943.0740307707</v>
      </c>
      <c r="EE232" s="285">
        <f t="shared" si="27"/>
        <v>1348017.839179961</v>
      </c>
      <c r="EF232" s="285">
        <f t="shared" si="27"/>
        <v>1208363.2775689771</v>
      </c>
      <c r="EG232" s="285">
        <f t="shared" si="27"/>
        <v>1458355.2073679506</v>
      </c>
      <c r="EH232" s="285">
        <f t="shared" si="27"/>
        <v>610864.67030384962</v>
      </c>
      <c r="EI232" s="285">
        <f t="shared" si="27"/>
        <v>956190.19217041158</v>
      </c>
      <c r="EJ232" s="285">
        <f t="shared" si="27"/>
        <v>1101531.2378384364</v>
      </c>
      <c r="EK232" s="285">
        <f t="shared" si="27"/>
        <v>1012659.4044928866</v>
      </c>
      <c r="EL232" s="285">
        <f t="shared" si="27"/>
        <v>1178564.1353407067</v>
      </c>
      <c r="EM232" s="285">
        <f t="shared" si="27"/>
        <v>1356946.2184835174</v>
      </c>
      <c r="EN232" s="285">
        <f t="shared" si="27"/>
        <v>1348470.7634851695</v>
      </c>
      <c r="EO232" s="285">
        <f t="shared" si="27"/>
        <v>1646935.436847656</v>
      </c>
      <c r="EP232" s="285">
        <f t="shared" si="27"/>
        <v>1304957.8822505821</v>
      </c>
      <c r="EQ232" s="285">
        <f t="shared" si="27"/>
        <v>1090007.5802936796</v>
      </c>
      <c r="ER232" s="285">
        <f t="shared" si="27"/>
        <v>1069514.6174671263</v>
      </c>
      <c r="ES232" s="285">
        <f t="shared" si="27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4">
        <v>838274.25244836276</v>
      </c>
      <c r="FS232" s="454">
        <v>1031159.7172819173</v>
      </c>
      <c r="FT232" s="454">
        <v>1058599.0247181079</v>
      </c>
      <c r="FU232" s="454">
        <v>1278415.3274854394</v>
      </c>
      <c r="FV232" s="454">
        <v>1186114.5213560322</v>
      </c>
      <c r="FW232" s="454">
        <v>1223149.8772133829</v>
      </c>
      <c r="FX232" s="454">
        <v>1820465.3980111273</v>
      </c>
      <c r="FY232" s="454">
        <v>1567183.3935036326</v>
      </c>
      <c r="FZ232" s="454">
        <v>1518874.003713707</v>
      </c>
      <c r="GA232" s="454">
        <v>1325889.7849942853</v>
      </c>
      <c r="GB232" s="454">
        <v>984764.77375819325</v>
      </c>
      <c r="GC232" s="454">
        <v>1304228.0724088144</v>
      </c>
      <c r="GE232" s="447">
        <f>SUM(FR232:GD232)</f>
        <v>15137118.146893002</v>
      </c>
    </row>
    <row r="233" spans="1:187">
      <c r="D233" s="72" t="str">
        <f t="shared" si="20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642863.389515911</v>
      </c>
      <c r="FS233" s="263">
        <v>810879.23940051091</v>
      </c>
      <c r="FT233" s="263">
        <v>794293.13773817301</v>
      </c>
      <c r="FU233" s="263">
        <v>940563.36647844245</v>
      </c>
      <c r="FV233" s="263">
        <v>847242.33541054442</v>
      </c>
      <c r="FW233" s="263">
        <v>782178.259137835</v>
      </c>
      <c r="FX233" s="263">
        <v>1026831.0923618984</v>
      </c>
      <c r="FY233" s="263">
        <v>725665.25077010854</v>
      </c>
      <c r="FZ233" s="263">
        <v>901081.43598091986</v>
      </c>
      <c r="GA233" s="263">
        <v>847716.3488141431</v>
      </c>
      <c r="GB233" s="263">
        <v>663383.39737310214</v>
      </c>
      <c r="GC233" s="263">
        <v>842284.0856860124</v>
      </c>
      <c r="GE233" s="448">
        <f>SUM(FS233:GD233)</f>
        <v>9182117.949151691</v>
      </c>
    </row>
    <row r="234" spans="1:187">
      <c r="D234" s="72" t="str">
        <f t="shared" si="20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76904.927101654961</v>
      </c>
      <c r="FS234" s="263">
        <v>102177.76790782146</v>
      </c>
      <c r="FT234" s="263">
        <v>127084.78875469799</v>
      </c>
      <c r="FU234" s="263">
        <v>153287.63295707718</v>
      </c>
      <c r="FV234" s="263">
        <v>106816.28986384318</v>
      </c>
      <c r="FW234" s="263">
        <v>107954.46376525784</v>
      </c>
      <c r="FX234" s="263">
        <v>121315.32037939744</v>
      </c>
      <c r="FY234" s="263">
        <v>94955.908467789428</v>
      </c>
      <c r="FZ234" s="263">
        <v>96487.433329524647</v>
      </c>
      <c r="GA234" s="263">
        <v>124279.19430770453</v>
      </c>
      <c r="GB234" s="263">
        <v>109530.60168695323</v>
      </c>
      <c r="GC234" s="263">
        <v>141831.50318107847</v>
      </c>
      <c r="GE234" s="448">
        <f t="shared" ref="GE234:GE236" si="28">SUM(FS234:GD234)</f>
        <v>1285720.9046011455</v>
      </c>
    </row>
    <row r="235" spans="1:187">
      <c r="D235" s="72" t="str">
        <f t="shared" si="20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23577.770216151352</v>
      </c>
      <c r="FS235" s="263">
        <v>27068.54880354596</v>
      </c>
      <c r="FT235" s="263">
        <v>38321.841961275073</v>
      </c>
      <c r="FU235" s="263">
        <v>53047.841760526251</v>
      </c>
      <c r="FV235" s="263">
        <v>86757.921079552936</v>
      </c>
      <c r="FW235" s="263">
        <v>170153.0708091688</v>
      </c>
      <c r="FX235" s="263">
        <v>408730.19256716047</v>
      </c>
      <c r="FY235" s="263">
        <v>495924.43836830975</v>
      </c>
      <c r="FZ235" s="263">
        <v>284059.58447148529</v>
      </c>
      <c r="GA235" s="263">
        <v>133542.70588297237</v>
      </c>
      <c r="GB235" s="263">
        <v>56361.136519314547</v>
      </c>
      <c r="GC235" s="263">
        <v>41955.730565537342</v>
      </c>
      <c r="GE235" s="448">
        <f t="shared" si="28"/>
        <v>1795923.0127888487</v>
      </c>
    </row>
    <row r="236" spans="1:187">
      <c r="D236" s="72" t="str">
        <f t="shared" si="20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94928.165614645477</v>
      </c>
      <c r="FS236" s="263">
        <v>91034.161170038991</v>
      </c>
      <c r="FT236" s="263">
        <v>98899.256263961695</v>
      </c>
      <c r="FU236" s="263">
        <v>131516.48628939374</v>
      </c>
      <c r="FV236" s="263">
        <v>145297.97500209167</v>
      </c>
      <c r="FW236" s="263">
        <v>162864.08350112132</v>
      </c>
      <c r="FX236" s="263">
        <v>263588.79270267085</v>
      </c>
      <c r="FY236" s="263">
        <v>250637.79589742486</v>
      </c>
      <c r="FZ236" s="263">
        <v>237245.5499317772</v>
      </c>
      <c r="GA236" s="263">
        <v>220351.53598946519</v>
      </c>
      <c r="GB236" s="263">
        <v>155489.63817882328</v>
      </c>
      <c r="GC236" s="263">
        <v>278156.75297618634</v>
      </c>
      <c r="GE236" s="448">
        <f t="shared" si="28"/>
        <v>2035082.0279029552</v>
      </c>
    </row>
    <row r="237" spans="1:187" s="9" customFormat="1">
      <c r="A237" s="118"/>
      <c r="B237" s="118"/>
      <c r="C237" s="118">
        <v>714</v>
      </c>
      <c r="D237" s="118" t="str">
        <f t="shared" si="20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29">+SUM(CL238:CL243)</f>
        <v>982710.87498690933</v>
      </c>
      <c r="CM237" s="121">
        <f t="shared" si="29"/>
        <v>869104.05358116457</v>
      </c>
      <c r="CN237" s="121">
        <f t="shared" si="29"/>
        <v>787268.76554129389</v>
      </c>
      <c r="CO237" s="121">
        <f t="shared" si="29"/>
        <v>1546322.5460752659</v>
      </c>
      <c r="CP237" s="121">
        <f t="shared" si="29"/>
        <v>932515.34080204321</v>
      </c>
      <c r="CQ237" s="121">
        <f t="shared" si="29"/>
        <v>1175327.7210279165</v>
      </c>
      <c r="CR237" s="121">
        <f t="shared" si="29"/>
        <v>2020249.028265815</v>
      </c>
      <c r="CS237" s="121">
        <f t="shared" si="29"/>
        <v>1079348.0183819076</v>
      </c>
      <c r="CT237" s="121">
        <f t="shared" si="29"/>
        <v>1345127.7045627646</v>
      </c>
      <c r="CU237" s="121">
        <f t="shared" si="29"/>
        <v>1098866.9792922472</v>
      </c>
      <c r="CV237" s="121">
        <f t="shared" si="29"/>
        <v>885498.0103225843</v>
      </c>
      <c r="CW237" s="122">
        <f t="shared" si="29"/>
        <v>1136253.4997662231</v>
      </c>
      <c r="CX237" s="120">
        <f t="shared" si="29"/>
        <v>874647.32532018784</v>
      </c>
      <c r="CY237" s="121">
        <f t="shared" si="29"/>
        <v>1141795.5130265537</v>
      </c>
      <c r="CZ237" s="121">
        <f t="shared" si="29"/>
        <v>1392255.6905662352</v>
      </c>
      <c r="DA237" s="121">
        <f t="shared" si="29"/>
        <v>1012251.8295932285</v>
      </c>
      <c r="DB237" s="121">
        <f t="shared" si="29"/>
        <v>647746.68080012128</v>
      </c>
      <c r="DC237" s="121">
        <f t="shared" si="29"/>
        <v>954989.7774594496</v>
      </c>
      <c r="DD237" s="121">
        <f t="shared" si="29"/>
        <v>1184343.1262543593</v>
      </c>
      <c r="DE237" s="121">
        <f t="shared" si="29"/>
        <v>1056013.1087953006</v>
      </c>
      <c r="DF237" s="121">
        <f t="shared" si="29"/>
        <v>1308372.2565571361</v>
      </c>
      <c r="DG237" s="121">
        <f t="shared" si="29"/>
        <v>1299421.3451732181</v>
      </c>
      <c r="DH237" s="121">
        <f t="shared" si="29"/>
        <v>1236718.8760774885</v>
      </c>
      <c r="DI237" s="122">
        <f t="shared" si="29"/>
        <v>915688.23864849063</v>
      </c>
      <c r="DJ237" s="120">
        <f t="shared" si="29"/>
        <v>1138266.9804152639</v>
      </c>
      <c r="DK237" s="280">
        <f t="shared" si="29"/>
        <v>756483.76634673518</v>
      </c>
      <c r="DL237" s="121">
        <f t="shared" si="29"/>
        <v>784896.45053551998</v>
      </c>
      <c r="DM237" s="121">
        <f t="shared" si="29"/>
        <v>716357.12404800032</v>
      </c>
      <c r="DN237" s="121">
        <f t="shared" si="29"/>
        <v>1133208.5669148029</v>
      </c>
      <c r="DO237" s="121">
        <f t="shared" si="29"/>
        <v>1267102.9957289747</v>
      </c>
      <c r="DP237" s="121">
        <f t="shared" si="29"/>
        <v>1342917.6146265836</v>
      </c>
      <c r="DQ237" s="121">
        <f t="shared" si="29"/>
        <v>1226756.3727123113</v>
      </c>
      <c r="DR237" s="121">
        <f t="shared" si="29"/>
        <v>1268468.2949369599</v>
      </c>
      <c r="DS237" s="121">
        <f t="shared" si="29"/>
        <v>1378353.6704010672</v>
      </c>
      <c r="DT237" s="121">
        <f t="shared" si="29"/>
        <v>1123435.7637199732</v>
      </c>
      <c r="DU237" s="122">
        <f t="shared" si="29"/>
        <v>1342481.0432510113</v>
      </c>
      <c r="DV237" s="285">
        <f t="shared" ref="DV237:ES237" si="30">SUM(DV238:DV243)</f>
        <v>830622.45977962902</v>
      </c>
      <c r="DW237" s="285">
        <f t="shared" si="30"/>
        <v>841675.37717694405</v>
      </c>
      <c r="DX237" s="285">
        <f t="shared" si="30"/>
        <v>1095886.2838292783</v>
      </c>
      <c r="DY237" s="285">
        <f t="shared" si="30"/>
        <v>803106.60353358404</v>
      </c>
      <c r="DZ237" s="285">
        <f t="shared" si="30"/>
        <v>1197017.3724938135</v>
      </c>
      <c r="EA237" s="285">
        <f t="shared" si="30"/>
        <v>1645191.7465731674</v>
      </c>
      <c r="EB237" s="285">
        <f t="shared" si="30"/>
        <v>1914614.876306891</v>
      </c>
      <c r="EC237" s="285">
        <f t="shared" si="30"/>
        <v>1757103.5644707002</v>
      </c>
      <c r="ED237" s="285">
        <f t="shared" si="30"/>
        <v>1998291.5618472034</v>
      </c>
      <c r="EE237" s="285">
        <f t="shared" si="30"/>
        <v>2181977.5553072984</v>
      </c>
      <c r="EF237" s="285">
        <f t="shared" si="30"/>
        <v>1508780.0698249615</v>
      </c>
      <c r="EG237" s="285">
        <f t="shared" si="30"/>
        <v>1535340.0887295473</v>
      </c>
      <c r="EH237" s="285">
        <f t="shared" si="30"/>
        <v>1682455.8460246248</v>
      </c>
      <c r="EI237" s="285">
        <f t="shared" si="30"/>
        <v>1232315.1298845697</v>
      </c>
      <c r="EJ237" s="285">
        <f t="shared" si="30"/>
        <v>1332747.1124490716</v>
      </c>
      <c r="EK237" s="285">
        <f t="shared" si="30"/>
        <v>1975532.6209221156</v>
      </c>
      <c r="EL237" s="285">
        <f t="shared" si="30"/>
        <v>1379961.0350704237</v>
      </c>
      <c r="EM237" s="285">
        <f t="shared" si="30"/>
        <v>1823244.5616456694</v>
      </c>
      <c r="EN237" s="285">
        <f t="shared" si="30"/>
        <v>2820791.0553781362</v>
      </c>
      <c r="EO237" s="285">
        <f t="shared" si="30"/>
        <v>1850940.4561359507</v>
      </c>
      <c r="EP237" s="285">
        <f t="shared" si="30"/>
        <v>2466068.9719773401</v>
      </c>
      <c r="EQ237" s="285">
        <f t="shared" si="30"/>
        <v>2793048.4100497989</v>
      </c>
      <c r="ER237" s="285">
        <f t="shared" si="30"/>
        <v>1640472.4289961406</v>
      </c>
      <c r="ES237" s="285">
        <f t="shared" si="30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4">
        <v>2127985.1400677105</v>
      </c>
      <c r="FS237" s="454">
        <v>2815664.7061615512</v>
      </c>
      <c r="FT237" s="454">
        <v>3702792.3992022369</v>
      </c>
      <c r="FU237" s="454">
        <v>4622117.3107319139</v>
      </c>
      <c r="FV237" s="454">
        <v>3096098.445869002</v>
      </c>
      <c r="FW237" s="454">
        <v>3359690.6837037057</v>
      </c>
      <c r="FX237" s="454">
        <v>4012029.6153947674</v>
      </c>
      <c r="FY237" s="454">
        <v>3286215.8430469781</v>
      </c>
      <c r="FZ237" s="454">
        <v>5654334.4343122868</v>
      </c>
      <c r="GA237" s="454">
        <v>5777934.2539584497</v>
      </c>
      <c r="GB237" s="454">
        <v>5705295.0770046022</v>
      </c>
      <c r="GC237" s="454">
        <v>77901626.409101993</v>
      </c>
      <c r="GE237" s="447">
        <f>SUM(FR237:GD237)</f>
        <v>122061784.31855521</v>
      </c>
    </row>
    <row r="238" spans="1:187" ht="30">
      <c r="D238" s="72" t="str">
        <f t="shared" si="20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5725.5457833831797</v>
      </c>
      <c r="FS238" s="263">
        <v>10943.613726975527</v>
      </c>
      <c r="FT238" s="263">
        <v>77794.662747620794</v>
      </c>
      <c r="FU238" s="263">
        <v>42762.578633807439</v>
      </c>
      <c r="FV238" s="263">
        <v>90835.760834562359</v>
      </c>
      <c r="FW238" s="263">
        <v>113021.01540227333</v>
      </c>
      <c r="FX238" s="263">
        <v>105745.39306421576</v>
      </c>
      <c r="FY238" s="263">
        <v>108130.93995008682</v>
      </c>
      <c r="FZ238" s="263">
        <v>109012.18190968488</v>
      </c>
      <c r="GA238" s="263">
        <v>97867.240539590988</v>
      </c>
      <c r="GB238" s="263">
        <v>83169.166536069242</v>
      </c>
      <c r="GC238" s="263">
        <v>70142687.455412522</v>
      </c>
      <c r="GE238" s="448">
        <f>SUM(FS238:GD238)</f>
        <v>70981970.008757412</v>
      </c>
    </row>
    <row r="239" spans="1:187" ht="30">
      <c r="D239" s="72" t="str">
        <f t="shared" si="20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134026.65513593238</v>
      </c>
      <c r="FS239" s="263">
        <v>121781.84299171955</v>
      </c>
      <c r="FT239" s="263">
        <v>729723.68065995118</v>
      </c>
      <c r="FU239" s="263">
        <v>380851.73332286405</v>
      </c>
      <c r="FV239" s="263">
        <v>350821.12172591215</v>
      </c>
      <c r="FW239" s="263">
        <v>163895.40819829985</v>
      </c>
      <c r="FX239" s="263">
        <v>508502.54869386082</v>
      </c>
      <c r="FY239" s="263">
        <v>429664.13197344984</v>
      </c>
      <c r="FZ239" s="263">
        <v>289599.31557065569</v>
      </c>
      <c r="GA239" s="263">
        <v>222299.32056307586</v>
      </c>
      <c r="GB239" s="263">
        <v>50000</v>
      </c>
      <c r="GC239" s="263">
        <v>1181164.0486554799</v>
      </c>
      <c r="GE239" s="448">
        <f t="shared" ref="GE239:GE243" si="31">SUM(FS239:GD239)</f>
        <v>4428303.1523552686</v>
      </c>
    </row>
    <row r="240" spans="1:187">
      <c r="D240" s="72" t="str">
        <f t="shared" si="20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53475.266214470554</v>
      </c>
      <c r="FS240" s="263">
        <v>55047.899514133642</v>
      </c>
      <c r="FT240" s="263">
        <v>48242.059080267711</v>
      </c>
      <c r="FU240" s="263">
        <v>48450.088596965332</v>
      </c>
      <c r="FV240" s="263">
        <v>56914.66710663202</v>
      </c>
      <c r="FW240" s="263">
        <v>48922.673799513155</v>
      </c>
      <c r="FX240" s="263">
        <v>48523.498286898001</v>
      </c>
      <c r="FY240" s="263">
        <v>11352.226886607868</v>
      </c>
      <c r="FZ240" s="263">
        <v>1886.2703596887836</v>
      </c>
      <c r="GA240" s="263">
        <v>427.31471391529863</v>
      </c>
      <c r="GB240" s="263">
        <v>63.263059694456658</v>
      </c>
      <c r="GC240" s="263">
        <v>249.20595801311333</v>
      </c>
      <c r="GE240" s="448">
        <f t="shared" si="31"/>
        <v>320079.16736232938</v>
      </c>
    </row>
    <row r="241" spans="1:187" ht="30">
      <c r="D241" s="72" t="str">
        <f t="shared" si="20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644923.73287346016</v>
      </c>
      <c r="FS241" s="263">
        <v>650614.33728427452</v>
      </c>
      <c r="FT241" s="263">
        <v>625507.52128318849</v>
      </c>
      <c r="FU241" s="263">
        <v>1749759.9441942789</v>
      </c>
      <c r="FV241" s="263">
        <v>677482.90680094436</v>
      </c>
      <c r="FW241" s="263">
        <v>685914.87530203734</v>
      </c>
      <c r="FX241" s="263">
        <v>642199.10533315677</v>
      </c>
      <c r="FY241" s="263">
        <v>756943.41346908442</v>
      </c>
      <c r="FZ241" s="263">
        <v>2772839.9325422291</v>
      </c>
      <c r="GA241" s="263">
        <v>2713914.4235900855</v>
      </c>
      <c r="GB241" s="263">
        <v>2587959.3178295381</v>
      </c>
      <c r="GC241" s="263">
        <v>2882905.2217349228</v>
      </c>
      <c r="GE241" s="448">
        <f t="shared" si="31"/>
        <v>16746040.999363739</v>
      </c>
    </row>
    <row r="242" spans="1:187">
      <c r="D242" s="72" t="str">
        <f t="shared" si="20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99047.637273285727</v>
      </c>
      <c r="FS242" s="263">
        <v>189870.3913102677</v>
      </c>
      <c r="FT242" s="263">
        <v>225592.25165483161</v>
      </c>
      <c r="FU242" s="263">
        <v>231442.11236855999</v>
      </c>
      <c r="FV242" s="263">
        <v>280546.5710259201</v>
      </c>
      <c r="FW242" s="263">
        <v>342901.03311787697</v>
      </c>
      <c r="FX242" s="263">
        <v>451378.36899597727</v>
      </c>
      <c r="FY242" s="263">
        <v>379002.72584352066</v>
      </c>
      <c r="FZ242" s="263">
        <v>290263.65490057581</v>
      </c>
      <c r="GA242" s="263">
        <v>275527.07431275555</v>
      </c>
      <c r="GB242" s="263">
        <v>235452.70175979828</v>
      </c>
      <c r="GC242" s="263">
        <v>384384.95133623044</v>
      </c>
      <c r="GE242" s="448">
        <f t="shared" si="31"/>
        <v>3286361.8366263146</v>
      </c>
    </row>
    <row r="243" spans="1:187">
      <c r="D243" s="72" t="str">
        <f t="shared" si="20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1190786.3027871782</v>
      </c>
      <c r="FS243" s="263">
        <v>1787406.6213341802</v>
      </c>
      <c r="FT243" s="263">
        <v>1995932.2237763773</v>
      </c>
      <c r="FU243" s="263">
        <v>2168850.8536154386</v>
      </c>
      <c r="FV243" s="263">
        <v>1639497.4183750311</v>
      </c>
      <c r="FW243" s="263">
        <v>2005035.6778837051</v>
      </c>
      <c r="FX243" s="263">
        <v>2255680.7010206585</v>
      </c>
      <c r="FY243" s="263">
        <v>1601122.4049242286</v>
      </c>
      <c r="FZ243" s="263">
        <v>2190733.0790294525</v>
      </c>
      <c r="GA243" s="263">
        <v>2467898.8802390266</v>
      </c>
      <c r="GB243" s="263">
        <v>2748650.6278195023</v>
      </c>
      <c r="GC243" s="263">
        <v>3310235.5260048183</v>
      </c>
      <c r="GE243" s="448">
        <f t="shared" si="31"/>
        <v>24171044.014022414</v>
      </c>
    </row>
    <row r="244" spans="1:187" s="9" customFormat="1">
      <c r="A244" s="118"/>
      <c r="B244" s="118"/>
      <c r="C244" s="118">
        <v>715</v>
      </c>
      <c r="D244" s="118" t="str">
        <f t="shared" si="20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32">+SUM(CL245:CL248)</f>
        <v>923442.3429132913</v>
      </c>
      <c r="CM244" s="121">
        <f t="shared" si="32"/>
        <v>1777418.9190493901</v>
      </c>
      <c r="CN244" s="121">
        <f t="shared" si="32"/>
        <v>2321412.8253925741</v>
      </c>
      <c r="CO244" s="121">
        <f t="shared" si="32"/>
        <v>1637829.2535735941</v>
      </c>
      <c r="CP244" s="121">
        <f t="shared" si="32"/>
        <v>1886272.7717710272</v>
      </c>
      <c r="CQ244" s="121">
        <f t="shared" si="32"/>
        <v>1533956.11443653</v>
      </c>
      <c r="CR244" s="121">
        <f t="shared" si="32"/>
        <v>3092390.5965000256</v>
      </c>
      <c r="CS244" s="121">
        <f t="shared" si="32"/>
        <v>2409748.3951187199</v>
      </c>
      <c r="CT244" s="121">
        <f t="shared" si="32"/>
        <v>1476812.0861061718</v>
      </c>
      <c r="CU244" s="121">
        <f t="shared" si="32"/>
        <v>1888437.4129044577</v>
      </c>
      <c r="CV244" s="121">
        <f t="shared" si="32"/>
        <v>2006775.4309992469</v>
      </c>
      <c r="CW244" s="122">
        <f t="shared" si="32"/>
        <v>8463643.2651979905</v>
      </c>
      <c r="CX244" s="120">
        <f t="shared" si="32"/>
        <v>2128432.1735986122</v>
      </c>
      <c r="CY244" s="121">
        <f t="shared" si="32"/>
        <v>1320017.4642991112</v>
      </c>
      <c r="CZ244" s="121">
        <f t="shared" si="32"/>
        <v>1521512.068415079</v>
      </c>
      <c r="DA244" s="121">
        <f t="shared" si="32"/>
        <v>2595680.0159037258</v>
      </c>
      <c r="DB244" s="121">
        <f t="shared" si="32"/>
        <v>2783027.0466008885</v>
      </c>
      <c r="DC244" s="121">
        <f t="shared" si="32"/>
        <v>1934475.5951932021</v>
      </c>
      <c r="DD244" s="121">
        <f t="shared" si="32"/>
        <v>3103592.0848331661</v>
      </c>
      <c r="DE244" s="121">
        <f t="shared" si="32"/>
        <v>2451881.0862679579</v>
      </c>
      <c r="DF244" s="121">
        <f t="shared" si="32"/>
        <v>2469058.8016255274</v>
      </c>
      <c r="DG244" s="121">
        <f t="shared" si="32"/>
        <v>2200822.8981059212</v>
      </c>
      <c r="DH244" s="121">
        <f t="shared" si="32"/>
        <v>4135986.1632531187</v>
      </c>
      <c r="DI244" s="122">
        <f t="shared" si="32"/>
        <v>4766285.5166419055</v>
      </c>
      <c r="DJ244" s="120">
        <f t="shared" si="32"/>
        <v>2409154.3623507507</v>
      </c>
      <c r="DK244" s="280">
        <f t="shared" si="32"/>
        <v>1483280.3928009064</v>
      </c>
      <c r="DL244" s="121">
        <f t="shared" si="32"/>
        <v>2006908.1745379991</v>
      </c>
      <c r="DM244" s="121">
        <f t="shared" si="32"/>
        <v>3182289.9559581177</v>
      </c>
      <c r="DN244" s="121">
        <f t="shared" si="32"/>
        <v>4231375.2243007179</v>
      </c>
      <c r="DO244" s="121">
        <f t="shared" si="32"/>
        <v>3386393.9761406584</v>
      </c>
      <c r="DP244" s="121">
        <f t="shared" si="32"/>
        <v>3090446.9975072816</v>
      </c>
      <c r="DQ244" s="121">
        <f t="shared" si="32"/>
        <v>3087498.4129390134</v>
      </c>
      <c r="DR244" s="121">
        <f t="shared" si="32"/>
        <v>2917378.1773197968</v>
      </c>
      <c r="DS244" s="121">
        <f t="shared" si="32"/>
        <v>2584038.1357656354</v>
      </c>
      <c r="DT244" s="121">
        <f t="shared" si="32"/>
        <v>3191275.8352530822</v>
      </c>
      <c r="DU244" s="122">
        <f t="shared" si="32"/>
        <v>5396946.6881590188</v>
      </c>
      <c r="DV244" s="285">
        <f t="shared" ref="DV244:ES244" si="33">SUM(DV245:DV248)</f>
        <v>3695677.3428100054</v>
      </c>
      <c r="DW244" s="285">
        <f t="shared" si="33"/>
        <v>2748948.1269429871</v>
      </c>
      <c r="DX244" s="285">
        <f t="shared" si="33"/>
        <v>3437534.4688711073</v>
      </c>
      <c r="DY244" s="285">
        <f t="shared" si="33"/>
        <v>4310053.4851114023</v>
      </c>
      <c r="DZ244" s="285">
        <f t="shared" si="33"/>
        <v>4691720.2243610416</v>
      </c>
      <c r="EA244" s="285">
        <f t="shared" si="33"/>
        <v>7347424.3207463743</v>
      </c>
      <c r="EB244" s="285">
        <f t="shared" si="33"/>
        <v>7513005.0166636882</v>
      </c>
      <c r="EC244" s="285">
        <f t="shared" si="33"/>
        <v>7727362.0985374814</v>
      </c>
      <c r="ED244" s="285">
        <f t="shared" si="33"/>
        <v>3713024.1621761573</v>
      </c>
      <c r="EE244" s="285">
        <f t="shared" si="33"/>
        <v>3090680.5408276808</v>
      </c>
      <c r="EF244" s="285">
        <f t="shared" si="33"/>
        <v>3793073.2615852021</v>
      </c>
      <c r="EG244" s="285">
        <f t="shared" si="33"/>
        <v>6660284.6574711353</v>
      </c>
      <c r="EH244" s="285">
        <f t="shared" si="33"/>
        <v>1168350.4302555511</v>
      </c>
      <c r="EI244" s="285">
        <f t="shared" si="33"/>
        <v>1798869.4036121303</v>
      </c>
      <c r="EJ244" s="285">
        <f t="shared" si="33"/>
        <v>4217567.8031770149</v>
      </c>
      <c r="EK244" s="285">
        <f t="shared" si="33"/>
        <v>4791550.5507069705</v>
      </c>
      <c r="EL244" s="285">
        <f t="shared" si="33"/>
        <v>2759327.8496096786</v>
      </c>
      <c r="EM244" s="285">
        <f t="shared" si="33"/>
        <v>4234177.9201608691</v>
      </c>
      <c r="EN244" s="285">
        <f t="shared" si="33"/>
        <v>2756294.0427416707</v>
      </c>
      <c r="EO244" s="285">
        <f t="shared" si="33"/>
        <v>3422485.7897798368</v>
      </c>
      <c r="EP244" s="285">
        <f t="shared" si="33"/>
        <v>2475503.0918674311</v>
      </c>
      <c r="EQ244" s="285">
        <f t="shared" si="33"/>
        <v>2324139.1651606886</v>
      </c>
      <c r="ER244" s="285">
        <f t="shared" si="33"/>
        <v>2273693.8538731383</v>
      </c>
      <c r="ES244" s="285">
        <f t="shared" si="33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4">
        <v>1330256.6509912466</v>
      </c>
      <c r="FS244" s="454">
        <v>2455519.2816252089</v>
      </c>
      <c r="FT244" s="454">
        <v>3531486.6926609674</v>
      </c>
      <c r="FU244" s="454">
        <v>2559820.2618320761</v>
      </c>
      <c r="FV244" s="454">
        <v>6350540.8870507348</v>
      </c>
      <c r="FW244" s="454">
        <v>3812972.1399327824</v>
      </c>
      <c r="FX244" s="454">
        <v>50910584.108463854</v>
      </c>
      <c r="FY244" s="454">
        <v>3064596.0568633731</v>
      </c>
      <c r="FZ244" s="454">
        <v>2335863.3949431945</v>
      </c>
      <c r="GA244" s="454">
        <v>2676284.4099278194</v>
      </c>
      <c r="GB244" s="454">
        <v>2426469.1424762914</v>
      </c>
      <c r="GC244" s="454">
        <v>4690123.8057052456</v>
      </c>
      <c r="GE244" s="447">
        <f>SUM(FR244:GD244)</f>
        <v>86144516.832472786</v>
      </c>
    </row>
    <row r="245" spans="1:187">
      <c r="D245" s="72" t="str">
        <f t="shared" si="20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18937.149546075554</v>
      </c>
      <c r="FS245" s="263">
        <v>404958.38854139752</v>
      </c>
      <c r="FT245" s="263">
        <v>303675.53082950978</v>
      </c>
      <c r="FU245" s="263">
        <v>103971.28593578926</v>
      </c>
      <c r="FV245" s="263">
        <v>2611642.7222199598</v>
      </c>
      <c r="FW245" s="263">
        <v>1151816.4177579987</v>
      </c>
      <c r="FX245" s="263">
        <v>47268823.931734994</v>
      </c>
      <c r="FY245" s="263">
        <v>62029.182754375208</v>
      </c>
      <c r="FZ245" s="263">
        <v>74999.480541850644</v>
      </c>
      <c r="GA245" s="263">
        <v>136663.24871121376</v>
      </c>
      <c r="GB245" s="263">
        <v>39447.771964575135</v>
      </c>
      <c r="GC245" s="263">
        <v>1266038.9430994561</v>
      </c>
      <c r="GE245" s="448">
        <f>SUM(FS245:GD245)</f>
        <v>53424066.904091112</v>
      </c>
    </row>
    <row r="246" spans="1:187" ht="30">
      <c r="D246" s="72" t="str">
        <f t="shared" si="20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589479.99852821522</v>
      </c>
      <c r="FS246" s="263">
        <v>912257.89412431419</v>
      </c>
      <c r="FT246" s="263">
        <v>994936.37660244363</v>
      </c>
      <c r="FU246" s="263">
        <v>984463.41360017948</v>
      </c>
      <c r="FV246" s="263">
        <v>1618204.6096390865</v>
      </c>
      <c r="FW246" s="263">
        <v>1341726.8950732895</v>
      </c>
      <c r="FX246" s="263">
        <v>2323492.7472135103</v>
      </c>
      <c r="FY246" s="263">
        <v>1942449.7184398626</v>
      </c>
      <c r="FZ246" s="263">
        <v>1122224.8144431303</v>
      </c>
      <c r="GA246" s="263">
        <v>1156365.8088476248</v>
      </c>
      <c r="GB246" s="263">
        <v>944872.97867585463</v>
      </c>
      <c r="GC246" s="263">
        <v>1198710.9358628893</v>
      </c>
      <c r="GE246" s="448">
        <f t="shared" ref="GE246:GE248" si="34">SUM(FS246:GD246)</f>
        <v>14539706.192522187</v>
      </c>
    </row>
    <row r="247" spans="1:187" ht="30">
      <c r="D247" s="72" t="str">
        <f t="shared" si="20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187855.53374497109</v>
      </c>
      <c r="FS247" s="263">
        <v>283285.30957836297</v>
      </c>
      <c r="FT247" s="263">
        <v>376135.9146630239</v>
      </c>
      <c r="FU247" s="263">
        <v>299104.93971434893</v>
      </c>
      <c r="FV247" s="263">
        <v>264234.00510013668</v>
      </c>
      <c r="FW247" s="263">
        <v>331291.31069454685</v>
      </c>
      <c r="FX247" s="263">
        <v>348786.46093201713</v>
      </c>
      <c r="FY247" s="263">
        <v>253854.63842110513</v>
      </c>
      <c r="FZ247" s="263">
        <v>297798.97045361117</v>
      </c>
      <c r="GA247" s="263">
        <v>266646.19879229908</v>
      </c>
      <c r="GB247" s="263">
        <v>278937.04560569982</v>
      </c>
      <c r="GC247" s="263">
        <v>343433.50566507736</v>
      </c>
      <c r="GE247" s="448">
        <f t="shared" si="34"/>
        <v>3343508.2996202293</v>
      </c>
    </row>
    <row r="248" spans="1:187">
      <c r="D248" s="72" t="str">
        <f t="shared" si="20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533983.96917198482</v>
      </c>
      <c r="FS248" s="263">
        <v>855017.68938113435</v>
      </c>
      <c r="FT248" s="263">
        <v>1856738.87056599</v>
      </c>
      <c r="FU248" s="263">
        <v>1172280.6225817588</v>
      </c>
      <c r="FV248" s="263">
        <v>1856459.5500915512</v>
      </c>
      <c r="FW248" s="263">
        <v>988137.51640694716</v>
      </c>
      <c r="FX248" s="263">
        <v>969480.96858333424</v>
      </c>
      <c r="FY248" s="263">
        <v>806262.51724803017</v>
      </c>
      <c r="FZ248" s="263">
        <v>840840.12950460229</v>
      </c>
      <c r="GA248" s="263">
        <v>1116609.1535766819</v>
      </c>
      <c r="GB248" s="263">
        <v>1163211.3462301621</v>
      </c>
      <c r="GC248" s="263">
        <v>1881940.4210778228</v>
      </c>
      <c r="GE248" s="448">
        <f t="shared" si="34"/>
        <v>13506978.785248015</v>
      </c>
    </row>
    <row r="249" spans="1:187" s="9" customFormat="1">
      <c r="A249" s="118"/>
      <c r="B249" s="118">
        <v>72</v>
      </c>
      <c r="C249" s="118" t="s">
        <v>94</v>
      </c>
      <c r="D249" s="118" t="str">
        <f t="shared" si="20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S249" s="367">
        <f>SUM(FS250:FS251)</f>
        <v>0</v>
      </c>
      <c r="FT249" s="367">
        <f t="shared" ref="FT249:GC249" si="35">SUM(FT250:FT251)</f>
        <v>0</v>
      </c>
      <c r="FU249" s="367">
        <f t="shared" si="35"/>
        <v>0</v>
      </c>
      <c r="FV249" s="367">
        <f t="shared" si="35"/>
        <v>0</v>
      </c>
      <c r="FW249" s="367">
        <f t="shared" si="35"/>
        <v>0</v>
      </c>
      <c r="FX249" s="367">
        <f t="shared" si="35"/>
        <v>0</v>
      </c>
      <c r="FY249" s="367">
        <f t="shared" si="35"/>
        <v>0</v>
      </c>
      <c r="FZ249" s="367">
        <f t="shared" si="35"/>
        <v>0</v>
      </c>
      <c r="GA249" s="367">
        <f t="shared" si="35"/>
        <v>0</v>
      </c>
      <c r="GB249" s="367">
        <f t="shared" si="35"/>
        <v>0</v>
      </c>
      <c r="GC249" s="367">
        <f t="shared" si="35"/>
        <v>0</v>
      </c>
      <c r="GD249" s="367"/>
      <c r="GE249" s="447">
        <f>SUM(FR249:GC249)</f>
        <v>0</v>
      </c>
    </row>
    <row r="250" spans="1:187" ht="30">
      <c r="C250" s="72">
        <v>721</v>
      </c>
      <c r="D250" s="72" t="str">
        <f t="shared" si="20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7" ht="30">
      <c r="C251" s="72">
        <v>722</v>
      </c>
      <c r="D251" s="72" t="str">
        <f t="shared" si="20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7" s="9" customFormat="1" ht="45">
      <c r="A252" s="118"/>
      <c r="B252" s="118">
        <v>73</v>
      </c>
      <c r="C252" s="118"/>
      <c r="D252" s="118" t="str">
        <f t="shared" si="20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4">
        <v>73937.02287171864</v>
      </c>
      <c r="FS252" s="454">
        <v>404477.17367200274</v>
      </c>
      <c r="FT252" s="454">
        <v>274940.89702216175</v>
      </c>
      <c r="FU252" s="454">
        <v>9373366.9939747583</v>
      </c>
      <c r="FV252" s="454">
        <v>864525.77272604418</v>
      </c>
      <c r="FW252" s="454">
        <v>1388483.8816750895</v>
      </c>
      <c r="FX252" s="454">
        <v>143951.6424026876</v>
      </c>
      <c r="FY252" s="454">
        <v>1385329.832858559</v>
      </c>
      <c r="FZ252" s="454">
        <v>196298.2666342413</v>
      </c>
      <c r="GA252" s="454">
        <v>238698.26519018281</v>
      </c>
      <c r="GB252" s="454">
        <v>1545080.2961025378</v>
      </c>
      <c r="GC252" s="454">
        <v>1784295.5729080152</v>
      </c>
      <c r="GE252" s="447">
        <f>SUM(FR252:GD252)</f>
        <v>17673385.618037995</v>
      </c>
    </row>
    <row r="253" spans="1:187">
      <c r="B253" s="72" t="s">
        <v>94</v>
      </c>
      <c r="C253" s="72">
        <v>731</v>
      </c>
      <c r="D253" s="72" t="str">
        <f t="shared" si="20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41">
        <v>73937.02287171864</v>
      </c>
      <c r="FS253" s="263">
        <v>404477.17367200274</v>
      </c>
      <c r="FT253" s="263">
        <v>274940.89702216175</v>
      </c>
      <c r="FU253" s="263">
        <v>9373366.9939747583</v>
      </c>
      <c r="FV253" s="263">
        <v>864525.77272604418</v>
      </c>
      <c r="FW253" s="263">
        <v>1388483.8816750895</v>
      </c>
      <c r="FX253" s="263">
        <v>143951.6424026876</v>
      </c>
      <c r="FY253" s="263">
        <v>1385329.832858559</v>
      </c>
      <c r="FZ253" s="263">
        <v>196298.2666342413</v>
      </c>
      <c r="GA253" s="263">
        <v>238698.26519018281</v>
      </c>
      <c r="GB253" s="263">
        <v>1545080.2961025378</v>
      </c>
      <c r="GC253" s="263">
        <v>1784295.5729080152</v>
      </c>
    </row>
    <row r="254" spans="1:187" ht="30">
      <c r="C254" s="72">
        <v>732</v>
      </c>
      <c r="D254" s="72" t="str">
        <f t="shared" si="20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7" s="9" customFormat="1">
      <c r="A255" s="118"/>
      <c r="B255" s="118">
        <v>74</v>
      </c>
      <c r="C255" s="118" t="s">
        <v>94</v>
      </c>
      <c r="D255" s="118" t="str">
        <f t="shared" si="20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4">
        <v>1020633.0174997598</v>
      </c>
      <c r="FS255" s="454">
        <v>1586793.9118979024</v>
      </c>
      <c r="FT255" s="454">
        <v>2466086.6494281176</v>
      </c>
      <c r="FU255" s="454">
        <v>1994753.8066439503</v>
      </c>
      <c r="FV255" s="454">
        <v>2202940.7343502743</v>
      </c>
      <c r="FW255" s="454">
        <v>3279687.9321330618</v>
      </c>
      <c r="FX255" s="454">
        <v>2618969.1946378555</v>
      </c>
      <c r="FY255" s="454">
        <v>2931496.3146332828</v>
      </c>
      <c r="FZ255" s="454">
        <v>4358936.8978506373</v>
      </c>
      <c r="GA255" s="454">
        <v>3084629.7948894487</v>
      </c>
      <c r="GB255" s="454">
        <v>8677872.2426180262</v>
      </c>
      <c r="GC255" s="454">
        <v>10413199.503417684</v>
      </c>
      <c r="GE255" s="447">
        <f>SUM(FR255:GD255)</f>
        <v>44636000</v>
      </c>
    </row>
    <row r="256" spans="1:187">
      <c r="C256" s="72">
        <v>741</v>
      </c>
      <c r="D256" s="72" t="str">
        <f t="shared" si="20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>
        <v>1586793.9118979</v>
      </c>
      <c r="FT256" s="263">
        <v>2466086.6494281176</v>
      </c>
      <c r="FU256" s="263">
        <v>1994753.8066439503</v>
      </c>
      <c r="FV256" s="263">
        <v>2202940.7343502743</v>
      </c>
      <c r="FW256" s="263">
        <v>3279687.9321330618</v>
      </c>
      <c r="FX256" s="263">
        <v>2618969.1946378555</v>
      </c>
      <c r="FY256" s="263">
        <v>2931496.3146332828</v>
      </c>
      <c r="FZ256" s="263">
        <v>4358936.8978506373</v>
      </c>
      <c r="GA256" s="263">
        <v>3084629.7948894487</v>
      </c>
      <c r="GB256" s="263">
        <v>8677872.2426180262</v>
      </c>
      <c r="GC256" s="263">
        <v>10413199.503417684</v>
      </c>
    </row>
    <row r="257" spans="1:187">
      <c r="C257" s="72">
        <v>742</v>
      </c>
      <c r="D257" s="72" t="str">
        <f t="shared" si="20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36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36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37">+SUM(CL260:CL261)</f>
        <v>0</v>
      </c>
      <c r="CM259" s="121">
        <f t="shared" si="37"/>
        <v>0</v>
      </c>
      <c r="CN259" s="121">
        <f t="shared" si="37"/>
        <v>0</v>
      </c>
      <c r="CO259" s="121">
        <f t="shared" si="37"/>
        <v>200000000</v>
      </c>
      <c r="CP259" s="121">
        <f t="shared" si="37"/>
        <v>0</v>
      </c>
      <c r="CQ259" s="121">
        <f t="shared" si="37"/>
        <v>0</v>
      </c>
      <c r="CR259" s="121">
        <f t="shared" si="37"/>
        <v>0</v>
      </c>
      <c r="CS259" s="121">
        <f t="shared" si="37"/>
        <v>0</v>
      </c>
      <c r="CT259" s="121">
        <f t="shared" si="37"/>
        <v>0</v>
      </c>
      <c r="CU259" s="121">
        <f t="shared" si="37"/>
        <v>50000000</v>
      </c>
      <c r="CV259" s="121">
        <f t="shared" si="37"/>
        <v>0</v>
      </c>
      <c r="CW259" s="122">
        <f t="shared" si="37"/>
        <v>0</v>
      </c>
      <c r="CX259" s="271">
        <f t="shared" si="37"/>
        <v>18997964.655235786</v>
      </c>
      <c r="CY259" s="274">
        <f t="shared" ref="CY259:DI259" si="38">+SUM(CY260:CY261)</f>
        <v>18997964.655235786</v>
      </c>
      <c r="CZ259" s="274">
        <f t="shared" si="38"/>
        <v>18997964.655235786</v>
      </c>
      <c r="DA259" s="274">
        <f t="shared" si="38"/>
        <v>18997964.655235786</v>
      </c>
      <c r="DB259" s="274">
        <f t="shared" si="38"/>
        <v>18997964.655235786</v>
      </c>
      <c r="DC259" s="274">
        <f t="shared" si="38"/>
        <v>18997964.655235786</v>
      </c>
      <c r="DD259" s="274">
        <f t="shared" si="38"/>
        <v>18997964.655235786</v>
      </c>
      <c r="DE259" s="274">
        <f t="shared" si="38"/>
        <v>18997964.655235786</v>
      </c>
      <c r="DF259" s="274">
        <f t="shared" si="38"/>
        <v>18997964.655235786</v>
      </c>
      <c r="DG259" s="274">
        <f t="shared" si="38"/>
        <v>18997964.655235786</v>
      </c>
      <c r="DH259" s="274">
        <f t="shared" si="38"/>
        <v>18997964.655235786</v>
      </c>
      <c r="DI259" s="272">
        <f t="shared" si="38"/>
        <v>18997964.655235786</v>
      </c>
      <c r="DJ259" s="120">
        <f>+SUM(DJ260:DJ261)</f>
        <v>52840136.569718093</v>
      </c>
      <c r="DK259" s="280">
        <f t="shared" ref="DK259:DU259" si="39">+SUM(DK260:DK261)</f>
        <v>52840136.569718093</v>
      </c>
      <c r="DL259" s="121">
        <f t="shared" si="39"/>
        <v>52840136.569718093</v>
      </c>
      <c r="DM259" s="121">
        <f t="shared" si="39"/>
        <v>52840136.569718093</v>
      </c>
      <c r="DN259" s="121">
        <f t="shared" si="39"/>
        <v>52840136.569718093</v>
      </c>
      <c r="DO259" s="121">
        <f t="shared" si="39"/>
        <v>52840136.569718093</v>
      </c>
      <c r="DP259" s="121">
        <f t="shared" si="39"/>
        <v>52840136.569718093</v>
      </c>
      <c r="DQ259" s="121">
        <f t="shared" si="39"/>
        <v>52840136.569718093</v>
      </c>
      <c r="DR259" s="121">
        <f t="shared" si="39"/>
        <v>52840136.569718093</v>
      </c>
      <c r="DS259" s="121">
        <f t="shared" si="39"/>
        <v>52840136.569718093</v>
      </c>
      <c r="DT259" s="121">
        <f t="shared" si="39"/>
        <v>52840136.569718093</v>
      </c>
      <c r="DU259" s="122">
        <f t="shared" si="39"/>
        <v>52840136.569718093</v>
      </c>
      <c r="DV259" s="285">
        <f>SUM(DV260:DV261)</f>
        <v>55595756.08804667</v>
      </c>
      <c r="DW259" s="285">
        <f t="shared" ref="DW259:EF259" si="40">SUM(DW260:DW261)</f>
        <v>55595756.08804667</v>
      </c>
      <c r="DX259" s="285">
        <f t="shared" si="40"/>
        <v>55595756.08804667</v>
      </c>
      <c r="DY259" s="285">
        <f t="shared" si="40"/>
        <v>55595756.08804667</v>
      </c>
      <c r="DZ259" s="285">
        <f t="shared" si="40"/>
        <v>55595756.08804667</v>
      </c>
      <c r="EA259" s="285">
        <f t="shared" si="40"/>
        <v>55595756.08804667</v>
      </c>
      <c r="EB259" s="285">
        <f t="shared" si="40"/>
        <v>55595756.08804667</v>
      </c>
      <c r="EC259" s="285">
        <f t="shared" si="40"/>
        <v>55595756.08804667</v>
      </c>
      <c r="ED259" s="285">
        <f t="shared" si="40"/>
        <v>55595756.08804667</v>
      </c>
      <c r="EE259" s="285">
        <f t="shared" si="40"/>
        <v>55595756.08804667</v>
      </c>
      <c r="EF259" s="285">
        <f t="shared" si="40"/>
        <v>55595756.08804667</v>
      </c>
      <c r="EG259" s="285">
        <f>SUM(EG260:EG261)</f>
        <v>55595756.08804667</v>
      </c>
      <c r="EH259" s="285">
        <f t="shared" ref="EH259:ES259" si="41">SUM(EH260:EH261)</f>
        <v>37847818.636239164</v>
      </c>
      <c r="EI259" s="285">
        <f t="shared" si="41"/>
        <v>37847818.636239164</v>
      </c>
      <c r="EJ259" s="285">
        <f t="shared" si="41"/>
        <v>37847818.636239164</v>
      </c>
      <c r="EK259" s="285">
        <f t="shared" si="41"/>
        <v>37847818.636239164</v>
      </c>
      <c r="EL259" s="285">
        <f t="shared" si="41"/>
        <v>37847818.636239164</v>
      </c>
      <c r="EM259" s="285">
        <f t="shared" si="41"/>
        <v>37847818.636239164</v>
      </c>
      <c r="EN259" s="285">
        <f t="shared" si="41"/>
        <v>37847818.636239164</v>
      </c>
      <c r="EO259" s="285">
        <f t="shared" si="41"/>
        <v>37847818.636239164</v>
      </c>
      <c r="EP259" s="285">
        <f t="shared" si="41"/>
        <v>37847818.636239164</v>
      </c>
      <c r="EQ259" s="285">
        <f t="shared" si="41"/>
        <v>37847818.636239164</v>
      </c>
      <c r="ER259" s="285">
        <f t="shared" si="41"/>
        <v>37847818.636239164</v>
      </c>
      <c r="ES259" s="285">
        <f t="shared" si="41"/>
        <v>37847818.636239164</v>
      </c>
      <c r="FF259" s="367">
        <v>24022843.850000001</v>
      </c>
      <c r="FG259" s="367">
        <v>0</v>
      </c>
      <c r="FH259" s="367">
        <v>107399337.39</v>
      </c>
      <c r="FI259" s="367">
        <v>15000000</v>
      </c>
      <c r="FJ259" s="367">
        <v>112000000</v>
      </c>
      <c r="FK259" s="367">
        <v>17000000</v>
      </c>
      <c r="FL259" s="367">
        <v>17000000</v>
      </c>
      <c r="FM259" s="367">
        <v>15000000</v>
      </c>
      <c r="FN259" s="367">
        <v>17000000</v>
      </c>
      <c r="FO259" s="367">
        <v>17000000</v>
      </c>
      <c r="FP259" s="367">
        <v>15000000</v>
      </c>
      <c r="FQ259" s="367">
        <v>13983087.501553783</v>
      </c>
      <c r="FS259" s="454">
        <f>SUM(FS260:FS263)</f>
        <v>0</v>
      </c>
      <c r="FT259" s="454">
        <f t="shared" ref="FT259:GC259" si="42">SUM(FT260:FT263)</f>
        <v>10000000</v>
      </c>
      <c r="FU259" s="454">
        <f t="shared" si="42"/>
        <v>10000000</v>
      </c>
      <c r="FV259" s="454">
        <f t="shared" si="42"/>
        <v>10000000</v>
      </c>
      <c r="FW259" s="454">
        <f t="shared" si="42"/>
        <v>10000000</v>
      </c>
      <c r="FX259" s="454">
        <f t="shared" si="42"/>
        <v>10000000</v>
      </c>
      <c r="FY259" s="454">
        <f t="shared" si="42"/>
        <v>10000000</v>
      </c>
      <c r="FZ259" s="454">
        <f t="shared" si="42"/>
        <v>10000000</v>
      </c>
      <c r="GA259" s="454">
        <f t="shared" si="42"/>
        <v>10000000</v>
      </c>
      <c r="GB259" s="454">
        <f t="shared" si="42"/>
        <v>10000000</v>
      </c>
      <c r="GC259" s="454">
        <f t="shared" si="42"/>
        <v>10000000</v>
      </c>
      <c r="GE259" s="447">
        <f>SUM(FR259:GD259)</f>
        <v>100000000</v>
      </c>
    </row>
    <row r="260" spans="1:187" ht="30">
      <c r="D260" s="72" t="str">
        <f t="shared" si="36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36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0</v>
      </c>
      <c r="FS261" s="263">
        <v>0</v>
      </c>
      <c r="FT261" s="263">
        <v>10000000</v>
      </c>
      <c r="FU261" s="263">
        <v>10000000</v>
      </c>
      <c r="FV261" s="263">
        <v>10000000</v>
      </c>
      <c r="FW261" s="263">
        <v>10000000</v>
      </c>
      <c r="FX261" s="263">
        <v>10000000</v>
      </c>
      <c r="FY261" s="263">
        <v>10000000</v>
      </c>
      <c r="FZ261" s="263">
        <v>10000000</v>
      </c>
      <c r="GA261" s="263">
        <v>10000000</v>
      </c>
      <c r="GB261" s="263">
        <v>10000000</v>
      </c>
      <c r="GC261" s="263">
        <v>10000000</v>
      </c>
      <c r="GE261" s="447">
        <f>SUM(FR261:GD261)</f>
        <v>100000000</v>
      </c>
    </row>
    <row r="262" spans="1:187">
      <c r="A262" s="72">
        <v>4</v>
      </c>
      <c r="B262" s="72" t="s">
        <v>94</v>
      </c>
      <c r="D262" s="72" t="str">
        <f t="shared" si="36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43">DV263+DV320+DV350+DV368+DV379+DV392+DV393</f>
        <v>#REF!</v>
      </c>
      <c r="DW262" s="284" t="e">
        <f t="shared" si="43"/>
        <v>#REF!</v>
      </c>
      <c r="DX262" s="284" t="e">
        <f t="shared" si="43"/>
        <v>#REF!</v>
      </c>
      <c r="DY262" s="284" t="e">
        <f t="shared" si="43"/>
        <v>#REF!</v>
      </c>
      <c r="DZ262" s="284" t="e">
        <f t="shared" si="43"/>
        <v>#REF!</v>
      </c>
      <c r="EA262" s="284" t="e">
        <f t="shared" si="43"/>
        <v>#REF!</v>
      </c>
      <c r="EB262" s="284" t="e">
        <f t="shared" si="43"/>
        <v>#REF!</v>
      </c>
      <c r="EC262" s="284" t="e">
        <f t="shared" si="43"/>
        <v>#REF!</v>
      </c>
      <c r="ED262" s="284" t="e">
        <f t="shared" si="43"/>
        <v>#REF!</v>
      </c>
      <c r="EE262" s="284" t="e">
        <f t="shared" si="43"/>
        <v>#REF!</v>
      </c>
      <c r="EF262" s="284" t="e">
        <f t="shared" si="43"/>
        <v>#REF!</v>
      </c>
      <c r="EG262" s="284" t="e">
        <f t="shared" si="43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36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36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44">+SUM(CL265:CL269)</f>
        <v>31010717.645833336</v>
      </c>
      <c r="CM264" s="121">
        <f t="shared" si="44"/>
        <v>31010717.645833336</v>
      </c>
      <c r="CN264" s="121">
        <f t="shared" si="44"/>
        <v>31010717.645833336</v>
      </c>
      <c r="CO264" s="121">
        <f t="shared" si="44"/>
        <v>31010717.645833336</v>
      </c>
      <c r="CP264" s="121">
        <f t="shared" si="44"/>
        <v>31010717.645833336</v>
      </c>
      <c r="CQ264" s="121">
        <f t="shared" si="44"/>
        <v>31010717.645833336</v>
      </c>
      <c r="CR264" s="121">
        <f t="shared" si="44"/>
        <v>31010717.645833336</v>
      </c>
      <c r="CS264" s="121">
        <f t="shared" si="44"/>
        <v>31010717.645833336</v>
      </c>
      <c r="CT264" s="121">
        <f t="shared" si="44"/>
        <v>31010717.645833336</v>
      </c>
      <c r="CU264" s="121">
        <f t="shared" si="44"/>
        <v>31010717.645833336</v>
      </c>
      <c r="CV264" s="121">
        <f t="shared" si="44"/>
        <v>31010717.645833336</v>
      </c>
      <c r="CW264" s="122">
        <f t="shared" si="44"/>
        <v>31010717.645833336</v>
      </c>
      <c r="CX264" s="271">
        <f t="shared" si="44"/>
        <v>32195307.643333331</v>
      </c>
      <c r="CY264" s="274">
        <f t="shared" ref="CY264:DI264" si="45">+SUM(CY265:CY269)</f>
        <v>32195307.643333331</v>
      </c>
      <c r="CZ264" s="274">
        <f t="shared" si="45"/>
        <v>32195307.643333331</v>
      </c>
      <c r="DA264" s="274">
        <f t="shared" si="45"/>
        <v>32195307.643333331</v>
      </c>
      <c r="DB264" s="274">
        <f t="shared" si="45"/>
        <v>32195307.643333331</v>
      </c>
      <c r="DC264" s="274">
        <f t="shared" si="45"/>
        <v>32195307.643333331</v>
      </c>
      <c r="DD264" s="274">
        <f t="shared" si="45"/>
        <v>32195307.643333331</v>
      </c>
      <c r="DE264" s="274">
        <f t="shared" si="45"/>
        <v>32195307.643333331</v>
      </c>
      <c r="DF264" s="274">
        <f t="shared" si="45"/>
        <v>32195307.643333331</v>
      </c>
      <c r="DG264" s="274">
        <f t="shared" si="45"/>
        <v>32195307.643333331</v>
      </c>
      <c r="DH264" s="274">
        <f t="shared" si="45"/>
        <v>32195307.643333331</v>
      </c>
      <c r="DI264" s="272">
        <f t="shared" si="45"/>
        <v>32195307.643333331</v>
      </c>
      <c r="DJ264" s="120">
        <f>+SUM(DJ265:DJ269)</f>
        <v>31613633.060833335</v>
      </c>
      <c r="DK264" s="121">
        <f t="shared" ref="DK264:DU264" si="46">+SUM(DK265:DK269)</f>
        <v>31613633.060833335</v>
      </c>
      <c r="DL264" s="121">
        <f t="shared" si="46"/>
        <v>31613633.060833335</v>
      </c>
      <c r="DM264" s="121">
        <f t="shared" si="46"/>
        <v>31613633.060833335</v>
      </c>
      <c r="DN264" s="121">
        <f t="shared" si="46"/>
        <v>31613633.060833335</v>
      </c>
      <c r="DO264" s="121">
        <f t="shared" si="46"/>
        <v>31613633.060833335</v>
      </c>
      <c r="DP264" s="121">
        <f t="shared" si="46"/>
        <v>31613633.060833335</v>
      </c>
      <c r="DQ264" s="121">
        <f t="shared" si="46"/>
        <v>31613633.060833335</v>
      </c>
      <c r="DR264" s="121">
        <f t="shared" si="46"/>
        <v>31613633.060833335</v>
      </c>
      <c r="DS264" s="121">
        <f t="shared" si="46"/>
        <v>31613633.060833335</v>
      </c>
      <c r="DT264" s="121">
        <f t="shared" si="46"/>
        <v>31613633.060833335</v>
      </c>
      <c r="DU264" s="122">
        <f t="shared" si="46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f>+FR265+FR266+FR267+FR268+FR269</f>
        <v>42434580.240000002</v>
      </c>
      <c r="FS264" s="341">
        <f t="shared" ref="FS264:GC264" si="47">+FS265+FS266+FS267+FS268+FS269</f>
        <v>41847774.170000002</v>
      </c>
      <c r="FT264" s="341">
        <f t="shared" si="47"/>
        <v>41897572.5</v>
      </c>
      <c r="FU264" s="341">
        <f t="shared" si="47"/>
        <v>41897572.5</v>
      </c>
      <c r="FV264" s="341">
        <f t="shared" si="47"/>
        <v>41897572.5</v>
      </c>
      <c r="FW264" s="341">
        <f t="shared" si="47"/>
        <v>41897572.5</v>
      </c>
      <c r="FX264" s="341">
        <f t="shared" si="47"/>
        <v>41894572.5</v>
      </c>
      <c r="FY264" s="341">
        <f t="shared" si="47"/>
        <v>41416531.799999997</v>
      </c>
      <c r="FZ264" s="341">
        <f t="shared" si="47"/>
        <v>41894403.790000007</v>
      </c>
      <c r="GA264" s="341">
        <f t="shared" si="47"/>
        <v>41897572.5</v>
      </c>
      <c r="GB264" s="341">
        <f t="shared" si="47"/>
        <v>41897572.5</v>
      </c>
      <c r="GC264" s="341">
        <f t="shared" si="47"/>
        <v>41897572.57</v>
      </c>
      <c r="GE264" s="447">
        <f>SUM(FR264:GD264)</f>
        <v>502770870.06999999</v>
      </c>
    </row>
    <row r="265" spans="1:187">
      <c r="D265" s="72" t="str">
        <f t="shared" si="36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>
        <v>25273444.73</v>
      </c>
      <c r="FS265" s="263">
        <v>24920883.580000002</v>
      </c>
      <c r="FT265" s="263">
        <v>24945466.59</v>
      </c>
      <c r="FU265" s="263">
        <v>24945466.59</v>
      </c>
      <c r="FV265" s="263">
        <v>24945466.59</v>
      </c>
      <c r="FW265" s="263">
        <v>24945466.59</v>
      </c>
      <c r="FX265" s="263">
        <v>24945466.59</v>
      </c>
      <c r="FY265" s="263">
        <v>24642071.460000001</v>
      </c>
      <c r="FZ265" s="263">
        <v>24945466.59</v>
      </c>
      <c r="GA265" s="263">
        <v>24945466.59</v>
      </c>
      <c r="GB265" s="263">
        <v>24945466.59</v>
      </c>
      <c r="GC265" s="263">
        <v>24945466.640000001</v>
      </c>
      <c r="GD265" s="263"/>
      <c r="GE265" s="448">
        <f>SUM(FR265:GD265)</f>
        <v>299345599.13</v>
      </c>
    </row>
    <row r="266" spans="1:187">
      <c r="D266" s="72" t="str">
        <f t="shared" si="36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>
        <v>3516986.55</v>
      </c>
      <c r="FS266" s="263">
        <v>3500306.9699999997</v>
      </c>
      <c r="FT266" s="263">
        <v>3504807.79</v>
      </c>
      <c r="FU266" s="263">
        <v>3504807.79</v>
      </c>
      <c r="FV266" s="263">
        <v>3504807.79</v>
      </c>
      <c r="FW266" s="263">
        <v>3504807.79</v>
      </c>
      <c r="FX266" s="263">
        <v>3504807.79</v>
      </c>
      <c r="FY266" s="263">
        <v>3497129.8499999996</v>
      </c>
      <c r="FZ266" s="263">
        <v>3504807.79</v>
      </c>
      <c r="GA266" s="263">
        <v>3504807.79</v>
      </c>
      <c r="GB266" s="263">
        <v>3504807.79</v>
      </c>
      <c r="GC266" s="263">
        <v>3504807.83</v>
      </c>
      <c r="GD266" s="263"/>
      <c r="GE266" s="448">
        <f t="shared" ref="GE266:GE269" si="48">SUM(FR266:GD266)</f>
        <v>42057693.519999988</v>
      </c>
    </row>
    <row r="267" spans="1:187">
      <c r="D267" s="72" t="str">
        <f t="shared" si="36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>
        <v>8842817.0099999998</v>
      </c>
      <c r="FS267" s="263">
        <v>8706708.4499999993</v>
      </c>
      <c r="FT267" s="263">
        <v>8722522.870000001</v>
      </c>
      <c r="FU267" s="263">
        <v>8722522.870000001</v>
      </c>
      <c r="FV267" s="263">
        <v>8722522.870000001</v>
      </c>
      <c r="FW267" s="263">
        <v>8722522.870000001</v>
      </c>
      <c r="FX267" s="263">
        <v>8722522.870000001</v>
      </c>
      <c r="FY267" s="263">
        <v>8618043.1500000004</v>
      </c>
      <c r="FZ267" s="263">
        <v>8722522.870000001</v>
      </c>
      <c r="GA267" s="263">
        <v>8722522.870000001</v>
      </c>
      <c r="GB267" s="263">
        <v>8722522.870000001</v>
      </c>
      <c r="GC267" s="263">
        <v>8722522.8400000017</v>
      </c>
      <c r="GD267" s="263"/>
      <c r="GE267" s="448">
        <f t="shared" si="48"/>
        <v>104670274.41000004</v>
      </c>
    </row>
    <row r="268" spans="1:187">
      <c r="D268" s="72" t="str">
        <f t="shared" si="36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>
        <v>4311877.93</v>
      </c>
      <c r="FS268" s="263">
        <v>4233052.67</v>
      </c>
      <c r="FT268" s="263">
        <v>4237294.05</v>
      </c>
      <c r="FU268" s="263">
        <v>4237294.05</v>
      </c>
      <c r="FV268" s="263">
        <v>4237294.05</v>
      </c>
      <c r="FW268" s="263">
        <v>4237294.05</v>
      </c>
      <c r="FX268" s="263">
        <v>4234294.05</v>
      </c>
      <c r="FY268" s="263">
        <v>4173120.2600000002</v>
      </c>
      <c r="FZ268" s="263">
        <v>4234125.34</v>
      </c>
      <c r="GA268" s="263">
        <v>4237294.05</v>
      </c>
      <c r="GB268" s="263">
        <v>4237294.05</v>
      </c>
      <c r="GC268" s="263">
        <v>4237294.03</v>
      </c>
      <c r="GD268" s="263"/>
      <c r="GE268" s="448">
        <f t="shared" si="48"/>
        <v>50847528.579999998</v>
      </c>
    </row>
    <row r="269" spans="1:187">
      <c r="D269" s="72" t="str">
        <f t="shared" si="36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>
        <v>489454.02</v>
      </c>
      <c r="FS269" s="263">
        <v>486822.5</v>
      </c>
      <c r="FT269" s="263">
        <v>487481.19999999995</v>
      </c>
      <c r="FU269" s="263">
        <v>487481.19999999995</v>
      </c>
      <c r="FV269" s="263">
        <v>487481.19999999995</v>
      </c>
      <c r="FW269" s="263">
        <v>487481.19999999995</v>
      </c>
      <c r="FX269" s="263">
        <v>487481.19999999995</v>
      </c>
      <c r="FY269" s="263">
        <v>486167.07999999996</v>
      </c>
      <c r="FZ269" s="263">
        <v>487481.19999999995</v>
      </c>
      <c r="GA269" s="263">
        <v>487481.19999999995</v>
      </c>
      <c r="GB269" s="263">
        <v>487481.19999999995</v>
      </c>
      <c r="GC269" s="263">
        <v>487481.23</v>
      </c>
      <c r="GD269" s="263"/>
      <c r="GE269" s="448">
        <f t="shared" si="48"/>
        <v>5849774.4300000016</v>
      </c>
    </row>
    <row r="270" spans="1:187" s="9" customFormat="1">
      <c r="A270" s="118"/>
      <c r="B270" s="118"/>
      <c r="C270" s="118">
        <v>412</v>
      </c>
      <c r="D270" s="118" t="str">
        <f t="shared" si="36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49">+SUM(CL271:CL277)</f>
        <v>901608.53416666668</v>
      </c>
      <c r="CM270" s="121">
        <f t="shared" si="49"/>
        <v>901608.53416666668</v>
      </c>
      <c r="CN270" s="121">
        <f t="shared" si="49"/>
        <v>901608.53416666668</v>
      </c>
      <c r="CO270" s="121">
        <f t="shared" si="49"/>
        <v>901608.53416666668</v>
      </c>
      <c r="CP270" s="121">
        <f t="shared" si="49"/>
        <v>901608.53416666668</v>
      </c>
      <c r="CQ270" s="121">
        <f t="shared" si="49"/>
        <v>901608.53416666668</v>
      </c>
      <c r="CR270" s="121">
        <f t="shared" si="49"/>
        <v>901608.53416666668</v>
      </c>
      <c r="CS270" s="121">
        <f t="shared" si="49"/>
        <v>901608.53416666668</v>
      </c>
      <c r="CT270" s="121">
        <f t="shared" si="49"/>
        <v>901608.53416666668</v>
      </c>
      <c r="CU270" s="121">
        <f t="shared" si="49"/>
        <v>901608.53416666668</v>
      </c>
      <c r="CV270" s="121">
        <f t="shared" si="49"/>
        <v>901608.53416666668</v>
      </c>
      <c r="CW270" s="122">
        <f t="shared" si="49"/>
        <v>901608.53416666668</v>
      </c>
      <c r="CX270" s="271">
        <f t="shared" si="49"/>
        <v>956513.66333333333</v>
      </c>
      <c r="CY270" s="274">
        <f t="shared" ref="CY270:DI270" si="50">+SUM(CY271:CY277)</f>
        <v>956513.66333333333</v>
      </c>
      <c r="CZ270" s="274">
        <f t="shared" si="50"/>
        <v>956513.66333333333</v>
      </c>
      <c r="DA270" s="274">
        <f t="shared" si="50"/>
        <v>956513.66333333333</v>
      </c>
      <c r="DB270" s="274">
        <f t="shared" si="50"/>
        <v>956513.66333333333</v>
      </c>
      <c r="DC270" s="274">
        <f t="shared" si="50"/>
        <v>956513.66333333333</v>
      </c>
      <c r="DD270" s="274">
        <f t="shared" si="50"/>
        <v>956513.66333333333</v>
      </c>
      <c r="DE270" s="274">
        <f t="shared" si="50"/>
        <v>956513.66333333333</v>
      </c>
      <c r="DF270" s="274">
        <f t="shared" si="50"/>
        <v>956513.66333333333</v>
      </c>
      <c r="DG270" s="274">
        <f t="shared" si="50"/>
        <v>956513.66333333333</v>
      </c>
      <c r="DH270" s="274">
        <f t="shared" si="50"/>
        <v>956513.66333333333</v>
      </c>
      <c r="DI270" s="272">
        <f t="shared" si="50"/>
        <v>956513.66333333333</v>
      </c>
      <c r="DJ270" s="120">
        <f>+SUM(DJ271:DJ277)</f>
        <v>968300.41833333322</v>
      </c>
      <c r="DK270" s="121">
        <f t="shared" ref="DK270:DU270" si="51">+SUM(DK271:DK277)</f>
        <v>968300.41833333322</v>
      </c>
      <c r="DL270" s="121">
        <f t="shared" si="51"/>
        <v>968300.41833333322</v>
      </c>
      <c r="DM270" s="121">
        <f t="shared" si="51"/>
        <v>968300.41833333322</v>
      </c>
      <c r="DN270" s="121">
        <f t="shared" si="51"/>
        <v>968300.41833333322</v>
      </c>
      <c r="DO270" s="121">
        <f t="shared" si="51"/>
        <v>968300.41833333322</v>
      </c>
      <c r="DP270" s="121">
        <f t="shared" si="51"/>
        <v>968300.41833333322</v>
      </c>
      <c r="DQ270" s="121">
        <f t="shared" si="51"/>
        <v>968300.41833333322</v>
      </c>
      <c r="DR270" s="121">
        <f t="shared" si="51"/>
        <v>968300.41833333322</v>
      </c>
      <c r="DS270" s="121">
        <f t="shared" si="51"/>
        <v>968300.41833333322</v>
      </c>
      <c r="DT270" s="121">
        <f t="shared" si="51"/>
        <v>968300.41833333322</v>
      </c>
      <c r="DU270" s="122">
        <f t="shared" si="51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f>+FR271+FR272+FR273+FR274+FR275+FR277</f>
        <v>1448675.27</v>
      </c>
      <c r="FS270" s="341">
        <f t="shared" ref="FS270:GC270" si="52">+FS271+FS272+FS273+FS274+FS275+FS277</f>
        <v>1561133.83</v>
      </c>
      <c r="FT270" s="341">
        <f t="shared" si="52"/>
        <v>1445828.82</v>
      </c>
      <c r="FU270" s="341">
        <f t="shared" si="52"/>
        <v>1391393.49</v>
      </c>
      <c r="FV270" s="341">
        <f t="shared" si="52"/>
        <v>1377640.0499999998</v>
      </c>
      <c r="FW270" s="341">
        <f t="shared" si="52"/>
        <v>1378631.17</v>
      </c>
      <c r="FX270" s="341">
        <f t="shared" si="52"/>
        <v>1433162.28</v>
      </c>
      <c r="FY270" s="341">
        <f t="shared" si="52"/>
        <v>1393806.43</v>
      </c>
      <c r="FZ270" s="341">
        <f t="shared" si="52"/>
        <v>1393671.53</v>
      </c>
      <c r="GA270" s="341">
        <f t="shared" si="52"/>
        <v>1395138.18</v>
      </c>
      <c r="GB270" s="341">
        <f t="shared" si="52"/>
        <v>1394593.29</v>
      </c>
      <c r="GC270" s="341">
        <f t="shared" si="52"/>
        <v>1396820.3399999999</v>
      </c>
      <c r="GE270" s="447">
        <f>SUM(FR270:GC270)</f>
        <v>17010494.679999996</v>
      </c>
    </row>
    <row r="271" spans="1:187">
      <c r="D271" s="72" t="str">
        <f t="shared" si="36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50">
        <v>50</v>
      </c>
      <c r="FS271" s="450">
        <v>50</v>
      </c>
      <c r="FT271" s="450">
        <v>50</v>
      </c>
      <c r="FU271" s="450">
        <v>50</v>
      </c>
      <c r="FV271" s="450">
        <v>50</v>
      </c>
      <c r="FW271" s="450">
        <v>50</v>
      </c>
      <c r="FX271" s="450">
        <v>50</v>
      </c>
      <c r="FY271" s="450">
        <v>50</v>
      </c>
      <c r="FZ271" s="450">
        <v>50</v>
      </c>
      <c r="GA271" s="450">
        <v>50</v>
      </c>
      <c r="GB271" s="450">
        <v>50</v>
      </c>
      <c r="GC271" s="450">
        <v>50</v>
      </c>
      <c r="GD271" s="42"/>
      <c r="GE271" s="448">
        <f>SUM(FR271:GD271)</f>
        <v>600</v>
      </c>
    </row>
    <row r="272" spans="1:187" ht="30">
      <c r="D272" s="72" t="str">
        <f t="shared" si="36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50">
        <v>235637.16</v>
      </c>
      <c r="FS272" s="450">
        <v>235637.16</v>
      </c>
      <c r="FT272" s="450">
        <v>235637.16</v>
      </c>
      <c r="FU272" s="450">
        <v>235637.16</v>
      </c>
      <c r="FV272" s="450">
        <v>235637.16</v>
      </c>
      <c r="FW272" s="450">
        <v>235637.16</v>
      </c>
      <c r="FX272" s="450">
        <v>235637.16</v>
      </c>
      <c r="FY272" s="450">
        <v>235637.16</v>
      </c>
      <c r="FZ272" s="450">
        <v>235637.16</v>
      </c>
      <c r="GA272" s="450">
        <v>235637.16</v>
      </c>
      <c r="GB272" s="450">
        <v>235637.16</v>
      </c>
      <c r="GC272" s="450">
        <v>235637.16</v>
      </c>
      <c r="GD272" s="42"/>
      <c r="GE272" s="448">
        <f t="shared" ref="GE272:GE277" si="53">SUM(FR272:GD272)</f>
        <v>2827645.9200000004</v>
      </c>
    </row>
    <row r="273" spans="1:187">
      <c r="D273" s="72" t="str">
        <f t="shared" si="36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50">
        <v>39242.54</v>
      </c>
      <c r="FS273" s="450">
        <v>39659.21</v>
      </c>
      <c r="FT273" s="450">
        <v>39659.21</v>
      </c>
      <c r="FU273" s="450">
        <v>39242.54</v>
      </c>
      <c r="FV273" s="450">
        <v>38825.870000000003</v>
      </c>
      <c r="FW273" s="450">
        <v>38825.870000000003</v>
      </c>
      <c r="FX273" s="450">
        <v>39242.54</v>
      </c>
      <c r="FY273" s="450">
        <v>39242.54</v>
      </c>
      <c r="FZ273" s="450">
        <v>39242.54</v>
      </c>
      <c r="GA273" s="450">
        <v>39242.54</v>
      </c>
      <c r="GB273" s="450">
        <v>39242.54</v>
      </c>
      <c r="GC273" s="450">
        <v>39242.54</v>
      </c>
      <c r="GD273" s="42"/>
      <c r="GE273" s="448">
        <f t="shared" si="53"/>
        <v>470910.47999999986</v>
      </c>
    </row>
    <row r="274" spans="1:187">
      <c r="D274" s="72" t="str">
        <f t="shared" si="36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50">
        <v>90421.930000000008</v>
      </c>
      <c r="FS274" s="450">
        <v>92373.55</v>
      </c>
      <c r="FT274" s="450">
        <v>105993.56</v>
      </c>
      <c r="FU274" s="450">
        <v>16240.23</v>
      </c>
      <c r="FV274" s="450">
        <v>16240.23</v>
      </c>
      <c r="FW274" s="450">
        <v>16641.309999999998</v>
      </c>
      <c r="FX274" s="450">
        <v>16460.23</v>
      </c>
      <c r="FY274" s="450">
        <v>16785.23</v>
      </c>
      <c r="FZ274" s="450">
        <v>18130.230000000003</v>
      </c>
      <c r="GA274" s="450">
        <v>16867.23</v>
      </c>
      <c r="GB274" s="450">
        <v>16441.29</v>
      </c>
      <c r="GC274" s="450">
        <v>18516.270000000004</v>
      </c>
      <c r="GD274" s="42"/>
      <c r="GE274" s="448">
        <f t="shared" si="53"/>
        <v>441111.28999999992</v>
      </c>
    </row>
    <row r="275" spans="1:187">
      <c r="D275" s="72" t="str">
        <f t="shared" si="36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50">
        <v>127641.41</v>
      </c>
      <c r="FS275" s="450">
        <v>183608.53</v>
      </c>
      <c r="FT275" s="450">
        <v>96614.97</v>
      </c>
      <c r="FU275" s="450">
        <v>125604.97</v>
      </c>
      <c r="FV275" s="450">
        <v>113178.22</v>
      </c>
      <c r="FW275" s="450">
        <v>113178.22</v>
      </c>
      <c r="FX275" s="450">
        <v>146611.38</v>
      </c>
      <c r="FY275" s="450">
        <v>125359.38</v>
      </c>
      <c r="FZ275" s="450">
        <v>126379.38</v>
      </c>
      <c r="GA275" s="450">
        <v>126692.38</v>
      </c>
      <c r="GB275" s="450">
        <v>131379.38</v>
      </c>
      <c r="GC275" s="450">
        <v>125629.42000000001</v>
      </c>
      <c r="GD275" s="42"/>
      <c r="GE275" s="448">
        <f t="shared" si="53"/>
        <v>1541877.6399999997</v>
      </c>
    </row>
    <row r="276" spans="1:187" ht="30">
      <c r="D276" s="72" t="str">
        <f t="shared" si="36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8">
        <f t="shared" si="53"/>
        <v>0</v>
      </c>
    </row>
    <row r="277" spans="1:187">
      <c r="D277" s="72" t="str">
        <f t="shared" si="36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50">
        <v>955682.23</v>
      </c>
      <c r="FS277" s="450">
        <v>1009805.38</v>
      </c>
      <c r="FT277" s="450">
        <v>967873.92</v>
      </c>
      <c r="FU277" s="450">
        <v>974618.59</v>
      </c>
      <c r="FV277" s="450">
        <v>973708.57</v>
      </c>
      <c r="FW277" s="450">
        <v>974298.61</v>
      </c>
      <c r="FX277" s="450">
        <v>995160.97</v>
      </c>
      <c r="FY277" s="450">
        <v>976732.12</v>
      </c>
      <c r="FZ277" s="450">
        <v>974232.22</v>
      </c>
      <c r="GA277" s="450">
        <v>976648.87</v>
      </c>
      <c r="GB277" s="450">
        <v>971842.92</v>
      </c>
      <c r="GC277" s="450">
        <v>977744.95</v>
      </c>
      <c r="GD277" s="42"/>
      <c r="GE277" s="448">
        <f t="shared" si="53"/>
        <v>11728349.349999998</v>
      </c>
    </row>
    <row r="278" spans="1:187" s="9" customFormat="1">
      <c r="A278" s="118"/>
      <c r="B278" s="118"/>
      <c r="C278" s="118">
        <v>413</v>
      </c>
      <c r="D278" s="118" t="str">
        <f t="shared" si="36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54">+SUM(CL279:CL284)</f>
        <v>2109966.5125000002</v>
      </c>
      <c r="CM278" s="121">
        <f t="shared" si="54"/>
        <v>2109966.5125000002</v>
      </c>
      <c r="CN278" s="121">
        <f t="shared" si="54"/>
        <v>2109966.5125000002</v>
      </c>
      <c r="CO278" s="121">
        <f t="shared" si="54"/>
        <v>2109966.5125000002</v>
      </c>
      <c r="CP278" s="121">
        <f t="shared" si="54"/>
        <v>2109966.5125000002</v>
      </c>
      <c r="CQ278" s="121">
        <f t="shared" si="54"/>
        <v>2109966.5125000002</v>
      </c>
      <c r="CR278" s="121">
        <f t="shared" si="54"/>
        <v>2109966.5125000002</v>
      </c>
      <c r="CS278" s="121">
        <f t="shared" si="54"/>
        <v>2109966.5125000002</v>
      </c>
      <c r="CT278" s="121">
        <f t="shared" si="54"/>
        <v>2109966.5125000002</v>
      </c>
      <c r="CU278" s="121">
        <f t="shared" si="54"/>
        <v>2109966.5125000002</v>
      </c>
      <c r="CV278" s="121">
        <f t="shared" si="54"/>
        <v>2109966.5125000002</v>
      </c>
      <c r="CW278" s="122">
        <f t="shared" si="54"/>
        <v>2109966.5125000002</v>
      </c>
      <c r="CX278" s="271">
        <f t="shared" si="54"/>
        <v>2567060.8260771562</v>
      </c>
      <c r="CY278" s="274">
        <f t="shared" ref="CY278:DI278" si="55">+SUM(CY279:CY284)</f>
        <v>2567060.8260771562</v>
      </c>
      <c r="CZ278" s="274">
        <f t="shared" si="55"/>
        <v>2567060.8260771562</v>
      </c>
      <c r="DA278" s="274">
        <f t="shared" si="55"/>
        <v>2567060.8260771562</v>
      </c>
      <c r="DB278" s="274">
        <f t="shared" si="55"/>
        <v>2567060.8260771562</v>
      </c>
      <c r="DC278" s="274">
        <f t="shared" si="55"/>
        <v>2567060.8260771562</v>
      </c>
      <c r="DD278" s="274">
        <f t="shared" si="55"/>
        <v>2567060.8260771562</v>
      </c>
      <c r="DE278" s="274">
        <f t="shared" si="55"/>
        <v>2567060.8260771562</v>
      </c>
      <c r="DF278" s="274">
        <f t="shared" si="55"/>
        <v>2567060.8260771562</v>
      </c>
      <c r="DG278" s="274">
        <f t="shared" si="55"/>
        <v>2567060.8260771562</v>
      </c>
      <c r="DH278" s="274">
        <f t="shared" si="55"/>
        <v>2567060.8260771562</v>
      </c>
      <c r="DI278" s="272">
        <f t="shared" si="55"/>
        <v>2567060.8260771562</v>
      </c>
      <c r="DJ278" s="120">
        <f>+SUM(DJ279:DJ284)</f>
        <v>2450506.84</v>
      </c>
      <c r="DK278" s="121">
        <f t="shared" ref="DK278:DU278" si="56">+SUM(DK279:DK284)</f>
        <v>2450506.84</v>
      </c>
      <c r="DL278" s="121">
        <f t="shared" si="56"/>
        <v>2450506.84</v>
      </c>
      <c r="DM278" s="121">
        <f t="shared" si="56"/>
        <v>2450506.84</v>
      </c>
      <c r="DN278" s="121">
        <f t="shared" si="56"/>
        <v>2450506.84</v>
      </c>
      <c r="DO278" s="121">
        <f t="shared" si="56"/>
        <v>2450506.84</v>
      </c>
      <c r="DP278" s="121">
        <f t="shared" si="56"/>
        <v>2450506.84</v>
      </c>
      <c r="DQ278" s="121">
        <f t="shared" si="56"/>
        <v>2450506.84</v>
      </c>
      <c r="DR278" s="121">
        <f t="shared" si="56"/>
        <v>2450506.84</v>
      </c>
      <c r="DS278" s="121">
        <f t="shared" si="56"/>
        <v>2450506.84</v>
      </c>
      <c r="DT278" s="121">
        <f t="shared" si="56"/>
        <v>2450506.84</v>
      </c>
      <c r="DU278" s="122">
        <f t="shared" si="56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f>+FR279+FR280+FR281+FR282+FR283+FR284</f>
        <v>2913477.5999999996</v>
      </c>
      <c r="FS278" s="341">
        <f t="shared" ref="FS278:GC278" si="57">+FS279+FS280+FS281+FS282+FS283+FS284</f>
        <v>4599941.68</v>
      </c>
      <c r="FT278" s="341">
        <f t="shared" si="57"/>
        <v>2843521.78</v>
      </c>
      <c r="FU278" s="341">
        <f t="shared" si="57"/>
        <v>3026563.65</v>
      </c>
      <c r="FV278" s="341">
        <f t="shared" si="57"/>
        <v>2920958.79</v>
      </c>
      <c r="FW278" s="341">
        <f t="shared" si="57"/>
        <v>3043164.1899999995</v>
      </c>
      <c r="FX278" s="341">
        <f t="shared" si="57"/>
        <v>3045456.5199999996</v>
      </c>
      <c r="FY278" s="341">
        <f t="shared" si="57"/>
        <v>3251568.8699999996</v>
      </c>
      <c r="FZ278" s="341">
        <f t="shared" si="57"/>
        <v>3041875.55</v>
      </c>
      <c r="GA278" s="341">
        <f t="shared" si="57"/>
        <v>3030231.67</v>
      </c>
      <c r="GB278" s="341">
        <f t="shared" si="57"/>
        <v>2979256.38</v>
      </c>
      <c r="GC278" s="341">
        <f t="shared" si="57"/>
        <v>2918296.34</v>
      </c>
      <c r="GE278" s="447">
        <f>SUM(FR278:GD278)</f>
        <v>37614313.019999996</v>
      </c>
    </row>
    <row r="279" spans="1:187">
      <c r="D279" s="72" t="str">
        <f t="shared" si="36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>
        <v>561897.3899999999</v>
      </c>
      <c r="FS279" s="263">
        <v>650077.72</v>
      </c>
      <c r="FT279" s="263">
        <v>578074.72999999986</v>
      </c>
      <c r="FU279" s="263">
        <v>617257.72</v>
      </c>
      <c r="FV279" s="263">
        <v>572984.37999999989</v>
      </c>
      <c r="FW279" s="263">
        <v>581491.35999999987</v>
      </c>
      <c r="FX279" s="263">
        <v>571208.14999999991</v>
      </c>
      <c r="FY279" s="263">
        <v>599552.14999999991</v>
      </c>
      <c r="FZ279" s="263">
        <v>589718.81999999995</v>
      </c>
      <c r="GA279" s="263">
        <v>589718.81999999995</v>
      </c>
      <c r="GB279" s="263">
        <v>590885.52999999991</v>
      </c>
      <c r="GC279" s="263">
        <v>582485.90999999992</v>
      </c>
      <c r="GE279" s="448">
        <f>SUM(FR279:GD279)</f>
        <v>7085352.6800000006</v>
      </c>
    </row>
    <row r="280" spans="1:187">
      <c r="D280" s="72" t="str">
        <f t="shared" si="36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>
        <v>147500.25</v>
      </c>
      <c r="FS280" s="263">
        <v>149500.25</v>
      </c>
      <c r="FT280" s="263">
        <v>149500.25</v>
      </c>
      <c r="FU280" s="263">
        <v>149500.25</v>
      </c>
      <c r="FV280" s="263">
        <v>149500.25</v>
      </c>
      <c r="FW280" s="263">
        <v>213935.25</v>
      </c>
      <c r="FX280" s="263">
        <v>154500.25</v>
      </c>
      <c r="FY280" s="263">
        <v>164500.25</v>
      </c>
      <c r="FZ280" s="263">
        <v>228935.25</v>
      </c>
      <c r="GA280" s="263">
        <v>159500.25</v>
      </c>
      <c r="GB280" s="263">
        <v>159500.25</v>
      </c>
      <c r="GC280" s="263">
        <v>152500.25</v>
      </c>
      <c r="GE280" s="448">
        <f t="shared" ref="GE280:GE284" si="58">SUM(FR280:GD280)</f>
        <v>1978873</v>
      </c>
    </row>
    <row r="281" spans="1:187">
      <c r="D281" s="72" t="str">
        <f t="shared" si="36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>
        <v>689001.26</v>
      </c>
      <c r="FS281" s="263">
        <v>1317074.9100000001</v>
      </c>
      <c r="FT281" s="263">
        <v>644998.66999999993</v>
      </c>
      <c r="FU281" s="263">
        <v>740845.23</v>
      </c>
      <c r="FV281" s="263">
        <v>674559.53999999992</v>
      </c>
      <c r="FW281" s="263">
        <v>660980.44999999995</v>
      </c>
      <c r="FX281" s="263">
        <v>710140.97</v>
      </c>
      <c r="FY281" s="263">
        <v>896000.99</v>
      </c>
      <c r="FZ281" s="263">
        <v>588706</v>
      </c>
      <c r="GA281" s="263">
        <v>631663.79999999993</v>
      </c>
      <c r="GB281" s="263">
        <v>604771.79999999993</v>
      </c>
      <c r="GC281" s="263">
        <v>585065.13</v>
      </c>
      <c r="GE281" s="448">
        <f t="shared" si="58"/>
        <v>8743808.75</v>
      </c>
    </row>
    <row r="282" spans="1:187">
      <c r="D282" s="72" t="str">
        <f t="shared" si="36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>
        <v>595818.55999999994</v>
      </c>
      <c r="FS282" s="263">
        <v>1248057.83</v>
      </c>
      <c r="FT282" s="263">
        <v>584117.15999999992</v>
      </c>
      <c r="FU282" s="263">
        <v>632254.49</v>
      </c>
      <c r="FV282" s="263">
        <v>637254.49</v>
      </c>
      <c r="FW282" s="263">
        <v>700254.49</v>
      </c>
      <c r="FX282" s="263">
        <v>702596.17999999993</v>
      </c>
      <c r="FY282" s="263">
        <v>683596.16999999993</v>
      </c>
      <c r="FZ282" s="263">
        <v>726596.16999999993</v>
      </c>
      <c r="GA282" s="263">
        <v>746929.49</v>
      </c>
      <c r="GB282" s="263">
        <v>721679.5</v>
      </c>
      <c r="GC282" s="263">
        <v>696242.51</v>
      </c>
      <c r="GE282" s="448">
        <f t="shared" si="58"/>
        <v>8675397.040000001</v>
      </c>
    </row>
    <row r="283" spans="1:187">
      <c r="D283" s="72" t="str">
        <f t="shared" si="36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>
        <v>833175.55</v>
      </c>
      <c r="FS283" s="263">
        <v>1149188.0499999998</v>
      </c>
      <c r="FT283" s="263">
        <v>800704.71000000008</v>
      </c>
      <c r="FU283" s="263">
        <v>800621.37</v>
      </c>
      <c r="FV283" s="263">
        <v>800575.54</v>
      </c>
      <c r="FW283" s="263">
        <v>800418.05</v>
      </c>
      <c r="FX283" s="263">
        <v>820926.38</v>
      </c>
      <c r="FY283" s="263">
        <v>821834.72000000009</v>
      </c>
      <c r="FZ283" s="263">
        <v>821834.72000000009</v>
      </c>
      <c r="GA283" s="263">
        <v>816334.72000000009</v>
      </c>
      <c r="GB283" s="263">
        <v>816334.71000000008</v>
      </c>
      <c r="GC283" s="263">
        <v>815917.99</v>
      </c>
      <c r="GE283" s="448">
        <f t="shared" si="58"/>
        <v>10097866.510000002</v>
      </c>
    </row>
    <row r="284" spans="1:187">
      <c r="D284" s="72" t="str">
        <f t="shared" si="36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>
        <v>86084.59</v>
      </c>
      <c r="FS284" s="263">
        <v>86042.92</v>
      </c>
      <c r="FT284" s="263">
        <v>86126.26</v>
      </c>
      <c r="FU284" s="263">
        <v>86084.59</v>
      </c>
      <c r="FV284" s="263">
        <v>86084.59</v>
      </c>
      <c r="FW284" s="263">
        <v>86084.59</v>
      </c>
      <c r="FX284" s="263">
        <v>86084.59</v>
      </c>
      <c r="FY284" s="263">
        <v>86084.59</v>
      </c>
      <c r="FZ284" s="263">
        <v>86084.59</v>
      </c>
      <c r="GA284" s="263">
        <v>86084.59</v>
      </c>
      <c r="GB284" s="263">
        <v>86084.59</v>
      </c>
      <c r="GC284" s="263">
        <v>86084.55</v>
      </c>
      <c r="GE284" s="448">
        <f t="shared" si="58"/>
        <v>1033015.0399999998</v>
      </c>
    </row>
    <row r="285" spans="1:187" s="9" customFormat="1">
      <c r="A285" s="118"/>
      <c r="B285" s="118"/>
      <c r="C285" s="118">
        <v>414</v>
      </c>
      <c r="D285" s="118" t="str">
        <f t="shared" si="36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59">+SUM(CL286:CL294)</f>
        <v>3636728.03</v>
      </c>
      <c r="CM285" s="121">
        <f t="shared" si="59"/>
        <v>3636728.03</v>
      </c>
      <c r="CN285" s="121">
        <f t="shared" si="59"/>
        <v>3636728.03</v>
      </c>
      <c r="CO285" s="121">
        <f t="shared" si="59"/>
        <v>3636728.03</v>
      </c>
      <c r="CP285" s="121">
        <f t="shared" si="59"/>
        <v>3636728.03</v>
      </c>
      <c r="CQ285" s="121">
        <f t="shared" si="59"/>
        <v>3636728.03</v>
      </c>
      <c r="CR285" s="121">
        <f t="shared" si="59"/>
        <v>3636728.03</v>
      </c>
      <c r="CS285" s="121">
        <f t="shared" si="59"/>
        <v>3636728.03</v>
      </c>
      <c r="CT285" s="121">
        <f t="shared" si="59"/>
        <v>3636728.03</v>
      </c>
      <c r="CU285" s="121">
        <f t="shared" si="59"/>
        <v>3636728.03</v>
      </c>
      <c r="CV285" s="121">
        <f t="shared" si="59"/>
        <v>3636728.03</v>
      </c>
      <c r="CW285" s="122">
        <f t="shared" si="59"/>
        <v>3636728.03</v>
      </c>
      <c r="CX285" s="271">
        <f t="shared" si="59"/>
        <v>3555210.7859614557</v>
      </c>
      <c r="CY285" s="274">
        <f t="shared" ref="CY285:DI285" si="60">+SUM(CY286:CY294)</f>
        <v>3555210.7859614557</v>
      </c>
      <c r="CZ285" s="274">
        <f t="shared" si="60"/>
        <v>3555210.7859614557</v>
      </c>
      <c r="DA285" s="274">
        <f t="shared" si="60"/>
        <v>3555210.7859614557</v>
      </c>
      <c r="DB285" s="274">
        <f t="shared" si="60"/>
        <v>3555210.7859614557</v>
      </c>
      <c r="DC285" s="274">
        <f t="shared" si="60"/>
        <v>3555210.7859614557</v>
      </c>
      <c r="DD285" s="274">
        <f t="shared" si="60"/>
        <v>3555210.7859614557</v>
      </c>
      <c r="DE285" s="274">
        <f t="shared" si="60"/>
        <v>3555210.7859614557</v>
      </c>
      <c r="DF285" s="274">
        <f t="shared" si="60"/>
        <v>3555210.7859614557</v>
      </c>
      <c r="DG285" s="274">
        <f t="shared" si="60"/>
        <v>3555210.7859614557</v>
      </c>
      <c r="DH285" s="274">
        <f t="shared" si="60"/>
        <v>3555210.7859614557</v>
      </c>
      <c r="DI285" s="272">
        <f t="shared" si="60"/>
        <v>3555210.7859614557</v>
      </c>
      <c r="DJ285" s="120">
        <f>+SUM(DJ286:DJ294)</f>
        <v>3460881.1266666669</v>
      </c>
      <c r="DK285" s="121">
        <f t="shared" ref="DK285:DU285" si="61">+SUM(DK286:DK294)</f>
        <v>3460881.1266666669</v>
      </c>
      <c r="DL285" s="121">
        <f t="shared" si="61"/>
        <v>3460881.1266666669</v>
      </c>
      <c r="DM285" s="121">
        <f t="shared" si="61"/>
        <v>3460881.1266666669</v>
      </c>
      <c r="DN285" s="121">
        <f t="shared" si="61"/>
        <v>3460881.1266666669</v>
      </c>
      <c r="DO285" s="121">
        <f t="shared" si="61"/>
        <v>3460881.1266666669</v>
      </c>
      <c r="DP285" s="121">
        <f t="shared" si="61"/>
        <v>3460881.1266666669</v>
      </c>
      <c r="DQ285" s="121">
        <f t="shared" si="61"/>
        <v>3460881.1266666669</v>
      </c>
      <c r="DR285" s="121">
        <f t="shared" si="61"/>
        <v>3460881.1266666669</v>
      </c>
      <c r="DS285" s="121">
        <f t="shared" si="61"/>
        <v>3460881.1266666669</v>
      </c>
      <c r="DT285" s="121">
        <f t="shared" si="61"/>
        <v>3460881.1266666669</v>
      </c>
      <c r="DU285" s="122">
        <f t="shared" si="61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f>+FR286+FR287+FR288+FR289+FR290+FR291+FR292+FR293+FR294</f>
        <v>8019348.2499999981</v>
      </c>
      <c r="FS285" s="341">
        <f t="shared" ref="FS285:GC285" si="62">+FS286+FS287+FS288+FS289+FS290+FS291+FS292+FS293+FS294</f>
        <v>8893323</v>
      </c>
      <c r="FT285" s="341">
        <f t="shared" si="62"/>
        <v>8029537.5599999996</v>
      </c>
      <c r="FU285" s="341">
        <f t="shared" si="62"/>
        <v>7480808.8299999991</v>
      </c>
      <c r="FV285" s="341">
        <f t="shared" si="62"/>
        <v>7364420.5999999996</v>
      </c>
      <c r="FW285" s="341">
        <f t="shared" si="62"/>
        <v>6977502.8499999996</v>
      </c>
      <c r="FX285" s="341">
        <f t="shared" si="62"/>
        <v>7618217.8999999994</v>
      </c>
      <c r="FY285" s="341">
        <f t="shared" si="62"/>
        <v>7591097.3899999997</v>
      </c>
      <c r="FZ285" s="341">
        <f t="shared" si="62"/>
        <v>7567244.7899999991</v>
      </c>
      <c r="GA285" s="341">
        <f t="shared" si="62"/>
        <v>7318936.6699999999</v>
      </c>
      <c r="GB285" s="341">
        <f t="shared" si="62"/>
        <v>7329719.0700000003</v>
      </c>
      <c r="GC285" s="341">
        <f t="shared" si="62"/>
        <v>7250078.3400000008</v>
      </c>
      <c r="GE285" s="447">
        <f>SUM(FR285:GC285)</f>
        <v>91440235.25</v>
      </c>
    </row>
    <row r="286" spans="1:187">
      <c r="D286" s="72" t="str">
        <f t="shared" si="36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>
        <v>536116.58000000007</v>
      </c>
      <c r="FS286" s="263">
        <v>536492.14</v>
      </c>
      <c r="FT286" s="263">
        <v>507923.17</v>
      </c>
      <c r="FU286" s="263">
        <v>481607.2</v>
      </c>
      <c r="FV286" s="263">
        <v>467012.67</v>
      </c>
      <c r="FW286" s="263">
        <v>446464.09</v>
      </c>
      <c r="FX286" s="263">
        <v>469546.48000000004</v>
      </c>
      <c r="FY286" s="263">
        <v>453714.22000000003</v>
      </c>
      <c r="FZ286" s="263">
        <v>451126.22000000003</v>
      </c>
      <c r="GA286" s="263">
        <v>362259.57</v>
      </c>
      <c r="GB286" s="263">
        <v>367283.21</v>
      </c>
      <c r="GC286" s="263">
        <v>352651.58</v>
      </c>
      <c r="GE286" s="448">
        <f>SUM(FR286:GD286)</f>
        <v>5432197.1300000008</v>
      </c>
    </row>
    <row r="287" spans="1:187">
      <c r="D287" s="72" t="str">
        <f t="shared" si="36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>
        <v>52691.76</v>
      </c>
      <c r="FS287" s="263">
        <v>48414.48</v>
      </c>
      <c r="FT287" s="263">
        <v>45801.05</v>
      </c>
      <c r="FU287" s="263">
        <v>44117.740000000005</v>
      </c>
      <c r="FV287" s="263">
        <v>44017.75</v>
      </c>
      <c r="FW287" s="263">
        <v>43967.740000000005</v>
      </c>
      <c r="FX287" s="263">
        <v>45234.400000000001</v>
      </c>
      <c r="FY287" s="263">
        <v>45367.73</v>
      </c>
      <c r="FZ287" s="263">
        <v>45067.740000000005</v>
      </c>
      <c r="GA287" s="263">
        <v>44734.41</v>
      </c>
      <c r="GB287" s="263">
        <v>44326.740000000005</v>
      </c>
      <c r="GC287" s="263">
        <v>44159.46</v>
      </c>
      <c r="GE287" s="448">
        <f t="shared" ref="GE287:GE294" si="63">SUM(FR287:GD287)</f>
        <v>547901</v>
      </c>
    </row>
    <row r="288" spans="1:187">
      <c r="D288" s="72" t="str">
        <f t="shared" si="36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>
        <v>519062.63</v>
      </c>
      <c r="FS288" s="263">
        <v>516744.94</v>
      </c>
      <c r="FT288" s="263">
        <v>490361.59999999998</v>
      </c>
      <c r="FU288" s="263">
        <v>485661.89</v>
      </c>
      <c r="FV288" s="263">
        <v>486295.12</v>
      </c>
      <c r="FW288" s="263">
        <v>484545.22</v>
      </c>
      <c r="FX288" s="263">
        <v>485462.11</v>
      </c>
      <c r="FY288" s="263">
        <v>485295.45</v>
      </c>
      <c r="FZ288" s="263">
        <v>487578.78</v>
      </c>
      <c r="GA288" s="263">
        <v>483378.78</v>
      </c>
      <c r="GB288" s="263">
        <v>483078.79</v>
      </c>
      <c r="GC288" s="263">
        <v>476578.8</v>
      </c>
      <c r="GE288" s="448">
        <f t="shared" si="63"/>
        <v>5884044.1100000003</v>
      </c>
    </row>
    <row r="289" spans="1:187" ht="30">
      <c r="D289" s="72" t="str">
        <f t="shared" si="36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>
        <v>346275.37</v>
      </c>
      <c r="FS289" s="263">
        <v>345533.70999999996</v>
      </c>
      <c r="FT289" s="263">
        <v>345376.88999999996</v>
      </c>
      <c r="FU289" s="263">
        <v>343580.01</v>
      </c>
      <c r="FV289" s="263">
        <v>343688.35</v>
      </c>
      <c r="FW289" s="263">
        <v>343579.99</v>
      </c>
      <c r="FX289" s="263">
        <v>345325.83999999997</v>
      </c>
      <c r="FY289" s="263">
        <v>346375.82999999996</v>
      </c>
      <c r="FZ289" s="263">
        <v>344992.51</v>
      </c>
      <c r="GA289" s="263">
        <v>340992.5</v>
      </c>
      <c r="GB289" s="263">
        <v>340992.5</v>
      </c>
      <c r="GC289" s="263">
        <v>341309.08</v>
      </c>
      <c r="GE289" s="448">
        <f t="shared" si="63"/>
        <v>4128022.58</v>
      </c>
    </row>
    <row r="290" spans="1:187">
      <c r="D290" s="72" t="str">
        <f t="shared" ref="D290:D321" si="64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>
        <v>84343.88</v>
      </c>
      <c r="FS290" s="263">
        <v>87643.88</v>
      </c>
      <c r="FT290" s="263">
        <v>87643.87</v>
      </c>
      <c r="FU290" s="263">
        <v>87343.87</v>
      </c>
      <c r="FV290" s="263">
        <v>87043.87</v>
      </c>
      <c r="FW290" s="263">
        <v>87043.87</v>
      </c>
      <c r="FX290" s="263">
        <v>123110.54</v>
      </c>
      <c r="FY290" s="263">
        <v>121410.54</v>
      </c>
      <c r="FZ290" s="263">
        <v>121410.54</v>
      </c>
      <c r="GA290" s="263">
        <v>121110.54</v>
      </c>
      <c r="GB290" s="263">
        <v>120810.54</v>
      </c>
      <c r="GC290" s="263">
        <v>120810.56000000001</v>
      </c>
      <c r="GE290" s="448">
        <f t="shared" si="63"/>
        <v>1249726.5000000002</v>
      </c>
    </row>
    <row r="291" spans="1:187" ht="30">
      <c r="D291" s="72" t="str">
        <f t="shared" si="64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>
        <v>451505.96</v>
      </c>
      <c r="FS291" s="263">
        <v>865002.64</v>
      </c>
      <c r="FT291" s="263">
        <v>402159.67</v>
      </c>
      <c r="FU291" s="263">
        <v>401346.29</v>
      </c>
      <c r="FV291" s="263">
        <v>401253.01</v>
      </c>
      <c r="FW291" s="263">
        <v>401253.01</v>
      </c>
      <c r="FX291" s="263">
        <v>401303.01</v>
      </c>
      <c r="FY291" s="263">
        <v>401303.01</v>
      </c>
      <c r="FZ291" s="263">
        <v>407303.01</v>
      </c>
      <c r="GA291" s="263">
        <v>401303.01</v>
      </c>
      <c r="GB291" s="263">
        <v>401303.01</v>
      </c>
      <c r="GC291" s="263">
        <v>401303.04000000004</v>
      </c>
      <c r="GE291" s="448">
        <f t="shared" si="63"/>
        <v>5336338.669999999</v>
      </c>
    </row>
    <row r="292" spans="1:187" ht="30">
      <c r="D292" s="72" t="str">
        <f t="shared" si="64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>
        <v>4459635.8699999992</v>
      </c>
      <c r="FS292" s="263">
        <v>4781467.12</v>
      </c>
      <c r="FT292" s="263">
        <v>4549467.8599999994</v>
      </c>
      <c r="FU292" s="263">
        <v>4213367.7799999993</v>
      </c>
      <c r="FV292" s="263">
        <v>4148405.55</v>
      </c>
      <c r="FW292" s="263">
        <v>3801130.95</v>
      </c>
      <c r="FX292" s="263">
        <v>4350447.29</v>
      </c>
      <c r="FY292" s="263">
        <v>4365447.3</v>
      </c>
      <c r="FZ292" s="263">
        <v>4346780.67</v>
      </c>
      <c r="GA292" s="263">
        <v>4257105.88</v>
      </c>
      <c r="GB292" s="263">
        <v>4273580.6400000006</v>
      </c>
      <c r="GC292" s="263">
        <v>4261080.6400000006</v>
      </c>
      <c r="GE292" s="448">
        <f t="shared" si="63"/>
        <v>51807917.549999997</v>
      </c>
    </row>
    <row r="293" spans="1:187">
      <c r="D293" s="72" t="str">
        <f t="shared" si="64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>
        <v>258085.68</v>
      </c>
      <c r="FS293" s="263">
        <v>219144.9</v>
      </c>
      <c r="FT293" s="263">
        <v>192008.29</v>
      </c>
      <c r="FU293" s="263">
        <v>180219.93</v>
      </c>
      <c r="FV293" s="263">
        <v>160059.93</v>
      </c>
      <c r="FW293" s="263">
        <v>170059.95</v>
      </c>
      <c r="FX293" s="263">
        <v>180659.92</v>
      </c>
      <c r="FY293" s="263">
        <v>180576.6</v>
      </c>
      <c r="FZ293" s="263">
        <v>181643.27</v>
      </c>
      <c r="GA293" s="263">
        <v>180109.94</v>
      </c>
      <c r="GB293" s="263">
        <v>180409.93</v>
      </c>
      <c r="GC293" s="263">
        <v>160509.87</v>
      </c>
      <c r="GE293" s="448">
        <f t="shared" si="63"/>
        <v>2243488.21</v>
      </c>
    </row>
    <row r="294" spans="1:187">
      <c r="D294" s="72" t="str">
        <f t="shared" si="64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>
        <v>1311630.5199999998</v>
      </c>
      <c r="FS294" s="263">
        <v>1492879.19</v>
      </c>
      <c r="FT294" s="263">
        <v>1408795.16</v>
      </c>
      <c r="FU294" s="263">
        <v>1243564.1199999999</v>
      </c>
      <c r="FV294" s="263">
        <v>1226644.3499999999</v>
      </c>
      <c r="FW294" s="263">
        <v>1199458.0299999998</v>
      </c>
      <c r="FX294" s="263">
        <v>1217128.3099999998</v>
      </c>
      <c r="FY294" s="263">
        <v>1191606.71</v>
      </c>
      <c r="FZ294" s="263">
        <v>1181342.0499999998</v>
      </c>
      <c r="GA294" s="263">
        <v>1127942.0399999998</v>
      </c>
      <c r="GB294" s="263">
        <v>1117933.71</v>
      </c>
      <c r="GC294" s="263">
        <v>1091675.3099999998</v>
      </c>
      <c r="GE294" s="448">
        <f t="shared" si="63"/>
        <v>14810599.500000002</v>
      </c>
    </row>
    <row r="295" spans="1:187" s="9" customFormat="1">
      <c r="A295" s="118"/>
      <c r="B295" s="118"/>
      <c r="C295" s="118">
        <v>415</v>
      </c>
      <c r="D295" s="118" t="str">
        <f t="shared" si="64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5">+SUM(CL296:CL298)</f>
        <v>1705556.6708333332</v>
      </c>
      <c r="CM295" s="121">
        <f t="shared" si="65"/>
        <v>1705556.6708333332</v>
      </c>
      <c r="CN295" s="121">
        <f t="shared" si="65"/>
        <v>1705556.6708333332</v>
      </c>
      <c r="CO295" s="121">
        <f t="shared" si="65"/>
        <v>1705556.6708333332</v>
      </c>
      <c r="CP295" s="121">
        <f t="shared" si="65"/>
        <v>1705556.6708333332</v>
      </c>
      <c r="CQ295" s="121">
        <f t="shared" si="65"/>
        <v>1705556.6708333332</v>
      </c>
      <c r="CR295" s="121">
        <f t="shared" si="65"/>
        <v>1705556.6708333332</v>
      </c>
      <c r="CS295" s="121">
        <f t="shared" si="65"/>
        <v>1705556.6708333332</v>
      </c>
      <c r="CT295" s="121">
        <f t="shared" si="65"/>
        <v>1705556.6708333332</v>
      </c>
      <c r="CU295" s="121">
        <f t="shared" si="65"/>
        <v>1705556.6708333332</v>
      </c>
      <c r="CV295" s="121">
        <f t="shared" si="65"/>
        <v>1705556.6708333332</v>
      </c>
      <c r="CW295" s="122">
        <f t="shared" si="65"/>
        <v>1705556.6708333332</v>
      </c>
      <c r="CX295" s="271">
        <f t="shared" si="65"/>
        <v>1804616.9333333331</v>
      </c>
      <c r="CY295" s="274">
        <f t="shared" ref="CY295:DI295" si="66">+SUM(CY296:CY298)</f>
        <v>1804616.9333333331</v>
      </c>
      <c r="CZ295" s="274">
        <f t="shared" si="66"/>
        <v>1804616.9333333331</v>
      </c>
      <c r="DA295" s="274">
        <f t="shared" si="66"/>
        <v>1804616.9333333331</v>
      </c>
      <c r="DB295" s="274">
        <f t="shared" si="66"/>
        <v>1804616.9333333331</v>
      </c>
      <c r="DC295" s="274">
        <f t="shared" si="66"/>
        <v>1804616.9333333331</v>
      </c>
      <c r="DD295" s="274">
        <f t="shared" si="66"/>
        <v>1804616.9333333331</v>
      </c>
      <c r="DE295" s="274">
        <f t="shared" si="66"/>
        <v>1804616.9333333331</v>
      </c>
      <c r="DF295" s="274">
        <f t="shared" si="66"/>
        <v>1804616.9333333331</v>
      </c>
      <c r="DG295" s="274">
        <f t="shared" si="66"/>
        <v>1804616.9333333331</v>
      </c>
      <c r="DH295" s="274">
        <f t="shared" si="66"/>
        <v>1804616.9333333331</v>
      </c>
      <c r="DI295" s="272">
        <f t="shared" si="66"/>
        <v>1804116.9333333331</v>
      </c>
      <c r="DJ295" s="120">
        <f>+SUM(DJ296:DJ298)</f>
        <v>1734268.4441666668</v>
      </c>
      <c r="DK295" s="121">
        <f t="shared" ref="DK295:DU295" si="67">+SUM(DK296:DK298)</f>
        <v>1734268.4441666668</v>
      </c>
      <c r="DL295" s="121">
        <f t="shared" si="67"/>
        <v>1734268.4441666668</v>
      </c>
      <c r="DM295" s="121">
        <f t="shared" si="67"/>
        <v>1734268.4441666668</v>
      </c>
      <c r="DN295" s="121">
        <f t="shared" si="67"/>
        <v>1734268.4441666668</v>
      </c>
      <c r="DO295" s="121">
        <f t="shared" si="67"/>
        <v>1734268.4441666668</v>
      </c>
      <c r="DP295" s="121">
        <f t="shared" si="67"/>
        <v>1734268.4441666668</v>
      </c>
      <c r="DQ295" s="121">
        <f t="shared" si="67"/>
        <v>1734268.4441666668</v>
      </c>
      <c r="DR295" s="121">
        <f t="shared" si="67"/>
        <v>1734268.4441666668</v>
      </c>
      <c r="DS295" s="121">
        <f t="shared" si="67"/>
        <v>1734268.4441666668</v>
      </c>
      <c r="DT295" s="121">
        <f t="shared" si="67"/>
        <v>1734268.4441666668</v>
      </c>
      <c r="DU295" s="122">
        <f t="shared" si="67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f>SUM(FR296:FR298)</f>
        <v>2286478.65</v>
      </c>
      <c r="FS295" s="341">
        <f t="shared" ref="FS295:GC295" si="68">SUM(FS296:FS298)</f>
        <v>2696315.32</v>
      </c>
      <c r="FT295" s="341">
        <f t="shared" si="68"/>
        <v>2201685.66</v>
      </c>
      <c r="FU295" s="341">
        <f t="shared" si="68"/>
        <v>2099351.77</v>
      </c>
      <c r="FV295" s="341">
        <f t="shared" si="68"/>
        <v>2095618.4400000002</v>
      </c>
      <c r="FW295" s="341">
        <f t="shared" si="68"/>
        <v>2114652.44</v>
      </c>
      <c r="FX295" s="341">
        <f t="shared" si="68"/>
        <v>2156960.7999999998</v>
      </c>
      <c r="FY295" s="341">
        <f t="shared" si="68"/>
        <v>2238795.79</v>
      </c>
      <c r="FZ295" s="341">
        <f t="shared" si="68"/>
        <v>2144222.69</v>
      </c>
      <c r="GA295" s="341">
        <f t="shared" si="68"/>
        <v>2082319.17</v>
      </c>
      <c r="GB295" s="341">
        <f t="shared" si="68"/>
        <v>2095277.52</v>
      </c>
      <c r="GC295" s="341">
        <f t="shared" si="68"/>
        <v>2062841.6800000002</v>
      </c>
      <c r="GE295" s="447">
        <f>SUM(FR295:GD295)</f>
        <v>26274519.929999996</v>
      </c>
    </row>
    <row r="296" spans="1:187" ht="30">
      <c r="D296" s="72" t="str">
        <f t="shared" si="64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>
        <v>1463250</v>
      </c>
      <c r="FS296" s="263">
        <v>1463250</v>
      </c>
      <c r="FT296" s="263">
        <v>1463250</v>
      </c>
      <c r="FU296" s="263">
        <v>1463250</v>
      </c>
      <c r="FV296" s="263">
        <v>1463250</v>
      </c>
      <c r="FW296" s="263">
        <v>1463250</v>
      </c>
      <c r="FX296" s="263">
        <v>1463250</v>
      </c>
      <c r="FY296" s="263">
        <v>1463250</v>
      </c>
      <c r="FZ296" s="263">
        <v>1463250</v>
      </c>
      <c r="GA296" s="263">
        <v>1463250</v>
      </c>
      <c r="GB296" s="263">
        <v>1463250</v>
      </c>
      <c r="GC296" s="263">
        <v>1463250</v>
      </c>
      <c r="GE296" s="448">
        <f>SUM(FR296:GD296)</f>
        <v>17559000</v>
      </c>
    </row>
    <row r="297" spans="1:187" ht="30">
      <c r="D297" s="72" t="str">
        <f t="shared" si="64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>
        <v>320804.33</v>
      </c>
      <c r="FS297" s="263">
        <v>605005</v>
      </c>
      <c r="FT297" s="263">
        <v>340971</v>
      </c>
      <c r="FU297" s="263">
        <v>245026.55</v>
      </c>
      <c r="FV297" s="263">
        <v>299109.87</v>
      </c>
      <c r="FW297" s="263">
        <v>286643.85000000003</v>
      </c>
      <c r="FX297" s="263">
        <v>298177.22000000003</v>
      </c>
      <c r="FY297" s="263">
        <v>408887.21</v>
      </c>
      <c r="FZ297" s="263">
        <v>318564.11000000004</v>
      </c>
      <c r="GA297" s="263">
        <v>295502.25</v>
      </c>
      <c r="GB297" s="263">
        <v>289902.27</v>
      </c>
      <c r="GC297" s="263">
        <v>248266.34</v>
      </c>
      <c r="GE297" s="448">
        <f t="shared" ref="GE297:GE298" si="69">SUM(FR297:GD297)</f>
        <v>3956860</v>
      </c>
    </row>
    <row r="298" spans="1:187">
      <c r="D298" s="72" t="str">
        <f t="shared" si="64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>
        <v>502424.32000000001</v>
      </c>
      <c r="FS298" s="263">
        <v>628060.31999999995</v>
      </c>
      <c r="FT298" s="263">
        <v>397464.66000000003</v>
      </c>
      <c r="FU298" s="263">
        <v>391075.22000000003</v>
      </c>
      <c r="FV298" s="263">
        <v>333258.57</v>
      </c>
      <c r="FW298" s="263">
        <v>364758.59</v>
      </c>
      <c r="FX298" s="263">
        <v>395533.58</v>
      </c>
      <c r="FY298" s="263">
        <v>366658.58</v>
      </c>
      <c r="FZ298" s="263">
        <v>362408.58</v>
      </c>
      <c r="GA298" s="263">
        <v>323566.92000000004</v>
      </c>
      <c r="GB298" s="263">
        <v>342125.25</v>
      </c>
      <c r="GC298" s="263">
        <v>351325.33999999997</v>
      </c>
      <c r="GE298" s="448">
        <f t="shared" si="69"/>
        <v>4758659.93</v>
      </c>
    </row>
    <row r="299" spans="1:187" s="9" customFormat="1">
      <c r="A299" s="118"/>
      <c r="B299" s="118"/>
      <c r="C299" s="118">
        <v>416</v>
      </c>
      <c r="D299" s="118" t="str">
        <f t="shared" si="64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0">+SUM(CL300:CL301)</f>
        <v>5866967.2749999994</v>
      </c>
      <c r="CM299" s="121">
        <f t="shared" si="70"/>
        <v>5866967.2749999994</v>
      </c>
      <c r="CN299" s="121">
        <f t="shared" si="70"/>
        <v>5866967.2749999994</v>
      </c>
      <c r="CO299" s="121">
        <f t="shared" si="70"/>
        <v>5866967.2749999994</v>
      </c>
      <c r="CP299" s="121">
        <f t="shared" si="70"/>
        <v>5866967.2749999994</v>
      </c>
      <c r="CQ299" s="121">
        <f t="shared" si="70"/>
        <v>5866967.2749999994</v>
      </c>
      <c r="CR299" s="121">
        <f t="shared" si="70"/>
        <v>5866967.2749999994</v>
      </c>
      <c r="CS299" s="121">
        <f t="shared" si="70"/>
        <v>5866967.2749999994</v>
      </c>
      <c r="CT299" s="121">
        <f t="shared" si="70"/>
        <v>5866967.2749999994</v>
      </c>
      <c r="CU299" s="121">
        <f t="shared" si="70"/>
        <v>5866967.2749999994</v>
      </c>
      <c r="CV299" s="121">
        <f t="shared" si="70"/>
        <v>5866967.2749999994</v>
      </c>
      <c r="CW299" s="122">
        <f t="shared" si="70"/>
        <v>5866967.2749999994</v>
      </c>
      <c r="CX299" s="271">
        <f t="shared" si="70"/>
        <v>6297113.5108333332</v>
      </c>
      <c r="CY299" s="274">
        <f t="shared" ref="CY299:DI299" si="71">+SUM(CY300:CY301)</f>
        <v>6297113.5108333332</v>
      </c>
      <c r="CZ299" s="274">
        <f t="shared" si="71"/>
        <v>6297113.5108333332</v>
      </c>
      <c r="DA299" s="274">
        <f t="shared" si="71"/>
        <v>6297113.5108333332</v>
      </c>
      <c r="DB299" s="274">
        <f t="shared" si="71"/>
        <v>6297113.5108333332</v>
      </c>
      <c r="DC299" s="274">
        <f t="shared" si="71"/>
        <v>6297113.5108333332</v>
      </c>
      <c r="DD299" s="274">
        <f t="shared" si="71"/>
        <v>6297113.5108333332</v>
      </c>
      <c r="DE299" s="274">
        <f t="shared" si="71"/>
        <v>6297113.5108333332</v>
      </c>
      <c r="DF299" s="274">
        <f t="shared" si="71"/>
        <v>6297113.5108333332</v>
      </c>
      <c r="DG299" s="274">
        <f t="shared" si="71"/>
        <v>6297113.5108333332</v>
      </c>
      <c r="DH299" s="274">
        <f t="shared" si="71"/>
        <v>6297113.5108333332</v>
      </c>
      <c r="DI299" s="272">
        <f t="shared" si="71"/>
        <v>6297113.5108333332</v>
      </c>
      <c r="DJ299" s="120">
        <f>+SUM(DJ300:DJ301)</f>
        <v>6313823.6641666666</v>
      </c>
      <c r="DK299" s="121">
        <f t="shared" ref="DK299:DU299" si="72">+SUM(DK300:DK301)</f>
        <v>6313823.6641666666</v>
      </c>
      <c r="DL299" s="121">
        <f t="shared" si="72"/>
        <v>6313823.6641666666</v>
      </c>
      <c r="DM299" s="121">
        <f t="shared" si="72"/>
        <v>6313823.6641666666</v>
      </c>
      <c r="DN299" s="121">
        <f t="shared" si="72"/>
        <v>6313823.6641666666</v>
      </c>
      <c r="DO299" s="121">
        <f t="shared" si="72"/>
        <v>6313823.6641666666</v>
      </c>
      <c r="DP299" s="121">
        <f t="shared" si="72"/>
        <v>6313823.6641666666</v>
      </c>
      <c r="DQ299" s="121">
        <f t="shared" si="72"/>
        <v>6313823.6641666666</v>
      </c>
      <c r="DR299" s="121">
        <f t="shared" si="72"/>
        <v>6313823.6641666666</v>
      </c>
      <c r="DS299" s="121">
        <f t="shared" si="72"/>
        <v>6313823.6641666666</v>
      </c>
      <c r="DT299" s="121">
        <f t="shared" si="72"/>
        <v>6313823.6641666666</v>
      </c>
      <c r="DU299" s="122">
        <f t="shared" si="72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f>+FR300+FR301</f>
        <v>7335723.4099999992</v>
      </c>
      <c r="FS299" s="341">
        <f t="shared" ref="FS299:GC299" si="73">+FS300+FS301</f>
        <v>928779.86</v>
      </c>
      <c r="FT299" s="341">
        <f t="shared" si="73"/>
        <v>28199649.48</v>
      </c>
      <c r="FU299" s="341">
        <f t="shared" si="73"/>
        <v>23249046.659999996</v>
      </c>
      <c r="FV299" s="341">
        <f t="shared" si="73"/>
        <v>1037535.54</v>
      </c>
      <c r="FW299" s="341">
        <f t="shared" si="73"/>
        <v>5389892.4699999997</v>
      </c>
      <c r="FX299" s="341">
        <f t="shared" si="73"/>
        <v>7774686.2800000003</v>
      </c>
      <c r="FY299" s="341">
        <f t="shared" si="73"/>
        <v>978609.86</v>
      </c>
      <c r="FZ299" s="341">
        <f t="shared" si="73"/>
        <v>2382646</v>
      </c>
      <c r="GA299" s="341">
        <f t="shared" si="73"/>
        <v>17563137.57</v>
      </c>
      <c r="GB299" s="341">
        <f t="shared" si="73"/>
        <v>4162851.0300000003</v>
      </c>
      <c r="GC299" s="341">
        <f t="shared" si="73"/>
        <v>5247085.92</v>
      </c>
      <c r="GE299" s="447">
        <f t="shared" ref="GE299:GE306" si="74">SUM(FR299:GD299)</f>
        <v>104249644.08</v>
      </c>
    </row>
    <row r="300" spans="1:187">
      <c r="D300" s="72" t="str">
        <f t="shared" si="64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>
        <v>192605.77</v>
      </c>
      <c r="FS300" s="263">
        <v>329510.48</v>
      </c>
      <c r="FT300" s="263">
        <v>235058.12</v>
      </c>
      <c r="FU300" s="263">
        <v>5505894.8300000001</v>
      </c>
      <c r="FV300" s="263">
        <v>194211.62</v>
      </c>
      <c r="FW300" s="263">
        <v>257397.27</v>
      </c>
      <c r="FX300" s="263">
        <v>193595.09</v>
      </c>
      <c r="FY300" s="263">
        <v>309188.38</v>
      </c>
      <c r="FZ300" s="263">
        <v>206598.11</v>
      </c>
      <c r="GA300" s="263">
        <v>952816.15999999992</v>
      </c>
      <c r="GB300" s="263">
        <v>3398057.3000000003</v>
      </c>
      <c r="GC300" s="263">
        <v>203862.87</v>
      </c>
      <c r="GE300" s="448">
        <f t="shared" si="74"/>
        <v>11978796</v>
      </c>
    </row>
    <row r="301" spans="1:187">
      <c r="D301" s="72" t="str">
        <f t="shared" si="64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>
        <v>7143117.6399999997</v>
      </c>
      <c r="FS301" s="263">
        <v>599269.38</v>
      </c>
      <c r="FT301" s="263">
        <v>27964591.359999999</v>
      </c>
      <c r="FU301" s="263">
        <v>17743151.829999998</v>
      </c>
      <c r="FV301" s="263">
        <v>843323.92</v>
      </c>
      <c r="FW301" s="263">
        <v>5132495.2</v>
      </c>
      <c r="FX301" s="263">
        <v>7581091.1900000004</v>
      </c>
      <c r="FY301" s="263">
        <v>669421.48</v>
      </c>
      <c r="FZ301" s="263">
        <v>2176047.89</v>
      </c>
      <c r="GA301" s="263">
        <v>16610321.41</v>
      </c>
      <c r="GB301" s="263">
        <v>764793.73</v>
      </c>
      <c r="GC301" s="263">
        <v>5043223.05</v>
      </c>
      <c r="GE301" s="448">
        <f t="shared" si="74"/>
        <v>92270848.079999998</v>
      </c>
    </row>
    <row r="302" spans="1:187" s="9" customFormat="1">
      <c r="A302" s="118"/>
      <c r="B302" s="118"/>
      <c r="C302" s="118">
        <v>417</v>
      </c>
      <c r="D302" s="118" t="str">
        <f t="shared" si="64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5">+SUM(CL303:CL305)</f>
        <v>656311.6166666667</v>
      </c>
      <c r="CM302" s="121">
        <f t="shared" si="75"/>
        <v>656311.6166666667</v>
      </c>
      <c r="CN302" s="121">
        <f t="shared" si="75"/>
        <v>656311.6166666667</v>
      </c>
      <c r="CO302" s="121">
        <f t="shared" si="75"/>
        <v>656311.6166666667</v>
      </c>
      <c r="CP302" s="121">
        <f t="shared" si="75"/>
        <v>656311.6166666667</v>
      </c>
      <c r="CQ302" s="121">
        <f t="shared" si="75"/>
        <v>656311.6166666667</v>
      </c>
      <c r="CR302" s="121">
        <f t="shared" si="75"/>
        <v>656311.6166666667</v>
      </c>
      <c r="CS302" s="121">
        <f t="shared" si="75"/>
        <v>656311.6166666667</v>
      </c>
      <c r="CT302" s="121">
        <f t="shared" si="75"/>
        <v>656311.6166666667</v>
      </c>
      <c r="CU302" s="121">
        <f t="shared" si="75"/>
        <v>656311.6166666667</v>
      </c>
      <c r="CV302" s="121">
        <f t="shared" si="75"/>
        <v>656311.6166666667</v>
      </c>
      <c r="CW302" s="122">
        <f t="shared" si="75"/>
        <v>656311.6166666667</v>
      </c>
      <c r="CX302" s="271">
        <f t="shared" si="75"/>
        <v>678983.51166666672</v>
      </c>
      <c r="CY302" s="274">
        <f t="shared" ref="CY302:DI302" si="76">+SUM(CY303:CY305)</f>
        <v>678983.51166666672</v>
      </c>
      <c r="CZ302" s="274">
        <f t="shared" si="76"/>
        <v>678983.51166666672</v>
      </c>
      <c r="DA302" s="274">
        <f t="shared" si="76"/>
        <v>678983.51166666672</v>
      </c>
      <c r="DB302" s="274">
        <f t="shared" si="76"/>
        <v>678983.51166666672</v>
      </c>
      <c r="DC302" s="274">
        <f t="shared" si="76"/>
        <v>678983.51166666672</v>
      </c>
      <c r="DD302" s="274">
        <f t="shared" si="76"/>
        <v>678983.51166666672</v>
      </c>
      <c r="DE302" s="274">
        <f t="shared" si="76"/>
        <v>678983.51166666672</v>
      </c>
      <c r="DF302" s="274">
        <f t="shared" si="76"/>
        <v>678983.51166666672</v>
      </c>
      <c r="DG302" s="274">
        <f t="shared" si="76"/>
        <v>678983.51166666672</v>
      </c>
      <c r="DH302" s="274">
        <f t="shared" si="76"/>
        <v>678983.51166666672</v>
      </c>
      <c r="DI302" s="272">
        <f t="shared" si="76"/>
        <v>678983.51166666672</v>
      </c>
      <c r="DJ302" s="120">
        <f>+SUM(DJ303:DJ305)</f>
        <v>693996.7074999999</v>
      </c>
      <c r="DK302" s="121">
        <f t="shared" ref="DK302:DU302" si="77">+SUM(DK303:DK305)</f>
        <v>693996.7074999999</v>
      </c>
      <c r="DL302" s="121">
        <f t="shared" si="77"/>
        <v>693996.7074999999</v>
      </c>
      <c r="DM302" s="121">
        <f t="shared" si="77"/>
        <v>693996.7074999999</v>
      </c>
      <c r="DN302" s="121">
        <f t="shared" si="77"/>
        <v>693996.7074999999</v>
      </c>
      <c r="DO302" s="121">
        <f t="shared" si="77"/>
        <v>693996.7074999999</v>
      </c>
      <c r="DP302" s="121">
        <f t="shared" si="77"/>
        <v>693996.7074999999</v>
      </c>
      <c r="DQ302" s="121">
        <f t="shared" si="77"/>
        <v>693996.7074999999</v>
      </c>
      <c r="DR302" s="121">
        <f t="shared" si="77"/>
        <v>693996.7074999999</v>
      </c>
      <c r="DS302" s="121">
        <f t="shared" si="77"/>
        <v>693996.7074999999</v>
      </c>
      <c r="DT302" s="121">
        <f t="shared" si="77"/>
        <v>693996.7074999999</v>
      </c>
      <c r="DU302" s="122">
        <f t="shared" si="77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f>+FR303+FR304+FR305</f>
        <v>945137.55</v>
      </c>
      <c r="FS302" s="341">
        <f t="shared" ref="FS302:GC302" si="78">+FS303+FS304+FS305</f>
        <v>912063.00000000012</v>
      </c>
      <c r="FT302" s="341">
        <f t="shared" si="78"/>
        <v>901321.29</v>
      </c>
      <c r="FU302" s="341">
        <f t="shared" si="78"/>
        <v>900771.29</v>
      </c>
      <c r="FV302" s="341">
        <f t="shared" si="78"/>
        <v>900771.29</v>
      </c>
      <c r="FW302" s="341">
        <f t="shared" si="78"/>
        <v>900771.31</v>
      </c>
      <c r="FX302" s="341">
        <f t="shared" si="78"/>
        <v>905771.31000000017</v>
      </c>
      <c r="FY302" s="341">
        <f t="shared" si="78"/>
        <v>898771.30000000016</v>
      </c>
      <c r="FZ302" s="341">
        <f t="shared" si="78"/>
        <v>898756.30000000016</v>
      </c>
      <c r="GA302" s="341">
        <f t="shared" si="78"/>
        <v>895696.31000000017</v>
      </c>
      <c r="GB302" s="341">
        <f t="shared" si="78"/>
        <v>885862.9800000001</v>
      </c>
      <c r="GC302" s="341">
        <f t="shared" si="78"/>
        <v>885862.83</v>
      </c>
      <c r="GE302" s="447">
        <f t="shared" si="74"/>
        <v>10831556.760000002</v>
      </c>
    </row>
    <row r="303" spans="1:187">
      <c r="D303" s="72" t="str">
        <f t="shared" si="64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>
        <v>926150.55</v>
      </c>
      <c r="FS303" s="263">
        <v>888075.97000000009</v>
      </c>
      <c r="FT303" s="263">
        <v>882334.29</v>
      </c>
      <c r="FU303" s="263">
        <v>881784.29</v>
      </c>
      <c r="FV303" s="263">
        <v>881784.29</v>
      </c>
      <c r="FW303" s="263">
        <v>881784.29</v>
      </c>
      <c r="FX303" s="263">
        <v>882950.96000000008</v>
      </c>
      <c r="FY303" s="263">
        <v>880950.96000000008</v>
      </c>
      <c r="FZ303" s="263">
        <v>880935.96000000008</v>
      </c>
      <c r="GA303" s="263">
        <v>877875.97000000009</v>
      </c>
      <c r="GB303" s="263">
        <v>868042.64</v>
      </c>
      <c r="GC303" s="263">
        <v>868042.59</v>
      </c>
      <c r="GE303" s="448">
        <f t="shared" si="74"/>
        <v>10600712.760000002</v>
      </c>
    </row>
    <row r="304" spans="1:187">
      <c r="D304" s="72" t="str">
        <f t="shared" si="64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>
        <v>17030.330000000002</v>
      </c>
      <c r="FS304" s="263">
        <v>22030.36</v>
      </c>
      <c r="FT304" s="263">
        <v>17030.330000000002</v>
      </c>
      <c r="FU304" s="263">
        <v>17030.330000000002</v>
      </c>
      <c r="FV304" s="263">
        <v>17030.330000000002</v>
      </c>
      <c r="FW304" s="263">
        <v>17030.349999999999</v>
      </c>
      <c r="FX304" s="263">
        <v>20863.68</v>
      </c>
      <c r="FY304" s="263">
        <v>15863.67</v>
      </c>
      <c r="FZ304" s="263">
        <v>15863.67</v>
      </c>
      <c r="GA304" s="263">
        <v>15863.67</v>
      </c>
      <c r="GB304" s="263">
        <v>15863.67</v>
      </c>
      <c r="GC304" s="263">
        <v>15863.609999999999</v>
      </c>
      <c r="GE304" s="448">
        <f t="shared" si="74"/>
        <v>207364.00000000003</v>
      </c>
    </row>
    <row r="305" spans="1:187">
      <c r="D305" s="72" t="str">
        <f t="shared" si="64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>
        <v>1956.67</v>
      </c>
      <c r="FS305" s="263">
        <v>1956.67</v>
      </c>
      <c r="FT305" s="263">
        <v>1956.67</v>
      </c>
      <c r="FU305" s="263">
        <v>1956.67</v>
      </c>
      <c r="FV305" s="263">
        <v>1956.67</v>
      </c>
      <c r="FW305" s="263">
        <v>1956.67</v>
      </c>
      <c r="FX305" s="263">
        <v>1956.67</v>
      </c>
      <c r="FY305" s="263">
        <v>1956.67</v>
      </c>
      <c r="FZ305" s="263">
        <v>1956.67</v>
      </c>
      <c r="GA305" s="263">
        <v>1956.67</v>
      </c>
      <c r="GB305" s="263">
        <v>1956.67</v>
      </c>
      <c r="GC305" s="263">
        <v>1956.63</v>
      </c>
      <c r="GE305" s="448">
        <f t="shared" si="74"/>
        <v>23479.999999999996</v>
      </c>
    </row>
    <row r="306" spans="1:187" s="9" customFormat="1">
      <c r="A306" s="118"/>
      <c r="B306" s="118"/>
      <c r="C306" s="118">
        <v>418</v>
      </c>
      <c r="D306" s="118" t="str">
        <f t="shared" si="64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9">+SUM(CL307:CL309)</f>
        <v>1185833.3333333333</v>
      </c>
      <c r="CM306" s="121">
        <f t="shared" si="79"/>
        <v>1185833.3333333333</v>
      </c>
      <c r="CN306" s="121">
        <f t="shared" si="79"/>
        <v>1185833.3333333333</v>
      </c>
      <c r="CO306" s="121">
        <f t="shared" si="79"/>
        <v>1185833.3333333333</v>
      </c>
      <c r="CP306" s="121">
        <f t="shared" si="79"/>
        <v>1185833.3333333333</v>
      </c>
      <c r="CQ306" s="121">
        <f t="shared" si="79"/>
        <v>1185833.3333333333</v>
      </c>
      <c r="CR306" s="121">
        <f t="shared" si="79"/>
        <v>1185833.3333333333</v>
      </c>
      <c r="CS306" s="121">
        <f t="shared" si="79"/>
        <v>1185833.3333333333</v>
      </c>
      <c r="CT306" s="121">
        <f t="shared" si="79"/>
        <v>1185833.3333333333</v>
      </c>
      <c r="CU306" s="121">
        <f t="shared" si="79"/>
        <v>1185833.3333333333</v>
      </c>
      <c r="CV306" s="121">
        <f t="shared" si="79"/>
        <v>1185833.3333333333</v>
      </c>
      <c r="CW306" s="122">
        <f t="shared" si="79"/>
        <v>1185833.3333333333</v>
      </c>
      <c r="CX306" s="271">
        <f t="shared" si="79"/>
        <v>1572883.3333333333</v>
      </c>
      <c r="CY306" s="274">
        <f t="shared" ref="CY306:DI306" si="80">+SUM(CY307:CY309)</f>
        <v>1572883.3333333333</v>
      </c>
      <c r="CZ306" s="274">
        <f t="shared" si="80"/>
        <v>1572883.3333333333</v>
      </c>
      <c r="DA306" s="274">
        <f t="shared" si="80"/>
        <v>1572883.3333333333</v>
      </c>
      <c r="DB306" s="274">
        <f t="shared" si="80"/>
        <v>1572883.3333333333</v>
      </c>
      <c r="DC306" s="274">
        <f t="shared" si="80"/>
        <v>1572883.3333333333</v>
      </c>
      <c r="DD306" s="274">
        <f t="shared" si="80"/>
        <v>1572883.3333333333</v>
      </c>
      <c r="DE306" s="274">
        <f t="shared" si="80"/>
        <v>1572883.3333333333</v>
      </c>
      <c r="DF306" s="274">
        <f t="shared" si="80"/>
        <v>1572883.3333333333</v>
      </c>
      <c r="DG306" s="274">
        <f t="shared" si="80"/>
        <v>1572883.3333333333</v>
      </c>
      <c r="DH306" s="274">
        <f t="shared" si="80"/>
        <v>1572883.3333333333</v>
      </c>
      <c r="DI306" s="272">
        <f t="shared" si="80"/>
        <v>1572883.3333333333</v>
      </c>
      <c r="DJ306" s="120">
        <f>+SUM(DJ307:DJ309)</f>
        <v>1770966.6666666667</v>
      </c>
      <c r="DK306" s="121">
        <f t="shared" ref="DK306:DU306" si="81">+SUM(DK307:DK309)</f>
        <v>1770966.6666666667</v>
      </c>
      <c r="DL306" s="121">
        <f t="shared" si="81"/>
        <v>1770966.6666666667</v>
      </c>
      <c r="DM306" s="121">
        <f t="shared" si="81"/>
        <v>1770966.6666666667</v>
      </c>
      <c r="DN306" s="121">
        <f t="shared" si="81"/>
        <v>1770966.6666666667</v>
      </c>
      <c r="DO306" s="121">
        <f t="shared" si="81"/>
        <v>1770966.6666666667</v>
      </c>
      <c r="DP306" s="121">
        <f t="shared" si="81"/>
        <v>1770966.6666666667</v>
      </c>
      <c r="DQ306" s="121">
        <f t="shared" si="81"/>
        <v>1770966.6666666667</v>
      </c>
      <c r="DR306" s="121">
        <f t="shared" si="81"/>
        <v>1770966.6666666667</v>
      </c>
      <c r="DS306" s="121">
        <f t="shared" si="81"/>
        <v>1770966.6666666667</v>
      </c>
      <c r="DT306" s="121">
        <f t="shared" si="81"/>
        <v>1770966.6666666667</v>
      </c>
      <c r="DU306" s="122">
        <f t="shared" si="81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f>+FR307+FR308+FR309</f>
        <v>3622778.29</v>
      </c>
      <c r="FS306" s="341">
        <f t="shared" ref="FS306:GC306" si="82">+FS307+FS308+FS309</f>
        <v>3639444.95</v>
      </c>
      <c r="FT306" s="341">
        <f t="shared" si="82"/>
        <v>3925861.62</v>
      </c>
      <c r="FU306" s="341">
        <f t="shared" si="82"/>
        <v>3925861.62</v>
      </c>
      <c r="FV306" s="341">
        <f t="shared" si="82"/>
        <v>3672111.62</v>
      </c>
      <c r="FW306" s="341">
        <f t="shared" si="82"/>
        <v>3472111.62</v>
      </c>
      <c r="FX306" s="341">
        <f t="shared" si="82"/>
        <v>3355444.96</v>
      </c>
      <c r="FY306" s="341">
        <f t="shared" si="82"/>
        <v>3355444.96</v>
      </c>
      <c r="FZ306" s="341">
        <f t="shared" si="82"/>
        <v>3455444.97</v>
      </c>
      <c r="GA306" s="341">
        <f t="shared" si="82"/>
        <v>3555444.97</v>
      </c>
      <c r="GB306" s="341">
        <f t="shared" si="82"/>
        <v>3455444.97</v>
      </c>
      <c r="GC306" s="341">
        <f t="shared" si="82"/>
        <v>3307944.98</v>
      </c>
      <c r="GE306" s="447">
        <f t="shared" si="74"/>
        <v>42743339.530000001</v>
      </c>
    </row>
    <row r="307" spans="1:187" ht="30">
      <c r="D307" s="72" t="str">
        <f t="shared" si="64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>
        <v>3622778.29</v>
      </c>
      <c r="FS307" s="263">
        <v>3639444.95</v>
      </c>
      <c r="FT307" s="263">
        <v>3925861.62</v>
      </c>
      <c r="FU307" s="263">
        <v>3925861.62</v>
      </c>
      <c r="FV307" s="263">
        <v>3672111.62</v>
      </c>
      <c r="FW307" s="263">
        <v>3472111.62</v>
      </c>
      <c r="FX307" s="263">
        <v>3355444.96</v>
      </c>
      <c r="FY307" s="263">
        <v>3355444.96</v>
      </c>
      <c r="FZ307" s="263">
        <v>3455444.97</v>
      </c>
      <c r="GA307" s="263">
        <v>3555444.97</v>
      </c>
      <c r="GB307" s="263">
        <v>3455444.97</v>
      </c>
      <c r="GC307" s="263">
        <v>3307944.98</v>
      </c>
      <c r="GE307" s="448">
        <f>SUM(FQ307:GD307)</f>
        <v>42743339.530000001</v>
      </c>
    </row>
    <row r="308" spans="1:187">
      <c r="D308" s="72" t="str">
        <f t="shared" si="64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8">
        <f t="shared" ref="GE308:GE309" si="83">SUM(FQ308:GD308)</f>
        <v>0</v>
      </c>
    </row>
    <row r="309" spans="1:187">
      <c r="D309" s="72" t="str">
        <f t="shared" si="64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8">
        <f t="shared" si="83"/>
        <v>0</v>
      </c>
    </row>
    <row r="310" spans="1:187" s="9" customFormat="1">
      <c r="A310" s="118"/>
      <c r="B310" s="118"/>
      <c r="C310" s="118">
        <v>419</v>
      </c>
      <c r="D310" s="118" t="str">
        <f t="shared" si="64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4">+SUM(CL311:CL319)</f>
        <v>2119159.9008333334</v>
      </c>
      <c r="CM310" s="121">
        <f t="shared" si="84"/>
        <v>2119159.9008333334</v>
      </c>
      <c r="CN310" s="121">
        <f t="shared" si="84"/>
        <v>2119159.9008333334</v>
      </c>
      <c r="CO310" s="121">
        <f t="shared" si="84"/>
        <v>2119159.9008333334</v>
      </c>
      <c r="CP310" s="121">
        <f t="shared" si="84"/>
        <v>2119159.9008333334</v>
      </c>
      <c r="CQ310" s="121">
        <f t="shared" si="84"/>
        <v>2119159.9008333334</v>
      </c>
      <c r="CR310" s="121">
        <f t="shared" si="84"/>
        <v>2119159.9008333334</v>
      </c>
      <c r="CS310" s="121">
        <f t="shared" si="84"/>
        <v>2119159.9008333334</v>
      </c>
      <c r="CT310" s="121">
        <f t="shared" si="84"/>
        <v>2119159.9008333334</v>
      </c>
      <c r="CU310" s="121">
        <f t="shared" si="84"/>
        <v>2119159.9008333334</v>
      </c>
      <c r="CV310" s="121">
        <f t="shared" si="84"/>
        <v>2119159.9008333334</v>
      </c>
      <c r="CW310" s="122">
        <f t="shared" si="84"/>
        <v>2119159.9008333334</v>
      </c>
      <c r="CX310" s="271">
        <f t="shared" si="84"/>
        <v>2186482.9354613866</v>
      </c>
      <c r="CY310" s="274">
        <f t="shared" ref="CY310:DI310" si="85">+SUM(CY311:CY319)</f>
        <v>2186482.9354613866</v>
      </c>
      <c r="CZ310" s="274">
        <f t="shared" si="85"/>
        <v>2186482.9354613866</v>
      </c>
      <c r="DA310" s="274">
        <f t="shared" si="85"/>
        <v>2186482.9354613866</v>
      </c>
      <c r="DB310" s="274">
        <f t="shared" si="85"/>
        <v>2186482.9354613866</v>
      </c>
      <c r="DC310" s="274">
        <f t="shared" si="85"/>
        <v>2186482.9354613866</v>
      </c>
      <c r="DD310" s="274">
        <f t="shared" si="85"/>
        <v>2186482.9354613866</v>
      </c>
      <c r="DE310" s="274">
        <f t="shared" si="85"/>
        <v>2186482.9354613866</v>
      </c>
      <c r="DF310" s="274">
        <f t="shared" si="85"/>
        <v>2186482.9354613866</v>
      </c>
      <c r="DG310" s="274">
        <f t="shared" si="85"/>
        <v>2186482.9354613866</v>
      </c>
      <c r="DH310" s="274">
        <f t="shared" si="85"/>
        <v>2186482.9354613866</v>
      </c>
      <c r="DI310" s="272">
        <f t="shared" si="85"/>
        <v>2186482.9354613866</v>
      </c>
      <c r="DJ310" s="120">
        <f>+SUM(DJ311:DJ319)</f>
        <v>2491662.8099999996</v>
      </c>
      <c r="DK310" s="121">
        <f t="shared" ref="DK310:DU310" si="86">+SUM(DK311:DK319)</f>
        <v>2491662.8099999996</v>
      </c>
      <c r="DL310" s="121">
        <f t="shared" si="86"/>
        <v>2491662.8099999996</v>
      </c>
      <c r="DM310" s="121">
        <f t="shared" si="86"/>
        <v>2491662.8099999996</v>
      </c>
      <c r="DN310" s="121">
        <f t="shared" si="86"/>
        <v>2491662.8099999996</v>
      </c>
      <c r="DO310" s="121">
        <f t="shared" si="86"/>
        <v>2491662.8099999996</v>
      </c>
      <c r="DP310" s="121">
        <f t="shared" si="86"/>
        <v>2491662.8099999996</v>
      </c>
      <c r="DQ310" s="121">
        <f t="shared" si="86"/>
        <v>2491662.8099999996</v>
      </c>
      <c r="DR310" s="121">
        <f t="shared" si="86"/>
        <v>2491662.8099999996</v>
      </c>
      <c r="DS310" s="121">
        <f t="shared" si="86"/>
        <v>2491662.8099999996</v>
      </c>
      <c r="DT310" s="121">
        <f t="shared" si="86"/>
        <v>2491662.8099999996</v>
      </c>
      <c r="DU310" s="122">
        <f t="shared" si="86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f>SUM(FR311:FR319)</f>
        <v>4115577.13</v>
      </c>
      <c r="FS310" s="341">
        <f t="shared" ref="FS310:GC310" si="87">SUM(FS311:FS319)</f>
        <v>6792053.1799999997</v>
      </c>
      <c r="FT310" s="341">
        <f t="shared" si="87"/>
        <v>6197274.4199999999</v>
      </c>
      <c r="FU310" s="341">
        <f t="shared" si="87"/>
        <v>3825280.2199999997</v>
      </c>
      <c r="FV310" s="341">
        <f t="shared" si="87"/>
        <v>3602760.09</v>
      </c>
      <c r="FW310" s="341">
        <f t="shared" si="87"/>
        <v>4810145.05</v>
      </c>
      <c r="FX310" s="341">
        <f t="shared" si="87"/>
        <v>4825002.3</v>
      </c>
      <c r="FY310" s="341">
        <f t="shared" si="87"/>
        <v>4773959.99</v>
      </c>
      <c r="FZ310" s="341">
        <f t="shared" si="87"/>
        <v>3796779.7399999998</v>
      </c>
      <c r="GA310" s="341">
        <f t="shared" si="87"/>
        <v>3630044.6599999997</v>
      </c>
      <c r="GB310" s="341">
        <f t="shared" si="87"/>
        <v>3523906.6199999996</v>
      </c>
      <c r="GC310" s="341">
        <f t="shared" si="87"/>
        <v>3649227.88</v>
      </c>
      <c r="GE310" s="447">
        <f>SUM(FR310:GD310)</f>
        <v>53542011.279999994</v>
      </c>
    </row>
    <row r="311" spans="1:187" ht="30">
      <c r="D311" s="72" t="str">
        <f t="shared" si="64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>
        <v>779328.4</v>
      </c>
      <c r="FS311" s="263">
        <v>755570.03</v>
      </c>
      <c r="FT311" s="263">
        <v>739459.25</v>
      </c>
      <c r="FU311" s="263">
        <v>737847.94</v>
      </c>
      <c r="FV311" s="263">
        <v>727786.93</v>
      </c>
      <c r="FW311" s="263">
        <v>745848.94</v>
      </c>
      <c r="FX311" s="263">
        <v>707351.25</v>
      </c>
      <c r="FY311" s="263">
        <v>695717.91</v>
      </c>
      <c r="FZ311" s="263">
        <v>684317.15</v>
      </c>
      <c r="GA311" s="263">
        <v>678383.82</v>
      </c>
      <c r="GB311" s="263">
        <v>675483.82</v>
      </c>
      <c r="GC311" s="263">
        <v>670600.57000000007</v>
      </c>
      <c r="GE311" s="448">
        <f>SUM(FR311:GD311)</f>
        <v>8597696.0100000016</v>
      </c>
    </row>
    <row r="312" spans="1:187" ht="30">
      <c r="D312" s="72" t="str">
        <f t="shared" si="64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>
        <v>165803.92000000001</v>
      </c>
      <c r="FS312" s="263">
        <v>166315.25</v>
      </c>
      <c r="FT312" s="263">
        <v>166205.25</v>
      </c>
      <c r="FU312" s="263">
        <v>165585.26</v>
      </c>
      <c r="FV312" s="263">
        <v>165585.26</v>
      </c>
      <c r="FW312" s="263">
        <v>165385.25</v>
      </c>
      <c r="FX312" s="263">
        <v>166718.59000000003</v>
      </c>
      <c r="FY312" s="263">
        <v>166218.59000000003</v>
      </c>
      <c r="FZ312" s="263">
        <v>165718.59000000003</v>
      </c>
      <c r="GA312" s="263">
        <v>165718.59000000003</v>
      </c>
      <c r="GB312" s="263">
        <v>165718.59000000003</v>
      </c>
      <c r="GC312" s="263">
        <v>165651.86000000002</v>
      </c>
      <c r="GE312" s="448">
        <f t="shared" ref="GE312:GE319" si="88">SUM(FR312:GD312)</f>
        <v>1990625.0000000005</v>
      </c>
    </row>
    <row r="313" spans="1:187">
      <c r="D313" s="72" t="str">
        <f t="shared" si="64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>
        <v>1186988.97</v>
      </c>
      <c r="FS313" s="263">
        <v>2522586.62</v>
      </c>
      <c r="FT313" s="263">
        <v>3411934.79</v>
      </c>
      <c r="FU313" s="263">
        <v>1189901.46</v>
      </c>
      <c r="FV313" s="263">
        <v>1154901.46</v>
      </c>
      <c r="FW313" s="263">
        <v>2397401.46</v>
      </c>
      <c r="FX313" s="263">
        <v>1384842.41</v>
      </c>
      <c r="FY313" s="263">
        <v>2209241.08</v>
      </c>
      <c r="FZ313" s="263">
        <v>1217363</v>
      </c>
      <c r="GA313" s="263">
        <v>1201464.6299999999</v>
      </c>
      <c r="GB313" s="263">
        <v>1191284.6599999999</v>
      </c>
      <c r="GC313" s="263">
        <v>1329088.8099999998</v>
      </c>
      <c r="GE313" s="448">
        <f t="shared" si="88"/>
        <v>20396999.350000001</v>
      </c>
    </row>
    <row r="314" spans="1:187">
      <c r="D314" s="72" t="str">
        <f t="shared" si="64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>
        <v>252426.77</v>
      </c>
      <c r="FS314" s="263">
        <v>253164.81999999998</v>
      </c>
      <c r="FT314" s="263">
        <v>252213.15</v>
      </c>
      <c r="FU314" s="263">
        <v>252213.15</v>
      </c>
      <c r="FV314" s="263">
        <v>252213.15</v>
      </c>
      <c r="FW314" s="263">
        <v>252213.15</v>
      </c>
      <c r="FX314" s="263">
        <v>252768.15</v>
      </c>
      <c r="FY314" s="263">
        <v>253968.18</v>
      </c>
      <c r="FZ314" s="263">
        <v>252113.38999999998</v>
      </c>
      <c r="GA314" s="263">
        <v>252113.38999999998</v>
      </c>
      <c r="GB314" s="263">
        <v>231113.4</v>
      </c>
      <c r="GC314" s="263">
        <v>231700.1</v>
      </c>
      <c r="GE314" s="448">
        <f t="shared" si="88"/>
        <v>2988220.8</v>
      </c>
    </row>
    <row r="315" spans="1:187" ht="45">
      <c r="D315" s="72" t="str">
        <f t="shared" si="64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>
        <v>717129.61</v>
      </c>
      <c r="FS315" s="263">
        <v>1586519.65</v>
      </c>
      <c r="FT315" s="263">
        <v>598078.84</v>
      </c>
      <c r="FU315" s="263">
        <v>333370.27</v>
      </c>
      <c r="FV315" s="263">
        <v>273071.19</v>
      </c>
      <c r="FW315" s="263">
        <v>225807.59999999998</v>
      </c>
      <c r="FX315" s="263">
        <v>1207314.1100000001</v>
      </c>
      <c r="FY315" s="263">
        <v>372758.44</v>
      </c>
      <c r="FZ315" s="263">
        <v>371807.84</v>
      </c>
      <c r="GA315" s="263">
        <v>251808.46</v>
      </c>
      <c r="GB315" s="263">
        <v>190750.37999999998</v>
      </c>
      <c r="GC315" s="263">
        <v>190552.02</v>
      </c>
      <c r="GE315" s="448">
        <f t="shared" si="88"/>
        <v>6318968.4099999992</v>
      </c>
    </row>
    <row r="316" spans="1:187">
      <c r="D316" s="72" t="str">
        <f t="shared" si="64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>
        <v>211927.38</v>
      </c>
      <c r="FS316" s="263">
        <v>593108.38</v>
      </c>
      <c r="FT316" s="263">
        <v>249321.38</v>
      </c>
      <c r="FU316" s="263">
        <v>367300.38</v>
      </c>
      <c r="FV316" s="263">
        <v>250586.38</v>
      </c>
      <c r="FW316" s="263">
        <v>245038.38</v>
      </c>
      <c r="FX316" s="263">
        <v>303060.38</v>
      </c>
      <c r="FY316" s="263">
        <v>309608.38</v>
      </c>
      <c r="FZ316" s="263">
        <v>339012.37</v>
      </c>
      <c r="GA316" s="263">
        <v>314108.37</v>
      </c>
      <c r="GB316" s="263">
        <v>303108.37</v>
      </c>
      <c r="GC316" s="263">
        <v>296120.40999999997</v>
      </c>
      <c r="GE316" s="448">
        <f t="shared" si="88"/>
        <v>3782300.56</v>
      </c>
    </row>
    <row r="317" spans="1:187">
      <c r="D317" s="72" t="str">
        <f t="shared" si="64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>
        <v>150.08000000000001</v>
      </c>
      <c r="FS317" s="263">
        <v>108.42</v>
      </c>
      <c r="FT317" s="263">
        <v>108.42</v>
      </c>
      <c r="FU317" s="263">
        <v>108.42</v>
      </c>
      <c r="FV317" s="263">
        <v>108.42</v>
      </c>
      <c r="FW317" s="263">
        <v>108.42</v>
      </c>
      <c r="FX317" s="263">
        <v>184.8</v>
      </c>
      <c r="FY317" s="263">
        <v>184.8</v>
      </c>
      <c r="FZ317" s="263">
        <v>184.8</v>
      </c>
      <c r="GA317" s="263">
        <v>184.8</v>
      </c>
      <c r="GB317" s="263">
        <v>184.8</v>
      </c>
      <c r="GC317" s="263">
        <v>184.82000000000002</v>
      </c>
      <c r="GE317" s="448">
        <f t="shared" si="88"/>
        <v>1800.9999999999998</v>
      </c>
    </row>
    <row r="318" spans="1:187">
      <c r="D318" s="72" t="str">
        <f t="shared" si="64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>
        <v>2620</v>
      </c>
      <c r="FS318" s="263">
        <v>2620</v>
      </c>
      <c r="FT318" s="263">
        <v>2620</v>
      </c>
      <c r="FU318" s="263">
        <v>2620</v>
      </c>
      <c r="FV318" s="263">
        <v>2620</v>
      </c>
      <c r="FW318" s="263">
        <v>2620</v>
      </c>
      <c r="FX318" s="263">
        <v>37620</v>
      </c>
      <c r="FY318" s="263">
        <v>2620</v>
      </c>
      <c r="FZ318" s="263">
        <v>2620</v>
      </c>
      <c r="GA318" s="263">
        <v>2620</v>
      </c>
      <c r="GB318" s="263">
        <v>2620</v>
      </c>
      <c r="GC318" s="263">
        <v>2620</v>
      </c>
      <c r="GE318" s="448">
        <f t="shared" si="88"/>
        <v>66440</v>
      </c>
    </row>
    <row r="319" spans="1:187">
      <c r="D319" s="72" t="str">
        <f t="shared" si="64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>
        <v>799202</v>
      </c>
      <c r="FS319" s="263">
        <v>912060.01</v>
      </c>
      <c r="FT319" s="263">
        <v>777333.34000000008</v>
      </c>
      <c r="FU319" s="263">
        <v>776333.34000000008</v>
      </c>
      <c r="FV319" s="263">
        <v>775887.3</v>
      </c>
      <c r="FW319" s="263">
        <v>775721.85</v>
      </c>
      <c r="FX319" s="263">
        <v>765142.61</v>
      </c>
      <c r="FY319" s="263">
        <v>763642.61</v>
      </c>
      <c r="FZ319" s="263">
        <v>763642.6</v>
      </c>
      <c r="GA319" s="263">
        <v>763642.6</v>
      </c>
      <c r="GB319" s="263">
        <v>763642.6</v>
      </c>
      <c r="GC319" s="263">
        <v>762709.29</v>
      </c>
      <c r="GE319" s="448">
        <f t="shared" si="88"/>
        <v>9398960.1499999985</v>
      </c>
    </row>
    <row r="320" spans="1:187" s="9" customFormat="1">
      <c r="A320" s="118"/>
      <c r="B320" s="118">
        <v>42</v>
      </c>
      <c r="C320" s="118" t="s">
        <v>94</v>
      </c>
      <c r="D320" s="118" t="str">
        <f t="shared" si="64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9">+CL321+CL330+CL336+CL344+CL346</f>
        <v>41489393.925000004</v>
      </c>
      <c r="CM320" s="121">
        <f t="shared" si="89"/>
        <v>41489393.925000004</v>
      </c>
      <c r="CN320" s="121">
        <f t="shared" si="89"/>
        <v>41489393.925000004</v>
      </c>
      <c r="CO320" s="121">
        <f t="shared" si="89"/>
        <v>41489393.925000004</v>
      </c>
      <c r="CP320" s="121">
        <f t="shared" si="89"/>
        <v>41489393.925000004</v>
      </c>
      <c r="CQ320" s="121">
        <f t="shared" si="89"/>
        <v>41489393.925000004</v>
      </c>
      <c r="CR320" s="121">
        <f t="shared" si="89"/>
        <v>41489393.925000004</v>
      </c>
      <c r="CS320" s="121">
        <f t="shared" si="89"/>
        <v>41489393.925000004</v>
      </c>
      <c r="CT320" s="121">
        <f t="shared" si="89"/>
        <v>41489393.925000004</v>
      </c>
      <c r="CU320" s="121">
        <f t="shared" si="89"/>
        <v>41489393.925000004</v>
      </c>
      <c r="CV320" s="121">
        <f t="shared" si="89"/>
        <v>41489393.925000004</v>
      </c>
      <c r="CW320" s="122">
        <f t="shared" si="89"/>
        <v>41489393.925000004</v>
      </c>
      <c r="CX320" s="271">
        <f t="shared" si="89"/>
        <v>41226949.914166674</v>
      </c>
      <c r="CY320" s="274">
        <f t="shared" si="89"/>
        <v>41226949.914166674</v>
      </c>
      <c r="CZ320" s="274">
        <f t="shared" si="89"/>
        <v>41226949.914166674</v>
      </c>
      <c r="DA320" s="274">
        <f t="shared" si="89"/>
        <v>41226949.914166674</v>
      </c>
      <c r="DB320" s="274">
        <f t="shared" si="89"/>
        <v>41226949.914166674</v>
      </c>
      <c r="DC320" s="274">
        <f t="shared" si="89"/>
        <v>41226949.914166674</v>
      </c>
      <c r="DD320" s="274">
        <f t="shared" si="89"/>
        <v>41226949.914166674</v>
      </c>
      <c r="DE320" s="274">
        <f t="shared" si="89"/>
        <v>41226949.914166674</v>
      </c>
      <c r="DF320" s="274">
        <f t="shared" si="89"/>
        <v>41226949.914166674</v>
      </c>
      <c r="DG320" s="274">
        <f t="shared" si="89"/>
        <v>41226949.914166674</v>
      </c>
      <c r="DH320" s="274">
        <f t="shared" si="89"/>
        <v>41226949.914166674</v>
      </c>
      <c r="DI320" s="272">
        <f t="shared" si="89"/>
        <v>41226949.914166674</v>
      </c>
      <c r="DJ320" s="120">
        <f t="shared" si="89"/>
        <v>42070460.416666664</v>
      </c>
      <c r="DK320" s="121">
        <f t="shared" si="89"/>
        <v>42070460.416666664</v>
      </c>
      <c r="DL320" s="121">
        <f t="shared" si="89"/>
        <v>42070460.416666664</v>
      </c>
      <c r="DM320" s="121">
        <f t="shared" si="89"/>
        <v>42070460.416666664</v>
      </c>
      <c r="DN320" s="121">
        <f t="shared" si="89"/>
        <v>42070460.416666664</v>
      </c>
      <c r="DO320" s="121">
        <f t="shared" si="89"/>
        <v>42070460.416666664</v>
      </c>
      <c r="DP320" s="121">
        <f t="shared" si="89"/>
        <v>42070460.416666664</v>
      </c>
      <c r="DQ320" s="121">
        <f t="shared" si="89"/>
        <v>42070460.416666664</v>
      </c>
      <c r="DR320" s="121">
        <f t="shared" si="89"/>
        <v>42070460.416666664</v>
      </c>
      <c r="DS320" s="121">
        <f t="shared" si="89"/>
        <v>42070460.416666664</v>
      </c>
      <c r="DT320" s="121">
        <f t="shared" si="89"/>
        <v>42070460.416666664</v>
      </c>
      <c r="DU320" s="122">
        <f t="shared" si="89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f>+FR321+FR330+FR336+FR344+FR346</f>
        <v>47723189.039999999</v>
      </c>
      <c r="FS320" s="341">
        <f t="shared" ref="FS320:GC320" si="90">+FS321+FS330+FS336+FS344+FS346</f>
        <v>48997792.730000004</v>
      </c>
      <c r="FT320" s="341">
        <f t="shared" si="90"/>
        <v>48715192.849999994</v>
      </c>
      <c r="FU320" s="341">
        <f t="shared" si="90"/>
        <v>48715192.829999998</v>
      </c>
      <c r="FV320" s="341">
        <f t="shared" si="90"/>
        <v>48715192.829999998</v>
      </c>
      <c r="FW320" s="341">
        <f t="shared" si="90"/>
        <v>48715192.82</v>
      </c>
      <c r="FX320" s="341">
        <f t="shared" si="90"/>
        <v>48715192.829999998</v>
      </c>
      <c r="FY320" s="341">
        <f t="shared" si="90"/>
        <v>48715192.840000004</v>
      </c>
      <c r="FZ320" s="341">
        <f t="shared" si="90"/>
        <v>48715192.840000004</v>
      </c>
      <c r="GA320" s="341">
        <f t="shared" si="90"/>
        <v>46644429.549999997</v>
      </c>
      <c r="GB320" s="341">
        <f t="shared" si="90"/>
        <v>46644429.880000003</v>
      </c>
      <c r="GC320" s="341">
        <f t="shared" si="90"/>
        <v>46644429.670000009</v>
      </c>
      <c r="GE320" s="447">
        <f>SUM(FR320:GD320)</f>
        <v>577660620.71000004</v>
      </c>
    </row>
    <row r="321" spans="1:187" s="9" customFormat="1">
      <c r="A321" s="118"/>
      <c r="B321" s="118"/>
      <c r="C321" s="118">
        <v>421</v>
      </c>
      <c r="D321" s="118" t="str">
        <f t="shared" si="64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91">+SUM(CL322:CL328)</f>
        <v>5084083.333333333</v>
      </c>
      <c r="CM321" s="121">
        <f t="shared" si="91"/>
        <v>5084083.333333333</v>
      </c>
      <c r="CN321" s="121">
        <f t="shared" si="91"/>
        <v>5084083.333333333</v>
      </c>
      <c r="CO321" s="121">
        <f t="shared" si="91"/>
        <v>5084083.333333333</v>
      </c>
      <c r="CP321" s="121">
        <f t="shared" si="91"/>
        <v>5084083.333333333</v>
      </c>
      <c r="CQ321" s="121">
        <f t="shared" si="91"/>
        <v>5084083.333333333</v>
      </c>
      <c r="CR321" s="121">
        <f t="shared" si="91"/>
        <v>5084083.333333333</v>
      </c>
      <c r="CS321" s="121">
        <f t="shared" si="91"/>
        <v>5084083.333333333</v>
      </c>
      <c r="CT321" s="121">
        <f t="shared" si="91"/>
        <v>5084083.333333333</v>
      </c>
      <c r="CU321" s="121">
        <f t="shared" si="91"/>
        <v>5084083.333333333</v>
      </c>
      <c r="CV321" s="121">
        <f t="shared" si="91"/>
        <v>5084083.333333333</v>
      </c>
      <c r="CW321" s="122">
        <f t="shared" si="91"/>
        <v>5084083.333333333</v>
      </c>
      <c r="CX321" s="271">
        <f t="shared" si="91"/>
        <v>4887083.333333333</v>
      </c>
      <c r="CY321" s="274">
        <f t="shared" ref="CY321:DI321" si="92">+SUM(CY322:CY328)</f>
        <v>4887083.333333333</v>
      </c>
      <c r="CZ321" s="274">
        <f t="shared" si="92"/>
        <v>4887083.333333333</v>
      </c>
      <c r="DA321" s="274">
        <f t="shared" si="92"/>
        <v>4887083.333333333</v>
      </c>
      <c r="DB321" s="274">
        <f t="shared" si="92"/>
        <v>4887083.333333333</v>
      </c>
      <c r="DC321" s="274">
        <f t="shared" si="92"/>
        <v>4887083.333333333</v>
      </c>
      <c r="DD321" s="274">
        <f t="shared" si="92"/>
        <v>4887083.333333333</v>
      </c>
      <c r="DE321" s="274">
        <f t="shared" si="92"/>
        <v>4887083.333333333</v>
      </c>
      <c r="DF321" s="274">
        <f t="shared" si="92"/>
        <v>4887083.333333333</v>
      </c>
      <c r="DG321" s="274">
        <f t="shared" si="92"/>
        <v>4887083.333333333</v>
      </c>
      <c r="DH321" s="274">
        <f t="shared" si="92"/>
        <v>4887083.333333333</v>
      </c>
      <c r="DI321" s="272">
        <f t="shared" si="92"/>
        <v>4887083.333333333</v>
      </c>
      <c r="DJ321" s="120">
        <f>+SUM(DJ322:DJ328)</f>
        <v>5044218.75</v>
      </c>
      <c r="DK321" s="121">
        <f t="shared" ref="DK321:DU321" si="93">+SUM(DK322:DK328)</f>
        <v>5044218.75</v>
      </c>
      <c r="DL321" s="121">
        <f t="shared" si="93"/>
        <v>5044218.75</v>
      </c>
      <c r="DM321" s="121">
        <f t="shared" si="93"/>
        <v>5044218.75</v>
      </c>
      <c r="DN321" s="121">
        <f t="shared" si="93"/>
        <v>5044218.75</v>
      </c>
      <c r="DO321" s="121">
        <f t="shared" si="93"/>
        <v>5044218.75</v>
      </c>
      <c r="DP321" s="121">
        <f t="shared" si="93"/>
        <v>5044218.75</v>
      </c>
      <c r="DQ321" s="121">
        <f t="shared" si="93"/>
        <v>5044218.75</v>
      </c>
      <c r="DR321" s="121">
        <f t="shared" si="93"/>
        <v>5044218.75</v>
      </c>
      <c r="DS321" s="121">
        <f t="shared" si="93"/>
        <v>5044218.75</v>
      </c>
      <c r="DT321" s="121">
        <f t="shared" si="93"/>
        <v>5044218.75</v>
      </c>
      <c r="DU321" s="122">
        <f t="shared" si="93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f>SUM(FR322:FR329)</f>
        <v>6449804</v>
      </c>
      <c r="FS321" s="341">
        <f t="shared" ref="FS321:GC321" si="94">SUM(FS322:FS329)</f>
        <v>7724407.6900000004</v>
      </c>
      <c r="FT321" s="341">
        <f t="shared" si="94"/>
        <v>7441807.8099999996</v>
      </c>
      <c r="FU321" s="341">
        <f t="shared" si="94"/>
        <v>7441807.79</v>
      </c>
      <c r="FV321" s="341">
        <f t="shared" si="94"/>
        <v>7441807.79</v>
      </c>
      <c r="FW321" s="341">
        <f t="shared" si="94"/>
        <v>7441807.7800000003</v>
      </c>
      <c r="FX321" s="341">
        <f t="shared" si="94"/>
        <v>7441807.79</v>
      </c>
      <c r="FY321" s="341">
        <f t="shared" si="94"/>
        <v>7441807.7999999998</v>
      </c>
      <c r="FZ321" s="341">
        <f t="shared" si="94"/>
        <v>7441807.7999999998</v>
      </c>
      <c r="GA321" s="341">
        <f t="shared" si="94"/>
        <v>5371044.5099999998</v>
      </c>
      <c r="GB321" s="341">
        <f t="shared" si="94"/>
        <v>5371044.8400000008</v>
      </c>
      <c r="GC321" s="341">
        <f t="shared" si="94"/>
        <v>5371044.4000000004</v>
      </c>
      <c r="GE321" s="447">
        <f>SUM(FR321:GD321)</f>
        <v>82380000</v>
      </c>
    </row>
    <row r="322" spans="1:187">
      <c r="C322" s="72" t="s">
        <v>94</v>
      </c>
      <c r="D322" s="72" t="str">
        <f t="shared" ref="D322:D328" si="95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>
        <v>371855.94</v>
      </c>
      <c r="FS322" s="263">
        <v>427634.34</v>
      </c>
      <c r="FT322" s="263">
        <v>427634.34</v>
      </c>
      <c r="FU322" s="263">
        <v>427634.34</v>
      </c>
      <c r="FV322" s="263">
        <v>427634.34</v>
      </c>
      <c r="FW322" s="263">
        <v>427634.33</v>
      </c>
      <c r="FX322" s="263">
        <v>427634.34</v>
      </c>
      <c r="FY322" s="263">
        <v>427634.35</v>
      </c>
      <c r="FZ322" s="263">
        <v>427634.35</v>
      </c>
      <c r="GA322" s="263">
        <v>502356.35</v>
      </c>
      <c r="GB322" s="263">
        <v>502356.67</v>
      </c>
      <c r="GC322" s="263">
        <v>502356.31</v>
      </c>
      <c r="GE322" s="448">
        <f>SUM(FR322:GD322)</f>
        <v>5300000</v>
      </c>
    </row>
    <row r="323" spans="1:187">
      <c r="D323" s="72" t="str">
        <f t="shared" si="95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>
        <v>451972.07</v>
      </c>
      <c r="FS323" s="263">
        <v>474570.67</v>
      </c>
      <c r="FT323" s="263">
        <v>474570.67</v>
      </c>
      <c r="FU323" s="263">
        <v>474570.67</v>
      </c>
      <c r="FV323" s="263">
        <v>474570.67</v>
      </c>
      <c r="FW323" s="263">
        <v>474570.67</v>
      </c>
      <c r="FX323" s="263">
        <v>474570.67</v>
      </c>
      <c r="FY323" s="263">
        <v>474570.67</v>
      </c>
      <c r="FZ323" s="263">
        <v>474570.67</v>
      </c>
      <c r="GA323" s="263">
        <v>383820.86</v>
      </c>
      <c r="GB323" s="263">
        <v>383820.86</v>
      </c>
      <c r="GC323" s="263">
        <v>383820.85</v>
      </c>
      <c r="GE323" s="448">
        <f t="shared" ref="GE323:GE328" si="96">SUM(FR323:GD323)</f>
        <v>5400000</v>
      </c>
    </row>
    <row r="324" spans="1:187" ht="30">
      <c r="D324" s="72" t="str">
        <f t="shared" si="95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>
        <v>1090958.8600000001</v>
      </c>
      <c r="FS324" s="263">
        <v>1254602.7</v>
      </c>
      <c r="FT324" s="263">
        <v>1254602.7</v>
      </c>
      <c r="FU324" s="263">
        <v>1254602.69</v>
      </c>
      <c r="FV324" s="263">
        <v>1254602.69</v>
      </c>
      <c r="FW324" s="263">
        <v>1254602.69</v>
      </c>
      <c r="FX324" s="263">
        <v>1254602.69</v>
      </c>
      <c r="FY324" s="263">
        <v>1254602.69</v>
      </c>
      <c r="FZ324" s="263">
        <v>1254602.69</v>
      </c>
      <c r="GA324" s="263">
        <v>1457406.55</v>
      </c>
      <c r="GB324" s="263">
        <v>1457406.54</v>
      </c>
      <c r="GC324" s="263">
        <v>1457406.51</v>
      </c>
      <c r="GE324" s="448">
        <f t="shared" si="96"/>
        <v>15499999.999999998</v>
      </c>
    </row>
    <row r="325" spans="1:187">
      <c r="D325" s="72" t="str">
        <f t="shared" si="95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>
        <v>1227671.6000000001</v>
      </c>
      <c r="FS325" s="263">
        <v>1668731.32</v>
      </c>
      <c r="FT325" s="263">
        <v>1386131.44</v>
      </c>
      <c r="FU325" s="263">
        <v>1386131.44</v>
      </c>
      <c r="FV325" s="263">
        <v>1386131.44</v>
      </c>
      <c r="FW325" s="263">
        <v>1386131.44</v>
      </c>
      <c r="FX325" s="263">
        <v>1386131.44</v>
      </c>
      <c r="FY325" s="263">
        <v>1386131.44</v>
      </c>
      <c r="FZ325" s="263">
        <v>1386131.44</v>
      </c>
      <c r="GA325" s="263">
        <v>1333558.97</v>
      </c>
      <c r="GB325" s="263">
        <v>1333559</v>
      </c>
      <c r="GC325" s="263">
        <v>1333559.03</v>
      </c>
      <c r="GE325" s="448">
        <f t="shared" si="96"/>
        <v>16599999.999999996</v>
      </c>
    </row>
    <row r="326" spans="1:187">
      <c r="D326" s="72" t="str">
        <f t="shared" si="95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>
        <v>2251588.63</v>
      </c>
      <c r="FS326" s="263">
        <v>2589326.9300000002</v>
      </c>
      <c r="FT326" s="263">
        <v>2589326.9300000002</v>
      </c>
      <c r="FU326" s="263">
        <v>2589326.9300000002</v>
      </c>
      <c r="FV326" s="263">
        <v>2589326.9300000002</v>
      </c>
      <c r="FW326" s="263">
        <v>2589326.9300000002</v>
      </c>
      <c r="FX326" s="263">
        <v>2589326.9300000002</v>
      </c>
      <c r="FY326" s="263">
        <v>2589326.9300000002</v>
      </c>
      <c r="FZ326" s="263">
        <v>2589326.9300000002</v>
      </c>
      <c r="GA326" s="263">
        <v>731265.32</v>
      </c>
      <c r="GB326" s="263">
        <v>731265.32</v>
      </c>
      <c r="GC326" s="263">
        <v>731265.28999999992</v>
      </c>
      <c r="GE326" s="448">
        <f t="shared" si="96"/>
        <v>25160000</v>
      </c>
    </row>
    <row r="327" spans="1:187" ht="30">
      <c r="D327" s="72" t="str">
        <f t="shared" si="95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>
        <v>21155.4</v>
      </c>
      <c r="FS327" s="263">
        <v>120000</v>
      </c>
      <c r="FT327" s="263">
        <v>120000</v>
      </c>
      <c r="FU327" s="263">
        <v>120000</v>
      </c>
      <c r="FV327" s="263">
        <v>120000</v>
      </c>
      <c r="FW327" s="263">
        <v>120000</v>
      </c>
      <c r="FX327" s="263">
        <v>120000</v>
      </c>
      <c r="FY327" s="263">
        <v>120000</v>
      </c>
      <c r="FZ327" s="263">
        <v>120000</v>
      </c>
      <c r="GA327" s="263">
        <v>72948.2</v>
      </c>
      <c r="GB327" s="263">
        <v>72948.2</v>
      </c>
      <c r="GC327" s="263">
        <v>72948.2</v>
      </c>
      <c r="GE327" s="448">
        <f t="shared" si="96"/>
        <v>1200000</v>
      </c>
    </row>
    <row r="328" spans="1:187" ht="30">
      <c r="D328" s="72" t="str">
        <f t="shared" si="95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>
        <v>303008.34999999998</v>
      </c>
      <c r="FS328" s="263">
        <v>348209.6</v>
      </c>
      <c r="FT328" s="263">
        <v>348209.6</v>
      </c>
      <c r="FU328" s="263">
        <v>348209.6</v>
      </c>
      <c r="FV328" s="263">
        <v>348209.6</v>
      </c>
      <c r="FW328" s="263">
        <v>348209.6</v>
      </c>
      <c r="FX328" s="263">
        <v>348209.6</v>
      </c>
      <c r="FY328" s="263">
        <v>348209.6</v>
      </c>
      <c r="FZ328" s="263">
        <v>348209.6</v>
      </c>
      <c r="GA328" s="263">
        <v>377104.97</v>
      </c>
      <c r="GB328" s="263">
        <v>377104.96</v>
      </c>
      <c r="GC328" s="263">
        <v>377104.92000000004</v>
      </c>
      <c r="GE328" s="448">
        <f t="shared" si="96"/>
        <v>4220000</v>
      </c>
    </row>
    <row r="329" spans="1:187" s="368" customFormat="1" ht="30">
      <c r="A329" s="72"/>
      <c r="B329" s="72"/>
      <c r="C329" s="72"/>
      <c r="D329" s="72" t="s">
        <v>797</v>
      </c>
      <c r="E329" s="76" t="s">
        <v>721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>
        <v>731593.15</v>
      </c>
      <c r="FS329" s="263">
        <v>841332.13</v>
      </c>
      <c r="FT329" s="263">
        <v>841332.13</v>
      </c>
      <c r="FU329" s="263">
        <v>841332.12</v>
      </c>
      <c r="FV329" s="263">
        <v>841332.12</v>
      </c>
      <c r="FW329" s="263">
        <v>841332.12</v>
      </c>
      <c r="FX329" s="263">
        <v>841332.12</v>
      </c>
      <c r="FY329" s="263">
        <v>841332.12</v>
      </c>
      <c r="FZ329" s="263">
        <v>841332.12</v>
      </c>
      <c r="GA329" s="263">
        <v>512583.29</v>
      </c>
      <c r="GB329" s="263">
        <v>512583.29</v>
      </c>
      <c r="GC329" s="263">
        <v>512583.29</v>
      </c>
      <c r="GE329" s="448">
        <f>SUM(FR329:GD329)</f>
        <v>9000000</v>
      </c>
    </row>
    <row r="330" spans="1:187" s="9" customFormat="1">
      <c r="A330" s="118"/>
      <c r="B330" s="118"/>
      <c r="C330" s="118">
        <v>422</v>
      </c>
      <c r="D330" s="118" t="str">
        <f t="shared" ref="D330:D361" si="97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8">+SUM(CL331:CL335)</f>
        <v>1280004.1666666665</v>
      </c>
      <c r="CM330" s="121">
        <f t="shared" si="98"/>
        <v>1280004.1666666665</v>
      </c>
      <c r="CN330" s="121">
        <f t="shared" si="98"/>
        <v>1280004.1666666665</v>
      </c>
      <c r="CO330" s="121">
        <f t="shared" si="98"/>
        <v>1280004.1666666665</v>
      </c>
      <c r="CP330" s="121">
        <f t="shared" si="98"/>
        <v>1280004.1666666665</v>
      </c>
      <c r="CQ330" s="121">
        <f t="shared" si="98"/>
        <v>1280004.1666666665</v>
      </c>
      <c r="CR330" s="121">
        <f t="shared" si="98"/>
        <v>1280004.1666666665</v>
      </c>
      <c r="CS330" s="121">
        <f t="shared" si="98"/>
        <v>1280004.1666666665</v>
      </c>
      <c r="CT330" s="121">
        <f t="shared" si="98"/>
        <v>1280004.1666666665</v>
      </c>
      <c r="CU330" s="121">
        <f t="shared" si="98"/>
        <v>1280004.1666666665</v>
      </c>
      <c r="CV330" s="121">
        <f t="shared" si="98"/>
        <v>1280004.1666666665</v>
      </c>
      <c r="CW330" s="122">
        <f t="shared" si="98"/>
        <v>1280004.1666666665</v>
      </c>
      <c r="CX330" s="271">
        <f t="shared" si="98"/>
        <v>1438177</v>
      </c>
      <c r="CY330" s="274">
        <f t="shared" ref="CY330:DI330" si="99">+SUM(CY331:CY335)</f>
        <v>1438177</v>
      </c>
      <c r="CZ330" s="274">
        <f t="shared" si="99"/>
        <v>1438177</v>
      </c>
      <c r="DA330" s="274">
        <f t="shared" si="99"/>
        <v>1438177</v>
      </c>
      <c r="DB330" s="274">
        <f t="shared" si="99"/>
        <v>1438177</v>
      </c>
      <c r="DC330" s="274">
        <f t="shared" si="99"/>
        <v>1438177</v>
      </c>
      <c r="DD330" s="274">
        <f t="shared" si="99"/>
        <v>1438177</v>
      </c>
      <c r="DE330" s="274">
        <f t="shared" si="99"/>
        <v>1438177</v>
      </c>
      <c r="DF330" s="274">
        <f t="shared" si="99"/>
        <v>1438177</v>
      </c>
      <c r="DG330" s="274">
        <f t="shared" si="99"/>
        <v>1438177</v>
      </c>
      <c r="DH330" s="274">
        <f t="shared" si="99"/>
        <v>1438177</v>
      </c>
      <c r="DI330" s="272">
        <f t="shared" si="99"/>
        <v>1438177</v>
      </c>
      <c r="DJ330" s="120">
        <f>+SUM(DJ331:DJ335)</f>
        <v>1620000</v>
      </c>
      <c r="DK330" s="121">
        <f t="shared" ref="DK330:DU330" si="100">+SUM(DK331:DK335)</f>
        <v>1620000</v>
      </c>
      <c r="DL330" s="121">
        <f t="shared" si="100"/>
        <v>1620000</v>
      </c>
      <c r="DM330" s="121">
        <f t="shared" si="100"/>
        <v>1620000</v>
      </c>
      <c r="DN330" s="121">
        <f t="shared" si="100"/>
        <v>1620000</v>
      </c>
      <c r="DO330" s="121">
        <f t="shared" si="100"/>
        <v>1620000</v>
      </c>
      <c r="DP330" s="121">
        <f t="shared" si="100"/>
        <v>1620000</v>
      </c>
      <c r="DQ330" s="121">
        <f t="shared" si="100"/>
        <v>1620000</v>
      </c>
      <c r="DR330" s="121">
        <f t="shared" si="100"/>
        <v>1620000</v>
      </c>
      <c r="DS330" s="121">
        <f t="shared" si="100"/>
        <v>1620000</v>
      </c>
      <c r="DT330" s="121">
        <f t="shared" si="100"/>
        <v>1620000</v>
      </c>
      <c r="DU330" s="122">
        <f t="shared" si="100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f>SUM(FR331:FR335)</f>
        <v>1873352</v>
      </c>
      <c r="FS330" s="341">
        <f t="shared" ref="FS330:GC330" si="101">SUM(FS331:FS335)</f>
        <v>1873352</v>
      </c>
      <c r="FT330" s="341">
        <f t="shared" si="101"/>
        <v>1873352</v>
      </c>
      <c r="FU330" s="341">
        <f t="shared" si="101"/>
        <v>1873352</v>
      </c>
      <c r="FV330" s="341">
        <f t="shared" si="101"/>
        <v>1873352</v>
      </c>
      <c r="FW330" s="341">
        <f t="shared" si="101"/>
        <v>1873352</v>
      </c>
      <c r="FX330" s="341">
        <f t="shared" si="101"/>
        <v>1873352</v>
      </c>
      <c r="FY330" s="341">
        <f t="shared" si="101"/>
        <v>1873352</v>
      </c>
      <c r="FZ330" s="341">
        <f t="shared" si="101"/>
        <v>1873352</v>
      </c>
      <c r="GA330" s="341">
        <f t="shared" si="101"/>
        <v>1873352</v>
      </c>
      <c r="GB330" s="341">
        <f t="shared" si="101"/>
        <v>1873352</v>
      </c>
      <c r="GC330" s="341">
        <f t="shared" si="101"/>
        <v>1873352.1700000002</v>
      </c>
      <c r="GE330" s="447">
        <f>SUM(FR330:GD330)</f>
        <v>22480224.170000002</v>
      </c>
    </row>
    <row r="331" spans="1:187">
      <c r="D331" s="72" t="str">
        <f t="shared" si="97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>
        <v>70833.33</v>
      </c>
      <c r="FS331" s="263">
        <v>70833.33</v>
      </c>
      <c r="FT331" s="263">
        <v>70833.33</v>
      </c>
      <c r="FU331" s="263">
        <v>70833.33</v>
      </c>
      <c r="FV331" s="263">
        <v>70833.33</v>
      </c>
      <c r="FW331" s="263">
        <v>70833.33</v>
      </c>
      <c r="FX331" s="263">
        <v>70833.33</v>
      </c>
      <c r="FY331" s="263">
        <v>70833.33</v>
      </c>
      <c r="FZ331" s="263">
        <v>70833.33</v>
      </c>
      <c r="GA331" s="263">
        <v>70833.33</v>
      </c>
      <c r="GB331" s="263">
        <v>70833.33</v>
      </c>
      <c r="GC331" s="263">
        <v>70833.37</v>
      </c>
      <c r="GE331" s="448">
        <f>SUM(FR331:GD331)</f>
        <v>849999.99999999988</v>
      </c>
    </row>
    <row r="332" spans="1:187" ht="30">
      <c r="D332" s="72" t="str">
        <f t="shared" si="97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>
        <v>198352.00999999998</v>
      </c>
      <c r="FS332" s="263">
        <v>198352.00999999998</v>
      </c>
      <c r="FT332" s="263">
        <v>198352.00999999998</v>
      </c>
      <c r="FU332" s="263">
        <v>198352.00999999998</v>
      </c>
      <c r="FV332" s="263">
        <v>198352.00999999998</v>
      </c>
      <c r="FW332" s="263">
        <v>198352.00999999998</v>
      </c>
      <c r="FX332" s="263">
        <v>198352.00999999998</v>
      </c>
      <c r="FY332" s="263">
        <v>198352.00999999998</v>
      </c>
      <c r="FZ332" s="263">
        <v>198352.00999999998</v>
      </c>
      <c r="GA332" s="263">
        <v>198352.00999999998</v>
      </c>
      <c r="GB332" s="263">
        <v>198352.00999999998</v>
      </c>
      <c r="GC332" s="263">
        <v>198352.05999999997</v>
      </c>
      <c r="GE332" s="448">
        <f t="shared" ref="GE332:GE335" si="102">SUM(FR332:GD332)</f>
        <v>2380224.17</v>
      </c>
    </row>
    <row r="333" spans="1:187">
      <c r="D333" s="72" t="str">
        <f t="shared" si="97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8">
        <f t="shared" si="102"/>
        <v>0</v>
      </c>
    </row>
    <row r="334" spans="1:187">
      <c r="D334" s="72" t="str">
        <f t="shared" si="97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>
        <v>1583333.33</v>
      </c>
      <c r="FS334" s="263">
        <v>1583333.33</v>
      </c>
      <c r="FT334" s="263">
        <v>1583333.33</v>
      </c>
      <c r="FU334" s="263">
        <v>1583333.33</v>
      </c>
      <c r="FV334" s="263">
        <v>1583333.33</v>
      </c>
      <c r="FW334" s="263">
        <v>1583333.33</v>
      </c>
      <c r="FX334" s="263">
        <v>1583333.33</v>
      </c>
      <c r="FY334" s="263">
        <v>1583333.33</v>
      </c>
      <c r="FZ334" s="263">
        <v>1583333.33</v>
      </c>
      <c r="GA334" s="263">
        <v>1583333.33</v>
      </c>
      <c r="GB334" s="263">
        <v>1583333.33</v>
      </c>
      <c r="GC334" s="263">
        <v>1583333.37</v>
      </c>
      <c r="GE334" s="448">
        <f t="shared" si="102"/>
        <v>19000000.000000004</v>
      </c>
    </row>
    <row r="335" spans="1:187">
      <c r="D335" s="72" t="str">
        <f t="shared" si="97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>
        <v>20833.330000000002</v>
      </c>
      <c r="FS335" s="263">
        <v>20833.330000000002</v>
      </c>
      <c r="FT335" s="263">
        <v>20833.330000000002</v>
      </c>
      <c r="FU335" s="263">
        <v>20833.330000000002</v>
      </c>
      <c r="FV335" s="263">
        <v>20833.330000000002</v>
      </c>
      <c r="FW335" s="263">
        <v>20833.330000000002</v>
      </c>
      <c r="FX335" s="263">
        <v>20833.330000000002</v>
      </c>
      <c r="FY335" s="263">
        <v>20833.330000000002</v>
      </c>
      <c r="FZ335" s="263">
        <v>20833.330000000002</v>
      </c>
      <c r="GA335" s="263">
        <v>20833.330000000002</v>
      </c>
      <c r="GB335" s="263">
        <v>20833.330000000002</v>
      </c>
      <c r="GC335" s="263">
        <v>20833.370000000003</v>
      </c>
      <c r="GE335" s="448">
        <f t="shared" si="102"/>
        <v>250000.00000000006</v>
      </c>
    </row>
    <row r="336" spans="1:187" s="9" customFormat="1" ht="30">
      <c r="A336" s="118"/>
      <c r="B336" s="118"/>
      <c r="C336" s="118">
        <v>423</v>
      </c>
      <c r="D336" s="118" t="str">
        <f t="shared" si="97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103">+SUM(CL337:CL343)</f>
        <v>33408639.758333333</v>
      </c>
      <c r="CM336" s="121">
        <f t="shared" si="103"/>
        <v>33408639.758333333</v>
      </c>
      <c r="CN336" s="121">
        <f t="shared" si="103"/>
        <v>33408639.758333333</v>
      </c>
      <c r="CO336" s="121">
        <f t="shared" si="103"/>
        <v>33408639.758333333</v>
      </c>
      <c r="CP336" s="121">
        <f t="shared" si="103"/>
        <v>33408639.758333333</v>
      </c>
      <c r="CQ336" s="121">
        <f t="shared" si="103"/>
        <v>33408639.758333333</v>
      </c>
      <c r="CR336" s="121">
        <f t="shared" si="103"/>
        <v>33408639.758333333</v>
      </c>
      <c r="CS336" s="121">
        <f t="shared" si="103"/>
        <v>33408639.758333333</v>
      </c>
      <c r="CT336" s="121">
        <f t="shared" si="103"/>
        <v>33408639.758333333</v>
      </c>
      <c r="CU336" s="121">
        <f t="shared" si="103"/>
        <v>33408639.758333333</v>
      </c>
      <c r="CV336" s="121">
        <f t="shared" si="103"/>
        <v>33408639.758333333</v>
      </c>
      <c r="CW336" s="122">
        <f t="shared" si="103"/>
        <v>33408639.758333333</v>
      </c>
      <c r="CX336" s="271">
        <f t="shared" si="103"/>
        <v>33110022.91416667</v>
      </c>
      <c r="CY336" s="274">
        <f t="shared" ref="CY336:DI336" si="104">+SUM(CY337:CY343)</f>
        <v>33110022.91416667</v>
      </c>
      <c r="CZ336" s="274">
        <f t="shared" si="104"/>
        <v>33110022.91416667</v>
      </c>
      <c r="DA336" s="274">
        <f t="shared" si="104"/>
        <v>33110022.91416667</v>
      </c>
      <c r="DB336" s="274">
        <f t="shared" si="104"/>
        <v>33110022.91416667</v>
      </c>
      <c r="DC336" s="274">
        <f t="shared" si="104"/>
        <v>33110022.91416667</v>
      </c>
      <c r="DD336" s="274">
        <f t="shared" si="104"/>
        <v>33110022.91416667</v>
      </c>
      <c r="DE336" s="274">
        <f t="shared" si="104"/>
        <v>33110022.91416667</v>
      </c>
      <c r="DF336" s="274">
        <f t="shared" si="104"/>
        <v>33110022.91416667</v>
      </c>
      <c r="DG336" s="274">
        <f t="shared" si="104"/>
        <v>33110022.91416667</v>
      </c>
      <c r="DH336" s="274">
        <f t="shared" si="104"/>
        <v>33110022.91416667</v>
      </c>
      <c r="DI336" s="272">
        <f t="shared" si="104"/>
        <v>33110022.91416667</v>
      </c>
      <c r="DJ336" s="120">
        <f>+SUM(DJ337:DJ343)</f>
        <v>33537908.333333332</v>
      </c>
      <c r="DK336" s="121">
        <f t="shared" ref="DK336:DU336" si="105">+SUM(DK337:DK343)</f>
        <v>33537908.333333332</v>
      </c>
      <c r="DL336" s="121">
        <f t="shared" si="105"/>
        <v>33537908.333333332</v>
      </c>
      <c r="DM336" s="121">
        <f t="shared" si="105"/>
        <v>33537908.333333332</v>
      </c>
      <c r="DN336" s="121">
        <f t="shared" si="105"/>
        <v>33537908.333333332</v>
      </c>
      <c r="DO336" s="121">
        <f t="shared" si="105"/>
        <v>33537908.333333332</v>
      </c>
      <c r="DP336" s="121">
        <f t="shared" si="105"/>
        <v>33537908.333333332</v>
      </c>
      <c r="DQ336" s="121">
        <f t="shared" si="105"/>
        <v>33537908.333333332</v>
      </c>
      <c r="DR336" s="121">
        <f t="shared" si="105"/>
        <v>33537908.333333332</v>
      </c>
      <c r="DS336" s="121">
        <f t="shared" si="105"/>
        <v>33537908.333333332</v>
      </c>
      <c r="DT336" s="121">
        <f t="shared" si="105"/>
        <v>33537908.333333332</v>
      </c>
      <c r="DU336" s="122">
        <f t="shared" si="105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f>SUM(FR337:FR343)</f>
        <v>36847949.539999999</v>
      </c>
      <c r="FS336" s="341">
        <f t="shared" ref="FS336:GC336" si="106">SUM(FS337:FS343)</f>
        <v>36847949.539999999</v>
      </c>
      <c r="FT336" s="341">
        <f t="shared" si="106"/>
        <v>36847949.539999999</v>
      </c>
      <c r="FU336" s="341">
        <f t="shared" si="106"/>
        <v>36847949.539999999</v>
      </c>
      <c r="FV336" s="341">
        <f t="shared" si="106"/>
        <v>36847949.539999999</v>
      </c>
      <c r="FW336" s="341">
        <f t="shared" si="106"/>
        <v>36847949.539999999</v>
      </c>
      <c r="FX336" s="341">
        <f t="shared" si="106"/>
        <v>36847949.539999999</v>
      </c>
      <c r="FY336" s="341">
        <f t="shared" si="106"/>
        <v>36847949.539999999</v>
      </c>
      <c r="FZ336" s="341">
        <f t="shared" si="106"/>
        <v>36847949.539999999</v>
      </c>
      <c r="GA336" s="341">
        <f t="shared" si="106"/>
        <v>36847949.539999999</v>
      </c>
      <c r="GB336" s="341">
        <f t="shared" si="106"/>
        <v>36847949.539999999</v>
      </c>
      <c r="GC336" s="341">
        <f t="shared" si="106"/>
        <v>36847949.600000009</v>
      </c>
      <c r="GE336" s="447">
        <f>SUM(FR336:GD336)</f>
        <v>442175394.54000008</v>
      </c>
    </row>
    <row r="337" spans="1:187">
      <c r="D337" s="72" t="str">
        <f t="shared" si="97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>
        <v>21791958.920000002</v>
      </c>
      <c r="FS337" s="263">
        <v>21791958.920000002</v>
      </c>
      <c r="FT337" s="263">
        <v>21791958.920000002</v>
      </c>
      <c r="FU337" s="263">
        <v>21791958.920000002</v>
      </c>
      <c r="FV337" s="263">
        <v>21791958.920000002</v>
      </c>
      <c r="FW337" s="263">
        <v>21791958.920000002</v>
      </c>
      <c r="FX337" s="263">
        <v>21791958.920000002</v>
      </c>
      <c r="FY337" s="263">
        <v>21791958.920000002</v>
      </c>
      <c r="FZ337" s="263">
        <v>21791958.920000002</v>
      </c>
      <c r="GA337" s="263">
        <v>21791958.920000002</v>
      </c>
      <c r="GB337" s="263">
        <v>21791958.920000002</v>
      </c>
      <c r="GC337" s="263">
        <v>21791958.900000002</v>
      </c>
      <c r="GE337" s="448">
        <f>SUM(FR337:GD337)</f>
        <v>261503507.02000007</v>
      </c>
    </row>
    <row r="338" spans="1:187">
      <c r="D338" s="72" t="str">
        <f t="shared" si="97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>
        <v>5683427.3099999996</v>
      </c>
      <c r="FS338" s="263">
        <v>5683427.3099999996</v>
      </c>
      <c r="FT338" s="263">
        <v>5683427.3099999996</v>
      </c>
      <c r="FU338" s="263">
        <v>5683427.3099999996</v>
      </c>
      <c r="FV338" s="263">
        <v>5683427.3099999996</v>
      </c>
      <c r="FW338" s="263">
        <v>5683427.3099999996</v>
      </c>
      <c r="FX338" s="263">
        <v>5683427.3099999996</v>
      </c>
      <c r="FY338" s="263">
        <v>5683427.3099999996</v>
      </c>
      <c r="FZ338" s="263">
        <v>5683427.3099999996</v>
      </c>
      <c r="GA338" s="263">
        <v>5683427.3099999996</v>
      </c>
      <c r="GB338" s="263">
        <v>5683427.3099999996</v>
      </c>
      <c r="GC338" s="263">
        <v>5683427.29</v>
      </c>
      <c r="GE338" s="448">
        <f t="shared" ref="GE338:GE343" si="107">SUM(FR338:GD338)</f>
        <v>68201127.700000018</v>
      </c>
    </row>
    <row r="339" spans="1:187">
      <c r="D339" s="72" t="str">
        <f t="shared" si="97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>
        <v>7187384.1799999997</v>
      </c>
      <c r="FS339" s="263">
        <v>7187384.1799999997</v>
      </c>
      <c r="FT339" s="263">
        <v>7187384.1799999997</v>
      </c>
      <c r="FU339" s="263">
        <v>7187384.1799999997</v>
      </c>
      <c r="FV339" s="263">
        <v>7187384.1799999997</v>
      </c>
      <c r="FW339" s="263">
        <v>7187384.1799999997</v>
      </c>
      <c r="FX339" s="263">
        <v>7187384.1799999997</v>
      </c>
      <c r="FY339" s="263">
        <v>7187384.1799999997</v>
      </c>
      <c r="FZ339" s="263">
        <v>7187384.1799999997</v>
      </c>
      <c r="GA339" s="263">
        <v>7187384.1799999997</v>
      </c>
      <c r="GB339" s="263">
        <v>7187384.1799999997</v>
      </c>
      <c r="GC339" s="263">
        <v>7187384.1799999997</v>
      </c>
      <c r="GE339" s="448">
        <f t="shared" si="107"/>
        <v>86248610.159999996</v>
      </c>
    </row>
    <row r="340" spans="1:187">
      <c r="D340" s="72" t="str">
        <f t="shared" si="97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>
        <v>775595.44</v>
      </c>
      <c r="FS340" s="263">
        <v>775595.44</v>
      </c>
      <c r="FT340" s="263">
        <v>775595.44</v>
      </c>
      <c r="FU340" s="263">
        <v>775595.44</v>
      </c>
      <c r="FV340" s="263">
        <v>775595.44</v>
      </c>
      <c r="FW340" s="263">
        <v>775595.44</v>
      </c>
      <c r="FX340" s="263">
        <v>775595.44</v>
      </c>
      <c r="FY340" s="263">
        <v>775595.44</v>
      </c>
      <c r="FZ340" s="263">
        <v>775595.44</v>
      </c>
      <c r="GA340" s="263">
        <v>775595.44</v>
      </c>
      <c r="GB340" s="263">
        <v>775595.44</v>
      </c>
      <c r="GC340" s="263">
        <v>775595.45</v>
      </c>
      <c r="GE340" s="448">
        <f t="shared" si="107"/>
        <v>9307145.2899999972</v>
      </c>
    </row>
    <row r="341" spans="1:187">
      <c r="D341" s="72" t="str">
        <f t="shared" si="97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>
        <v>161018.03</v>
      </c>
      <c r="FS341" s="263">
        <v>161018.03</v>
      </c>
      <c r="FT341" s="263">
        <v>161018.03</v>
      </c>
      <c r="FU341" s="263">
        <v>161018.03</v>
      </c>
      <c r="FV341" s="263">
        <v>161018.03</v>
      </c>
      <c r="FW341" s="263">
        <v>161018.03</v>
      </c>
      <c r="FX341" s="263">
        <v>161018.03</v>
      </c>
      <c r="FY341" s="263">
        <v>161018.03</v>
      </c>
      <c r="FZ341" s="263">
        <v>161018.03</v>
      </c>
      <c r="GA341" s="263">
        <v>161018.03</v>
      </c>
      <c r="GB341" s="263">
        <v>161018.03</v>
      </c>
      <c r="GC341" s="263">
        <v>161018.04</v>
      </c>
      <c r="GE341" s="448">
        <f t="shared" si="107"/>
        <v>1932216.37</v>
      </c>
    </row>
    <row r="342" spans="1:187">
      <c r="D342" s="72" t="str">
        <f t="shared" si="97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>
        <v>900687.96</v>
      </c>
      <c r="FS342" s="263">
        <v>900687.96</v>
      </c>
      <c r="FT342" s="263">
        <v>900687.96</v>
      </c>
      <c r="FU342" s="263">
        <v>900687.96</v>
      </c>
      <c r="FV342" s="263">
        <v>900687.96</v>
      </c>
      <c r="FW342" s="263">
        <v>900687.96</v>
      </c>
      <c r="FX342" s="263">
        <v>900687.96</v>
      </c>
      <c r="FY342" s="263">
        <v>900687.96</v>
      </c>
      <c r="FZ342" s="263">
        <v>900687.96</v>
      </c>
      <c r="GA342" s="263">
        <v>900687.96</v>
      </c>
      <c r="GB342" s="263">
        <v>900687.96</v>
      </c>
      <c r="GC342" s="263">
        <v>900687.99</v>
      </c>
      <c r="GE342" s="448">
        <f t="shared" si="107"/>
        <v>10808255.549999999</v>
      </c>
    </row>
    <row r="343" spans="1:187" ht="30">
      <c r="D343" s="72" t="str">
        <f t="shared" si="97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>
        <v>347877.7</v>
      </c>
      <c r="FS343" s="263">
        <v>347877.7</v>
      </c>
      <c r="FT343" s="263">
        <v>347877.7</v>
      </c>
      <c r="FU343" s="263">
        <v>347877.7</v>
      </c>
      <c r="FV343" s="263">
        <v>347877.7</v>
      </c>
      <c r="FW343" s="263">
        <v>347877.7</v>
      </c>
      <c r="FX343" s="263">
        <v>347877.7</v>
      </c>
      <c r="FY343" s="263">
        <v>347877.7</v>
      </c>
      <c r="FZ343" s="263">
        <v>347877.7</v>
      </c>
      <c r="GA343" s="263">
        <v>347877.7</v>
      </c>
      <c r="GB343" s="263">
        <v>347877.7</v>
      </c>
      <c r="GC343" s="263">
        <v>347877.75</v>
      </c>
      <c r="GE343" s="448">
        <f t="shared" si="107"/>
        <v>4174532.4500000007</v>
      </c>
    </row>
    <row r="344" spans="1:187" s="9" customFormat="1" ht="30">
      <c r="A344" s="118"/>
      <c r="B344" s="118"/>
      <c r="C344" s="118">
        <v>424</v>
      </c>
      <c r="D344" s="118" t="str">
        <f t="shared" si="97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108">+CL345</f>
        <v>1133333.3333333333</v>
      </c>
      <c r="CM344" s="121">
        <f t="shared" si="108"/>
        <v>1133333.3333333333</v>
      </c>
      <c r="CN344" s="121">
        <f t="shared" si="108"/>
        <v>1133333.3333333333</v>
      </c>
      <c r="CO344" s="121">
        <f t="shared" si="108"/>
        <v>1133333.3333333333</v>
      </c>
      <c r="CP344" s="121">
        <f t="shared" si="108"/>
        <v>1133333.3333333333</v>
      </c>
      <c r="CQ344" s="121">
        <f t="shared" si="108"/>
        <v>1133333.3333333333</v>
      </c>
      <c r="CR344" s="121">
        <f t="shared" si="108"/>
        <v>1133333.3333333333</v>
      </c>
      <c r="CS344" s="121">
        <f t="shared" si="108"/>
        <v>1133333.3333333333</v>
      </c>
      <c r="CT344" s="121">
        <f t="shared" si="108"/>
        <v>1133333.3333333333</v>
      </c>
      <c r="CU344" s="121">
        <f t="shared" si="108"/>
        <v>1133333.3333333333</v>
      </c>
      <c r="CV344" s="121">
        <f t="shared" si="108"/>
        <v>1133333.3333333333</v>
      </c>
      <c r="CW344" s="122">
        <f t="shared" si="108"/>
        <v>1133333.3333333333</v>
      </c>
      <c r="CX344" s="271">
        <f t="shared" si="108"/>
        <v>1208333.3333333333</v>
      </c>
      <c r="CY344" s="274">
        <f t="shared" ref="CY344:DI344" si="109">+CY345</f>
        <v>1208333.3333333333</v>
      </c>
      <c r="CZ344" s="274">
        <f t="shared" si="109"/>
        <v>1208333.3333333333</v>
      </c>
      <c r="DA344" s="274">
        <f t="shared" si="109"/>
        <v>1208333.3333333333</v>
      </c>
      <c r="DB344" s="274">
        <f t="shared" si="109"/>
        <v>1208333.3333333333</v>
      </c>
      <c r="DC344" s="274">
        <f t="shared" si="109"/>
        <v>1208333.3333333333</v>
      </c>
      <c r="DD344" s="274">
        <f t="shared" si="109"/>
        <v>1208333.3333333333</v>
      </c>
      <c r="DE344" s="274">
        <f t="shared" si="109"/>
        <v>1208333.3333333333</v>
      </c>
      <c r="DF344" s="274">
        <f t="shared" si="109"/>
        <v>1208333.3333333333</v>
      </c>
      <c r="DG344" s="274">
        <f t="shared" si="109"/>
        <v>1208333.3333333333</v>
      </c>
      <c r="DH344" s="274">
        <f t="shared" si="109"/>
        <v>1208333.3333333333</v>
      </c>
      <c r="DI344" s="272">
        <f t="shared" si="109"/>
        <v>1208333.3333333333</v>
      </c>
      <c r="DJ344" s="120">
        <f>+DJ345</f>
        <v>1250000</v>
      </c>
      <c r="DK344" s="121">
        <f t="shared" ref="DK344:DU344" si="110">+DK345</f>
        <v>1250000</v>
      </c>
      <c r="DL344" s="121">
        <f t="shared" si="110"/>
        <v>1250000</v>
      </c>
      <c r="DM344" s="121">
        <f t="shared" si="110"/>
        <v>1250000</v>
      </c>
      <c r="DN344" s="121">
        <f t="shared" si="110"/>
        <v>1250000</v>
      </c>
      <c r="DO344" s="121">
        <f t="shared" si="110"/>
        <v>1250000</v>
      </c>
      <c r="DP344" s="121">
        <f t="shared" si="110"/>
        <v>1250000</v>
      </c>
      <c r="DQ344" s="121">
        <f t="shared" si="110"/>
        <v>1250000</v>
      </c>
      <c r="DR344" s="121">
        <f t="shared" si="110"/>
        <v>1250000</v>
      </c>
      <c r="DS344" s="121">
        <f t="shared" si="110"/>
        <v>1250000</v>
      </c>
      <c r="DT344" s="121">
        <f t="shared" si="110"/>
        <v>1250000</v>
      </c>
      <c r="DU344" s="122">
        <f t="shared" si="110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f>+FR345</f>
        <v>1666666.75</v>
      </c>
      <c r="FS344" s="341">
        <f t="shared" ref="FS344:GC344" si="111">+FS345</f>
        <v>1666666.75</v>
      </c>
      <c r="FT344" s="341">
        <f t="shared" si="111"/>
        <v>1666666.75</v>
      </c>
      <c r="FU344" s="341">
        <f t="shared" si="111"/>
        <v>1666666.75</v>
      </c>
      <c r="FV344" s="341">
        <f t="shared" si="111"/>
        <v>1666666.75</v>
      </c>
      <c r="FW344" s="341">
        <f t="shared" si="111"/>
        <v>1666666.75</v>
      </c>
      <c r="FX344" s="341">
        <f t="shared" si="111"/>
        <v>1666666.75</v>
      </c>
      <c r="FY344" s="341">
        <f t="shared" si="111"/>
        <v>1666666.75</v>
      </c>
      <c r="FZ344" s="341">
        <f t="shared" si="111"/>
        <v>1666666.75</v>
      </c>
      <c r="GA344" s="341">
        <f t="shared" si="111"/>
        <v>1666666.75</v>
      </c>
      <c r="GB344" s="341">
        <f t="shared" si="111"/>
        <v>1666666.75</v>
      </c>
      <c r="GC344" s="341">
        <f t="shared" si="111"/>
        <v>1666666.75</v>
      </c>
      <c r="GE344" s="447">
        <f>SUM(FR344:GD344)</f>
        <v>20000001</v>
      </c>
    </row>
    <row r="345" spans="1:187">
      <c r="D345" s="72" t="str">
        <f t="shared" si="97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>
        <v>1666666.75</v>
      </c>
      <c r="FS345" s="263">
        <v>1666666.75</v>
      </c>
      <c r="FT345" s="263">
        <v>1666666.75</v>
      </c>
      <c r="FU345" s="263">
        <v>1666666.75</v>
      </c>
      <c r="FV345" s="263">
        <v>1666666.75</v>
      </c>
      <c r="FW345" s="263">
        <v>1666666.75</v>
      </c>
      <c r="FX345" s="263">
        <v>1666666.75</v>
      </c>
      <c r="FY345" s="263">
        <v>1666666.75</v>
      </c>
      <c r="FZ345" s="263">
        <v>1666666.75</v>
      </c>
      <c r="GA345" s="263">
        <v>1666666.75</v>
      </c>
      <c r="GB345" s="263">
        <v>1666666.75</v>
      </c>
      <c r="GC345" s="263">
        <v>1666666.75</v>
      </c>
      <c r="GE345" s="448">
        <f>SUM(FR345:GD345)</f>
        <v>20000001</v>
      </c>
    </row>
    <row r="346" spans="1:187" s="9" customFormat="1" ht="30">
      <c r="A346" s="118"/>
      <c r="B346" s="118"/>
      <c r="C346" s="118">
        <v>425</v>
      </c>
      <c r="D346" s="118" t="str">
        <f t="shared" si="97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112">+SUM(CL347:CL349)</f>
        <v>583333.33333333326</v>
      </c>
      <c r="CM346" s="121">
        <f t="shared" si="112"/>
        <v>583333.33333333326</v>
      </c>
      <c r="CN346" s="121">
        <f t="shared" si="112"/>
        <v>583333.33333333326</v>
      </c>
      <c r="CO346" s="121">
        <f t="shared" si="112"/>
        <v>583333.33333333326</v>
      </c>
      <c r="CP346" s="121">
        <f t="shared" si="112"/>
        <v>583333.33333333326</v>
      </c>
      <c r="CQ346" s="121">
        <f t="shared" si="112"/>
        <v>583333.33333333326</v>
      </c>
      <c r="CR346" s="121">
        <f t="shared" si="112"/>
        <v>583333.33333333326</v>
      </c>
      <c r="CS346" s="121">
        <f t="shared" si="112"/>
        <v>583333.33333333326</v>
      </c>
      <c r="CT346" s="121">
        <f t="shared" si="112"/>
        <v>583333.33333333326</v>
      </c>
      <c r="CU346" s="121">
        <f t="shared" si="112"/>
        <v>583333.33333333326</v>
      </c>
      <c r="CV346" s="121">
        <f t="shared" si="112"/>
        <v>583333.33333333326</v>
      </c>
      <c r="CW346" s="122">
        <f t="shared" si="112"/>
        <v>583333.33333333326</v>
      </c>
      <c r="CX346" s="271">
        <f t="shared" si="112"/>
        <v>583333.33333333326</v>
      </c>
      <c r="CY346" s="274">
        <f t="shared" ref="CY346:DI346" si="113">+SUM(CY347:CY349)</f>
        <v>583333.33333333326</v>
      </c>
      <c r="CZ346" s="274">
        <f t="shared" si="113"/>
        <v>583333.33333333326</v>
      </c>
      <c r="DA346" s="274">
        <f t="shared" si="113"/>
        <v>583333.33333333326</v>
      </c>
      <c r="DB346" s="274">
        <f t="shared" si="113"/>
        <v>583333.33333333326</v>
      </c>
      <c r="DC346" s="274">
        <f t="shared" si="113"/>
        <v>583333.33333333326</v>
      </c>
      <c r="DD346" s="274">
        <f t="shared" si="113"/>
        <v>583333.33333333326</v>
      </c>
      <c r="DE346" s="274">
        <f t="shared" si="113"/>
        <v>583333.33333333326</v>
      </c>
      <c r="DF346" s="274">
        <f t="shared" si="113"/>
        <v>583333.33333333326</v>
      </c>
      <c r="DG346" s="274">
        <f t="shared" si="113"/>
        <v>583333.33333333326</v>
      </c>
      <c r="DH346" s="274">
        <f t="shared" si="113"/>
        <v>583333.33333333326</v>
      </c>
      <c r="DI346" s="272">
        <f t="shared" si="113"/>
        <v>583333.33333333326</v>
      </c>
      <c r="DJ346" s="120">
        <f>+SUM(DJ347:DJ349)</f>
        <v>618333.33333333326</v>
      </c>
      <c r="DK346" s="121">
        <f t="shared" ref="DK346:DU346" si="114">+SUM(DK347:DK349)</f>
        <v>618333.33333333326</v>
      </c>
      <c r="DL346" s="121">
        <f t="shared" si="114"/>
        <v>618333.33333333326</v>
      </c>
      <c r="DM346" s="121">
        <f t="shared" si="114"/>
        <v>618333.33333333326</v>
      </c>
      <c r="DN346" s="121">
        <f t="shared" si="114"/>
        <v>618333.33333333326</v>
      </c>
      <c r="DO346" s="121">
        <f t="shared" si="114"/>
        <v>618333.33333333326</v>
      </c>
      <c r="DP346" s="121">
        <f t="shared" si="114"/>
        <v>618333.33333333326</v>
      </c>
      <c r="DQ346" s="121">
        <f t="shared" si="114"/>
        <v>618333.33333333326</v>
      </c>
      <c r="DR346" s="121">
        <f t="shared" si="114"/>
        <v>618333.33333333326</v>
      </c>
      <c r="DS346" s="121">
        <f t="shared" si="114"/>
        <v>618333.33333333326</v>
      </c>
      <c r="DT346" s="121">
        <f t="shared" si="114"/>
        <v>618333.33333333326</v>
      </c>
      <c r="DU346" s="122">
        <f t="shared" si="114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f>SUM(FR347:FR349)</f>
        <v>885416.75</v>
      </c>
      <c r="FS346" s="341">
        <f t="shared" ref="FS346:GC346" si="115">SUM(FS347:FS349)</f>
        <v>885416.75</v>
      </c>
      <c r="FT346" s="341">
        <f t="shared" si="115"/>
        <v>885416.75</v>
      </c>
      <c r="FU346" s="341">
        <f t="shared" si="115"/>
        <v>885416.75</v>
      </c>
      <c r="FV346" s="341">
        <f t="shared" si="115"/>
        <v>885416.75</v>
      </c>
      <c r="FW346" s="341">
        <f t="shared" si="115"/>
        <v>885416.75</v>
      </c>
      <c r="FX346" s="341">
        <f t="shared" si="115"/>
        <v>885416.75</v>
      </c>
      <c r="FY346" s="341">
        <f t="shared" si="115"/>
        <v>885416.75</v>
      </c>
      <c r="FZ346" s="341">
        <f t="shared" si="115"/>
        <v>885416.75</v>
      </c>
      <c r="GA346" s="341">
        <f t="shared" si="115"/>
        <v>885416.75</v>
      </c>
      <c r="GB346" s="341">
        <f t="shared" si="115"/>
        <v>885416.75</v>
      </c>
      <c r="GC346" s="341">
        <f t="shared" si="115"/>
        <v>885416.75</v>
      </c>
      <c r="GE346" s="447">
        <f>SUM(FR346:GD346)</f>
        <v>10625001</v>
      </c>
    </row>
    <row r="347" spans="1:187">
      <c r="D347" s="72" t="str">
        <f t="shared" si="97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>
        <v>233333.40999999997</v>
      </c>
      <c r="FS347" s="263">
        <v>233333.40999999997</v>
      </c>
      <c r="FT347" s="263">
        <v>233333.40999999997</v>
      </c>
      <c r="FU347" s="263">
        <v>233333.40999999997</v>
      </c>
      <c r="FV347" s="263">
        <v>233333.40999999997</v>
      </c>
      <c r="FW347" s="263">
        <v>233333.40999999997</v>
      </c>
      <c r="FX347" s="263">
        <v>233333.40999999997</v>
      </c>
      <c r="FY347" s="263">
        <v>233333.40999999997</v>
      </c>
      <c r="FZ347" s="263">
        <v>233333.40999999997</v>
      </c>
      <c r="GA347" s="263">
        <v>233333.40999999997</v>
      </c>
      <c r="GB347" s="263">
        <v>233333.40999999997</v>
      </c>
      <c r="GC347" s="263">
        <v>233333.48999999996</v>
      </c>
      <c r="GE347" s="448">
        <f>SUM(FR347:GD347)</f>
        <v>2800000.9999999995</v>
      </c>
    </row>
    <row r="348" spans="1:187" ht="30">
      <c r="D348" s="72" t="str">
        <f t="shared" si="97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>
        <v>341666.67</v>
      </c>
      <c r="FS348" s="263">
        <v>341666.67</v>
      </c>
      <c r="FT348" s="263">
        <v>341666.67</v>
      </c>
      <c r="FU348" s="263">
        <v>341666.67</v>
      </c>
      <c r="FV348" s="263">
        <v>341666.67</v>
      </c>
      <c r="FW348" s="263">
        <v>341666.67</v>
      </c>
      <c r="FX348" s="263">
        <v>341666.67</v>
      </c>
      <c r="FY348" s="263">
        <v>341666.67</v>
      </c>
      <c r="FZ348" s="263">
        <v>341666.67</v>
      </c>
      <c r="GA348" s="263">
        <v>341666.67</v>
      </c>
      <c r="GB348" s="263">
        <v>341666.67</v>
      </c>
      <c r="GC348" s="263">
        <v>341666.63</v>
      </c>
      <c r="GE348" s="448">
        <f t="shared" ref="GE348:GE349" si="116">SUM(FR348:GD348)</f>
        <v>4099999.9999999995</v>
      </c>
    </row>
    <row r="349" spans="1:187" ht="30">
      <c r="D349" s="72" t="str">
        <f t="shared" si="97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>
        <v>310416.67</v>
      </c>
      <c r="FS349" s="263">
        <v>310416.67</v>
      </c>
      <c r="FT349" s="263">
        <v>310416.67</v>
      </c>
      <c r="FU349" s="263">
        <v>310416.67</v>
      </c>
      <c r="FV349" s="263">
        <v>310416.67</v>
      </c>
      <c r="FW349" s="263">
        <v>310416.67</v>
      </c>
      <c r="FX349" s="263">
        <v>310416.67</v>
      </c>
      <c r="FY349" s="263">
        <v>310416.67</v>
      </c>
      <c r="FZ349" s="263">
        <v>310416.67</v>
      </c>
      <c r="GA349" s="263">
        <v>310416.67</v>
      </c>
      <c r="GB349" s="263">
        <v>310416.67</v>
      </c>
      <c r="GC349" s="263">
        <v>310416.63</v>
      </c>
      <c r="GE349" s="448">
        <f t="shared" si="116"/>
        <v>3724999.9999999995</v>
      </c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97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17">+CL351+CL361</f>
        <v>7656724.8525</v>
      </c>
      <c r="CM350" s="121">
        <f t="shared" si="117"/>
        <v>7656724.8525</v>
      </c>
      <c r="CN350" s="121">
        <f t="shared" si="117"/>
        <v>7656724.8525</v>
      </c>
      <c r="CO350" s="121">
        <f t="shared" si="117"/>
        <v>7656724.8525</v>
      </c>
      <c r="CP350" s="121">
        <f t="shared" si="117"/>
        <v>7656724.8525</v>
      </c>
      <c r="CQ350" s="121">
        <f t="shared" si="117"/>
        <v>7656724.8525</v>
      </c>
      <c r="CR350" s="121">
        <f t="shared" si="117"/>
        <v>7656724.8525</v>
      </c>
      <c r="CS350" s="121">
        <f t="shared" si="117"/>
        <v>7656724.8525</v>
      </c>
      <c r="CT350" s="121">
        <f t="shared" si="117"/>
        <v>7656724.8525</v>
      </c>
      <c r="CU350" s="121">
        <f t="shared" si="117"/>
        <v>7656724.8525</v>
      </c>
      <c r="CV350" s="121">
        <f t="shared" si="117"/>
        <v>7656724.8525</v>
      </c>
      <c r="CW350" s="122">
        <f t="shared" si="117"/>
        <v>7656724.8525</v>
      </c>
      <c r="CX350" s="271">
        <f t="shared" si="117"/>
        <v>8288399.6951821186</v>
      </c>
      <c r="CY350" s="274">
        <f t="shared" ref="CY350:DH350" si="118">+CY351+CY361</f>
        <v>8288399.6951821186</v>
      </c>
      <c r="CZ350" s="274">
        <f t="shared" si="118"/>
        <v>8288399.6951821186</v>
      </c>
      <c r="DA350" s="274">
        <f t="shared" si="118"/>
        <v>8288399.6951821186</v>
      </c>
      <c r="DB350" s="274">
        <f t="shared" si="118"/>
        <v>8288399.6951821186</v>
      </c>
      <c r="DC350" s="274">
        <f t="shared" si="118"/>
        <v>8288399.6951821186</v>
      </c>
      <c r="DD350" s="274">
        <f t="shared" si="118"/>
        <v>8288399.6951821186</v>
      </c>
      <c r="DE350" s="274">
        <f t="shared" si="118"/>
        <v>8288399.6951821186</v>
      </c>
      <c r="DF350" s="274">
        <f t="shared" si="118"/>
        <v>8288399.6951821186</v>
      </c>
      <c r="DG350" s="274">
        <f t="shared" si="118"/>
        <v>8288399.6951821186</v>
      </c>
      <c r="DH350" s="274">
        <f t="shared" si="118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119">+DK351+DK361</f>
        <v>10691224.718333334</v>
      </c>
      <c r="DL350" s="121">
        <f t="shared" si="119"/>
        <v>10691224.718333334</v>
      </c>
      <c r="DM350" s="121">
        <f t="shared" si="119"/>
        <v>10691224.718333334</v>
      </c>
      <c r="DN350" s="121">
        <f t="shared" si="119"/>
        <v>10691224.718333334</v>
      </c>
      <c r="DO350" s="121">
        <f t="shared" si="119"/>
        <v>10691224.718333334</v>
      </c>
      <c r="DP350" s="121">
        <f t="shared" si="119"/>
        <v>10691224.718333334</v>
      </c>
      <c r="DQ350" s="121">
        <f t="shared" si="119"/>
        <v>10691224.718333334</v>
      </c>
      <c r="DR350" s="121">
        <f t="shared" si="119"/>
        <v>10691224.718333334</v>
      </c>
      <c r="DS350" s="121">
        <f t="shared" si="119"/>
        <v>10691224.718333334</v>
      </c>
      <c r="DT350" s="121">
        <f t="shared" si="119"/>
        <v>10691224.718333334</v>
      </c>
      <c r="DU350" s="122">
        <f t="shared" si="119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f>+FR351+FR361</f>
        <v>31948493.089999996</v>
      </c>
      <c r="FS350" s="341">
        <f t="shared" ref="FS350:GC350" si="120">+FS351+FS361</f>
        <v>31441965.730000004</v>
      </c>
      <c r="FT350" s="341">
        <f t="shared" si="120"/>
        <v>26207657.279999997</v>
      </c>
      <c r="FU350" s="341">
        <f t="shared" si="120"/>
        <v>22319102.07</v>
      </c>
      <c r="FV350" s="341">
        <f t="shared" si="120"/>
        <v>22373307.649999999</v>
      </c>
      <c r="FW350" s="341">
        <f t="shared" si="120"/>
        <v>22652165.879999999</v>
      </c>
      <c r="FX350" s="341">
        <f t="shared" si="120"/>
        <v>21963404.309999999</v>
      </c>
      <c r="FY350" s="341">
        <f t="shared" si="120"/>
        <v>20219844.279999997</v>
      </c>
      <c r="FZ350" s="341">
        <f t="shared" si="120"/>
        <v>22297775.369999997</v>
      </c>
      <c r="GA350" s="341">
        <f t="shared" si="120"/>
        <v>19929669.639999997</v>
      </c>
      <c r="GB350" s="341">
        <f t="shared" si="120"/>
        <v>18914091.279999997</v>
      </c>
      <c r="GC350" s="341">
        <f t="shared" si="120"/>
        <v>18836341.310000002</v>
      </c>
      <c r="GE350" s="447">
        <f>SUM(FR350:GD350)</f>
        <v>279103817.88999999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97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21">+SUM(CL352:CL360)</f>
        <v>7635891.519166667</v>
      </c>
      <c r="CM351" s="121">
        <f t="shared" si="121"/>
        <v>7635891.519166667</v>
      </c>
      <c r="CN351" s="121">
        <f t="shared" si="121"/>
        <v>7635891.519166667</v>
      </c>
      <c r="CO351" s="121">
        <f t="shared" si="121"/>
        <v>7635891.519166667</v>
      </c>
      <c r="CP351" s="121">
        <f t="shared" si="121"/>
        <v>7635891.519166667</v>
      </c>
      <c r="CQ351" s="121">
        <f t="shared" si="121"/>
        <v>7635891.519166667</v>
      </c>
      <c r="CR351" s="121">
        <f t="shared" si="121"/>
        <v>7635891.519166667</v>
      </c>
      <c r="CS351" s="121">
        <f t="shared" si="121"/>
        <v>7635891.519166667</v>
      </c>
      <c r="CT351" s="121">
        <f t="shared" si="121"/>
        <v>7635891.519166667</v>
      </c>
      <c r="CU351" s="121">
        <f t="shared" si="121"/>
        <v>7635891.519166667</v>
      </c>
      <c r="CV351" s="121">
        <f t="shared" si="121"/>
        <v>7635891.519166667</v>
      </c>
      <c r="CW351" s="122">
        <f t="shared" si="121"/>
        <v>7635891.519166667</v>
      </c>
      <c r="CX351" s="271">
        <f t="shared" si="121"/>
        <v>8102373.0414896114</v>
      </c>
      <c r="CY351" s="274">
        <f t="shared" ref="CY351:DI351" si="122">+SUM(CY352:CY360)</f>
        <v>8102373.0414896114</v>
      </c>
      <c r="CZ351" s="274">
        <f t="shared" si="122"/>
        <v>8102373.0414896114</v>
      </c>
      <c r="DA351" s="274">
        <f t="shared" si="122"/>
        <v>8102373.0414896114</v>
      </c>
      <c r="DB351" s="274">
        <f t="shared" si="122"/>
        <v>8102373.0414896114</v>
      </c>
      <c r="DC351" s="274">
        <f t="shared" si="122"/>
        <v>8102373.0414896114</v>
      </c>
      <c r="DD351" s="274">
        <f t="shared" si="122"/>
        <v>8102373.0414896114</v>
      </c>
      <c r="DE351" s="274">
        <f t="shared" si="122"/>
        <v>8102373.0414896114</v>
      </c>
      <c r="DF351" s="274">
        <f t="shared" si="122"/>
        <v>8102373.0414896114</v>
      </c>
      <c r="DG351" s="274">
        <f t="shared" si="122"/>
        <v>8102373.0414896114</v>
      </c>
      <c r="DH351" s="274">
        <f t="shared" si="122"/>
        <v>8102373.0414896114</v>
      </c>
      <c r="DI351" s="272">
        <f t="shared" si="122"/>
        <v>8101624.3214896088</v>
      </c>
      <c r="DJ351" s="120">
        <f>+SUM(DJ352:DJ360)</f>
        <v>10655599.718333334</v>
      </c>
      <c r="DK351" s="121">
        <f t="shared" ref="DK351:DU351" si="123">+SUM(DK352:DK360)</f>
        <v>10655599.718333334</v>
      </c>
      <c r="DL351" s="121">
        <f t="shared" si="123"/>
        <v>10655599.718333334</v>
      </c>
      <c r="DM351" s="121">
        <f t="shared" si="123"/>
        <v>10655599.718333334</v>
      </c>
      <c r="DN351" s="121">
        <f t="shared" si="123"/>
        <v>10655599.718333334</v>
      </c>
      <c r="DO351" s="121">
        <f t="shared" si="123"/>
        <v>10655599.718333334</v>
      </c>
      <c r="DP351" s="121">
        <f t="shared" si="123"/>
        <v>10655599.718333334</v>
      </c>
      <c r="DQ351" s="121">
        <f t="shared" si="123"/>
        <v>10655599.718333334</v>
      </c>
      <c r="DR351" s="121">
        <f t="shared" si="123"/>
        <v>10655599.718333334</v>
      </c>
      <c r="DS351" s="121">
        <f t="shared" si="123"/>
        <v>10655599.718333334</v>
      </c>
      <c r="DT351" s="121">
        <f t="shared" si="123"/>
        <v>10655599.718333334</v>
      </c>
      <c r="DU351" s="122">
        <f t="shared" si="123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f>SUM(FR352:FR360)</f>
        <v>29552109.689999998</v>
      </c>
      <c r="FS351" s="341">
        <f t="shared" ref="FS351:GC351" si="124">SUM(FS352:FS360)</f>
        <v>29607664.090000004</v>
      </c>
      <c r="FT351" s="341">
        <f t="shared" si="124"/>
        <v>23951745.759999998</v>
      </c>
      <c r="FU351" s="341">
        <f t="shared" si="124"/>
        <v>20506920.43</v>
      </c>
      <c r="FV351" s="341">
        <f t="shared" si="124"/>
        <v>20487766.009999998</v>
      </c>
      <c r="FW351" s="341">
        <f t="shared" si="124"/>
        <v>20249465.32</v>
      </c>
      <c r="FX351" s="341">
        <f t="shared" si="124"/>
        <v>20281100.91</v>
      </c>
      <c r="FY351" s="341">
        <f t="shared" si="124"/>
        <v>18506100.879999999</v>
      </c>
      <c r="FZ351" s="341">
        <f t="shared" si="124"/>
        <v>20609391.969999999</v>
      </c>
      <c r="GA351" s="341">
        <f t="shared" si="124"/>
        <v>18241286.239999998</v>
      </c>
      <c r="GB351" s="341">
        <f t="shared" si="124"/>
        <v>17230707.879999999</v>
      </c>
      <c r="GC351" s="341">
        <f t="shared" si="124"/>
        <v>17152957.920000002</v>
      </c>
      <c r="GE351" s="447">
        <f>SUM(FR351:GD351)</f>
        <v>256377217.09999996</v>
      </c>
    </row>
    <row r="352" spans="1:187">
      <c r="D352" s="72" t="str">
        <f t="shared" si="97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>
        <v>10537428.5</v>
      </c>
      <c r="FS352" s="263">
        <v>10537428.5</v>
      </c>
      <c r="FT352" s="263">
        <v>10537428.5</v>
      </c>
      <c r="FU352" s="263">
        <v>10537428.5</v>
      </c>
      <c r="FV352" s="263">
        <v>10537428.5</v>
      </c>
      <c r="FW352" s="263">
        <v>10537428.5</v>
      </c>
      <c r="FX352" s="263">
        <v>10537428.5</v>
      </c>
      <c r="FY352" s="263">
        <v>10537428.5</v>
      </c>
      <c r="FZ352" s="263">
        <v>10537428.5</v>
      </c>
      <c r="GA352" s="263">
        <v>10537428.5</v>
      </c>
      <c r="GB352" s="263">
        <v>10537428.5</v>
      </c>
      <c r="GC352" s="263">
        <v>10537428.560000001</v>
      </c>
      <c r="GE352" s="448">
        <f>SUM(FR352:GD352)</f>
        <v>126449142.06</v>
      </c>
    </row>
    <row r="353" spans="1:187">
      <c r="D353" s="72" t="str">
        <f t="shared" si="97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>
        <v>2067852.25</v>
      </c>
      <c r="FS353" s="263">
        <v>2067852.25</v>
      </c>
      <c r="FT353" s="263">
        <v>2067852.25</v>
      </c>
      <c r="FU353" s="263">
        <v>2067852.25</v>
      </c>
      <c r="FV353" s="263">
        <v>2067852.25</v>
      </c>
      <c r="FW353" s="263">
        <v>2067852.25</v>
      </c>
      <c r="FX353" s="263">
        <v>2067852.25</v>
      </c>
      <c r="FY353" s="263">
        <v>2067852.25</v>
      </c>
      <c r="FZ353" s="263">
        <v>2067852.25</v>
      </c>
      <c r="GA353" s="263">
        <v>2067852.25</v>
      </c>
      <c r="GB353" s="263">
        <v>2067852.25</v>
      </c>
      <c r="GC353" s="263">
        <v>2067852.25</v>
      </c>
      <c r="GE353" s="448">
        <f t="shared" ref="GE353:GE360" si="125">SUM(FR353:GD353)</f>
        <v>24814227</v>
      </c>
    </row>
    <row r="354" spans="1:187" ht="30">
      <c r="D354" s="72" t="str">
        <f t="shared" si="97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>
        <v>143833.32999999999</v>
      </c>
      <c r="FS354" s="263">
        <v>2325833.33</v>
      </c>
      <c r="FT354" s="263">
        <v>143833.32999999999</v>
      </c>
      <c r="FU354" s="263">
        <v>143833.32999999999</v>
      </c>
      <c r="FV354" s="263">
        <v>143833.32999999999</v>
      </c>
      <c r="FW354" s="263">
        <v>143833.32999999999</v>
      </c>
      <c r="FX354" s="263">
        <v>2325833.33</v>
      </c>
      <c r="FY354" s="263">
        <v>143833.32999999999</v>
      </c>
      <c r="FZ354" s="263">
        <v>143833.32999999999</v>
      </c>
      <c r="GA354" s="263">
        <v>143833.32999999999</v>
      </c>
      <c r="GB354" s="263">
        <v>143833.32999999999</v>
      </c>
      <c r="GC354" s="263">
        <v>143833.37</v>
      </c>
      <c r="GE354" s="448">
        <f t="shared" si="125"/>
        <v>6090000.0000000009</v>
      </c>
    </row>
    <row r="355" spans="1:187" ht="30">
      <c r="D355" s="72" t="str">
        <f t="shared" si="97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>
        <v>595011.0199999999</v>
      </c>
      <c r="FS355" s="263">
        <v>712324.97</v>
      </c>
      <c r="FT355" s="263">
        <v>712324.97</v>
      </c>
      <c r="FU355" s="263">
        <v>712324.97</v>
      </c>
      <c r="FV355" s="263">
        <v>712324.97</v>
      </c>
      <c r="FW355" s="263">
        <v>495004.31</v>
      </c>
      <c r="FX355" s="263">
        <v>423823.19</v>
      </c>
      <c r="FY355" s="263">
        <v>423823.18</v>
      </c>
      <c r="FZ355" s="263">
        <v>629614.2699999999</v>
      </c>
      <c r="GA355" s="263">
        <v>563368.53999999992</v>
      </c>
      <c r="GB355" s="263">
        <v>423823.18</v>
      </c>
      <c r="GC355" s="263">
        <v>423823.22</v>
      </c>
      <c r="GE355" s="448">
        <f t="shared" si="125"/>
        <v>6827590.7899999982</v>
      </c>
    </row>
    <row r="356" spans="1:187" ht="30">
      <c r="D356" s="72" t="str">
        <f t="shared" si="97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>
        <v>492802.17</v>
      </c>
      <c r="FS356" s="263">
        <v>502802.17</v>
      </c>
      <c r="FT356" s="263">
        <v>642802.16</v>
      </c>
      <c r="FU356" s="263">
        <v>502802.17</v>
      </c>
      <c r="FV356" s="263">
        <v>505592.2</v>
      </c>
      <c r="FW356" s="263">
        <v>492802.17</v>
      </c>
      <c r="FX356" s="263">
        <v>492802.17</v>
      </c>
      <c r="FY356" s="263">
        <v>492802.17</v>
      </c>
      <c r="FZ356" s="263">
        <v>492802.17</v>
      </c>
      <c r="GA356" s="263">
        <v>492802.17</v>
      </c>
      <c r="GB356" s="263">
        <v>492802.17</v>
      </c>
      <c r="GC356" s="263">
        <v>492802.13</v>
      </c>
      <c r="GE356" s="448">
        <f t="shared" si="125"/>
        <v>6096416.0199999996</v>
      </c>
    </row>
    <row r="357" spans="1:187" ht="30">
      <c r="D357" s="72" t="str">
        <f t="shared" si="97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>
        <v>212422.34000000003</v>
      </c>
      <c r="FS357" s="263">
        <v>212432.34000000003</v>
      </c>
      <c r="FT357" s="263">
        <v>211190.34000000003</v>
      </c>
      <c r="FU357" s="263">
        <v>211348.34000000003</v>
      </c>
      <c r="FV357" s="263">
        <v>211848.33000000002</v>
      </c>
      <c r="FW357" s="263">
        <v>211848.33000000002</v>
      </c>
      <c r="FX357" s="263">
        <v>161015</v>
      </c>
      <c r="FY357" s="263">
        <v>161015</v>
      </c>
      <c r="FZ357" s="263">
        <v>161015</v>
      </c>
      <c r="GA357" s="263">
        <v>161015</v>
      </c>
      <c r="GB357" s="263">
        <v>161015.01</v>
      </c>
      <c r="GC357" s="263">
        <v>161014.97</v>
      </c>
      <c r="GE357" s="448">
        <f t="shared" si="125"/>
        <v>2237180.0000000005</v>
      </c>
    </row>
    <row r="358" spans="1:187" ht="30">
      <c r="D358" s="72" t="str">
        <f t="shared" si="97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>
        <v>1416.66</v>
      </c>
      <c r="FS358" s="263">
        <v>833752.67</v>
      </c>
      <c r="FT358" s="263">
        <v>833749.67</v>
      </c>
      <c r="FU358" s="263">
        <v>833749.67</v>
      </c>
      <c r="FV358" s="263">
        <v>833749.67</v>
      </c>
      <c r="FW358" s="263">
        <v>833749.67</v>
      </c>
      <c r="FX358" s="263">
        <v>833749.67</v>
      </c>
      <c r="FY358" s="263">
        <v>833749.67</v>
      </c>
      <c r="FZ358" s="263">
        <v>833749.67</v>
      </c>
      <c r="GA358" s="263">
        <v>833749.67</v>
      </c>
      <c r="GB358" s="263">
        <v>416.67</v>
      </c>
      <c r="GC358" s="263">
        <v>416.64000000000004</v>
      </c>
      <c r="GE358" s="448">
        <f t="shared" si="125"/>
        <v>7505999.9999999991</v>
      </c>
    </row>
    <row r="359" spans="1:187">
      <c r="D359" s="72" t="str">
        <f t="shared" si="97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>
        <v>1599893.08</v>
      </c>
      <c r="FS359" s="263">
        <v>2426954.19</v>
      </c>
      <c r="FT359" s="263">
        <v>2410947.5300000003</v>
      </c>
      <c r="FU359" s="263">
        <v>1405964.2</v>
      </c>
      <c r="FV359" s="263">
        <v>1406519.76</v>
      </c>
      <c r="FW359" s="263">
        <v>1405329.76</v>
      </c>
      <c r="FX359" s="263">
        <v>1864396.45</v>
      </c>
      <c r="FY359" s="263">
        <v>1861396.4300000002</v>
      </c>
      <c r="FZ359" s="263">
        <v>1861396.44</v>
      </c>
      <c r="GA359" s="263">
        <v>1871536.4300000002</v>
      </c>
      <c r="GB359" s="263">
        <v>1871836.42</v>
      </c>
      <c r="GC359" s="263">
        <v>1794086.4500000002</v>
      </c>
      <c r="GE359" s="448">
        <f t="shared" si="125"/>
        <v>21780257.139999997</v>
      </c>
    </row>
    <row r="360" spans="1:187">
      <c r="D360" s="72" t="str">
        <f t="shared" si="97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>
        <v>13901450.34</v>
      </c>
      <c r="FS360" s="263">
        <v>9988283.6699999999</v>
      </c>
      <c r="FT360" s="263">
        <v>6391617.0099999998</v>
      </c>
      <c r="FU360" s="263">
        <v>4091617</v>
      </c>
      <c r="FV360" s="263">
        <v>4068617</v>
      </c>
      <c r="FW360" s="263">
        <v>4061617</v>
      </c>
      <c r="FX360" s="263">
        <v>1574200.35</v>
      </c>
      <c r="FY360" s="263">
        <v>1984200.35</v>
      </c>
      <c r="FZ360" s="263">
        <v>3881700.34</v>
      </c>
      <c r="GA360" s="263">
        <v>1569700.35</v>
      </c>
      <c r="GB360" s="263">
        <v>1531700.35</v>
      </c>
      <c r="GC360" s="263">
        <v>1531700.33</v>
      </c>
      <c r="GE360" s="448">
        <f t="shared" si="125"/>
        <v>54576404.090000004</v>
      </c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97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26">+SUM(CL362:CL367)</f>
        <v>20833.333333333332</v>
      </c>
      <c r="CM361" s="121">
        <f t="shared" si="126"/>
        <v>20833.333333333332</v>
      </c>
      <c r="CN361" s="121">
        <f t="shared" si="126"/>
        <v>20833.333333333332</v>
      </c>
      <c r="CO361" s="121">
        <f t="shared" si="126"/>
        <v>20833.333333333332</v>
      </c>
      <c r="CP361" s="121">
        <f t="shared" si="126"/>
        <v>20833.333333333332</v>
      </c>
      <c r="CQ361" s="121">
        <f t="shared" si="126"/>
        <v>20833.333333333332</v>
      </c>
      <c r="CR361" s="121">
        <f t="shared" si="126"/>
        <v>20833.333333333332</v>
      </c>
      <c r="CS361" s="121">
        <f t="shared" si="126"/>
        <v>20833.333333333332</v>
      </c>
      <c r="CT361" s="121">
        <f t="shared" si="126"/>
        <v>20833.333333333332</v>
      </c>
      <c r="CU361" s="121">
        <f t="shared" si="126"/>
        <v>20833.333333333332</v>
      </c>
      <c r="CV361" s="121">
        <f t="shared" si="126"/>
        <v>20833.333333333332</v>
      </c>
      <c r="CW361" s="122">
        <f t="shared" si="126"/>
        <v>20833.333333333332</v>
      </c>
      <c r="CX361" s="271">
        <f t="shared" si="126"/>
        <v>186026.65369250745</v>
      </c>
      <c r="CY361" s="274">
        <f t="shared" ref="CY361:DI361" si="127">+SUM(CY362:CY367)</f>
        <v>186026.65369250745</v>
      </c>
      <c r="CZ361" s="274">
        <f t="shared" si="127"/>
        <v>186026.65369250745</v>
      </c>
      <c r="DA361" s="274">
        <f t="shared" si="127"/>
        <v>186026.65369250745</v>
      </c>
      <c r="DB361" s="274">
        <f t="shared" si="127"/>
        <v>186026.65369250745</v>
      </c>
      <c r="DC361" s="274">
        <f t="shared" si="127"/>
        <v>186026.65369250745</v>
      </c>
      <c r="DD361" s="274">
        <f t="shared" si="127"/>
        <v>186026.65369250745</v>
      </c>
      <c r="DE361" s="274">
        <f t="shared" si="127"/>
        <v>186026.65369250745</v>
      </c>
      <c r="DF361" s="274">
        <f t="shared" si="127"/>
        <v>186026.65369250745</v>
      </c>
      <c r="DG361" s="274">
        <f t="shared" si="127"/>
        <v>186026.65369250745</v>
      </c>
      <c r="DH361" s="274">
        <f t="shared" si="127"/>
        <v>186026.65369250745</v>
      </c>
      <c r="DI361" s="272">
        <f t="shared" si="127"/>
        <v>186026.65369250745</v>
      </c>
      <c r="DJ361" s="120">
        <f>+SUM(DJ362:DJ367)</f>
        <v>35625</v>
      </c>
      <c r="DK361" s="121">
        <f t="shared" ref="DK361:DU361" si="128">+SUM(DK362:DK367)</f>
        <v>35625</v>
      </c>
      <c r="DL361" s="121">
        <f t="shared" si="128"/>
        <v>35625</v>
      </c>
      <c r="DM361" s="121">
        <f t="shared" si="128"/>
        <v>35625</v>
      </c>
      <c r="DN361" s="121">
        <f t="shared" si="128"/>
        <v>35625</v>
      </c>
      <c r="DO361" s="121">
        <f t="shared" si="128"/>
        <v>35625</v>
      </c>
      <c r="DP361" s="121">
        <f t="shared" si="128"/>
        <v>35625</v>
      </c>
      <c r="DQ361" s="121">
        <f t="shared" si="128"/>
        <v>35625</v>
      </c>
      <c r="DR361" s="121">
        <f t="shared" si="128"/>
        <v>35625</v>
      </c>
      <c r="DS361" s="121">
        <f t="shared" si="128"/>
        <v>35625</v>
      </c>
      <c r="DT361" s="121">
        <f t="shared" si="128"/>
        <v>35625</v>
      </c>
      <c r="DU361" s="122">
        <f t="shared" si="128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f>SUM(FR362:FR367)</f>
        <v>2396383.4</v>
      </c>
      <c r="FS361" s="341">
        <f t="shared" ref="FS361:GC361" si="129">SUM(FS362:FS367)</f>
        <v>1834301.6400000001</v>
      </c>
      <c r="FT361" s="341">
        <f t="shared" si="129"/>
        <v>2255911.52</v>
      </c>
      <c r="FU361" s="341">
        <f t="shared" si="129"/>
        <v>1812181.6400000001</v>
      </c>
      <c r="FV361" s="341">
        <f t="shared" si="129"/>
        <v>1885541.6400000001</v>
      </c>
      <c r="FW361" s="341">
        <f t="shared" si="129"/>
        <v>2402700.56</v>
      </c>
      <c r="FX361" s="341">
        <f t="shared" si="129"/>
        <v>1682303.4000000001</v>
      </c>
      <c r="FY361" s="341">
        <f t="shared" si="129"/>
        <v>1713743.4000000001</v>
      </c>
      <c r="FZ361" s="341">
        <f t="shared" si="129"/>
        <v>1688383.4000000001</v>
      </c>
      <c r="GA361" s="341">
        <f t="shared" si="129"/>
        <v>1688383.4000000001</v>
      </c>
      <c r="GB361" s="341">
        <f t="shared" si="129"/>
        <v>1683383.4000000001</v>
      </c>
      <c r="GC361" s="341">
        <f t="shared" si="129"/>
        <v>1683383.3900000001</v>
      </c>
      <c r="GE361" s="447">
        <f>SUM(FR361:GD361)</f>
        <v>22726600.789999999</v>
      </c>
    </row>
    <row r="362" spans="1:187" ht="30">
      <c r="D362" s="72" t="str">
        <f t="shared" ref="D362:D393" si="130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>
        <f t="shared" ref="FR362:GC362" si="131">SUM(CK362:FQ362)</f>
        <v>0</v>
      </c>
      <c r="FS362" s="263">
        <f t="shared" si="131"/>
        <v>0</v>
      </c>
      <c r="FT362" s="263">
        <f t="shared" si="131"/>
        <v>0</v>
      </c>
      <c r="FU362" s="263">
        <f t="shared" si="131"/>
        <v>0</v>
      </c>
      <c r="FV362" s="263">
        <f t="shared" si="131"/>
        <v>0</v>
      </c>
      <c r="FW362" s="263">
        <f t="shared" si="131"/>
        <v>0</v>
      </c>
      <c r="FX362" s="263">
        <f t="shared" si="131"/>
        <v>0</v>
      </c>
      <c r="FY362" s="263">
        <f t="shared" si="131"/>
        <v>0</v>
      </c>
      <c r="FZ362" s="263">
        <f t="shared" si="131"/>
        <v>0</v>
      </c>
      <c r="GA362" s="263">
        <f t="shared" si="131"/>
        <v>0</v>
      </c>
      <c r="GB362" s="263">
        <f t="shared" si="131"/>
        <v>0</v>
      </c>
      <c r="GC362" s="263">
        <f t="shared" si="131"/>
        <v>0</v>
      </c>
      <c r="GD362" s="263"/>
      <c r="GE362" s="448">
        <f>SUM(FR362:GC362)</f>
        <v>0</v>
      </c>
    </row>
    <row r="363" spans="1:187">
      <c r="D363" s="72" t="str">
        <f t="shared" si="130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8">
        <f t="shared" ref="GE363:GE367" si="132">SUM(FR363:GC363)</f>
        <v>0</v>
      </c>
    </row>
    <row r="364" spans="1:187" ht="30">
      <c r="D364" s="72" t="str">
        <f t="shared" si="130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8">
        <f t="shared" si="132"/>
        <v>0</v>
      </c>
    </row>
    <row r="365" spans="1:187">
      <c r="D365" s="72" t="str">
        <f t="shared" si="130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>
        <v>538275.06999999995</v>
      </c>
      <c r="FS365" s="263">
        <v>579193.31000000006</v>
      </c>
      <c r="FT365" s="263">
        <v>1000803.19</v>
      </c>
      <c r="FU365" s="263">
        <v>557073.31000000006</v>
      </c>
      <c r="FV365" s="263">
        <v>630433.31000000006</v>
      </c>
      <c r="FW365" s="263">
        <v>544592.23</v>
      </c>
      <c r="FX365" s="263">
        <v>427195.07</v>
      </c>
      <c r="FY365" s="263">
        <v>458635.07</v>
      </c>
      <c r="FZ365" s="263">
        <v>433275.07</v>
      </c>
      <c r="GA365" s="263">
        <v>433275.07</v>
      </c>
      <c r="GB365" s="263">
        <v>428275.07</v>
      </c>
      <c r="GC365" s="263">
        <v>428275.02</v>
      </c>
      <c r="GE365" s="448">
        <f t="shared" si="132"/>
        <v>6459300.790000001</v>
      </c>
    </row>
    <row r="366" spans="1:187">
      <c r="D366" s="72" t="str">
        <f t="shared" si="130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8">
        <f t="shared" si="132"/>
        <v>0</v>
      </c>
    </row>
    <row r="367" spans="1:187">
      <c r="D367" s="72" t="str">
        <f t="shared" si="130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>
        <v>1858108.33</v>
      </c>
      <c r="FS367" s="263">
        <v>1255108.33</v>
      </c>
      <c r="FT367" s="263">
        <v>1255108.33</v>
      </c>
      <c r="FU367" s="263">
        <v>1255108.33</v>
      </c>
      <c r="FV367" s="263">
        <v>1255108.33</v>
      </c>
      <c r="FW367" s="263">
        <v>1858108.33</v>
      </c>
      <c r="FX367" s="263">
        <v>1255108.33</v>
      </c>
      <c r="FY367" s="263">
        <v>1255108.33</v>
      </c>
      <c r="FZ367" s="263">
        <v>1255108.33</v>
      </c>
      <c r="GA367" s="263">
        <v>1255108.33</v>
      </c>
      <c r="GB367" s="263">
        <v>1255108.33</v>
      </c>
      <c r="GC367" s="263">
        <v>1255108.3700000001</v>
      </c>
      <c r="GE367" s="448">
        <f t="shared" si="132"/>
        <v>16267300</v>
      </c>
    </row>
    <row r="368" spans="1:187" s="9" customFormat="1">
      <c r="A368" s="118"/>
      <c r="B368" s="118"/>
      <c r="C368" s="118">
        <v>441</v>
      </c>
      <c r="D368" s="118" t="str">
        <f t="shared" si="130"/>
        <v>44p</v>
      </c>
      <c r="E368" s="451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f>SUM(FR369:FR377)-FR376</f>
        <v>21519942.029999997</v>
      </c>
      <c r="FS368" s="341">
        <f t="shared" ref="FS368:GC368" si="133">SUM(FS369:FS377)-FS376</f>
        <v>24306340.929999996</v>
      </c>
      <c r="FT368" s="341">
        <f t="shared" si="133"/>
        <v>21977496.549999997</v>
      </c>
      <c r="FU368" s="341">
        <f t="shared" si="133"/>
        <v>20664326.639999997</v>
      </c>
      <c r="FV368" s="341">
        <f t="shared" si="133"/>
        <v>20988486.939999994</v>
      </c>
      <c r="FW368" s="341">
        <f t="shared" si="133"/>
        <v>20884342.929999996</v>
      </c>
      <c r="FX368" s="341">
        <f t="shared" si="133"/>
        <v>21398452.499999996</v>
      </c>
      <c r="FY368" s="341">
        <f t="shared" si="133"/>
        <v>20656782.02</v>
      </c>
      <c r="FZ368" s="341">
        <f t="shared" si="133"/>
        <v>21003540.559999999</v>
      </c>
      <c r="GA368" s="341">
        <f t="shared" si="133"/>
        <v>20436984.68</v>
      </c>
      <c r="GB368" s="341">
        <f t="shared" si="133"/>
        <v>20361598.02</v>
      </c>
      <c r="GC368" s="341">
        <f t="shared" si="133"/>
        <v>20355363.090000004</v>
      </c>
      <c r="GE368" s="447">
        <f>SUM(FR368:GD368)</f>
        <v>254553656.89000002</v>
      </c>
    </row>
    <row r="369" spans="1:187" ht="30">
      <c r="D369" s="72" t="str">
        <f t="shared" si="130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>
        <v>14293812.41</v>
      </c>
      <c r="FS369" s="263">
        <v>14293812.41</v>
      </c>
      <c r="FT369" s="263">
        <v>14293812.41</v>
      </c>
      <c r="FU369" s="263">
        <v>14293812.41</v>
      </c>
      <c r="FV369" s="263">
        <v>14293812.41</v>
      </c>
      <c r="FW369" s="263">
        <v>14293812.41</v>
      </c>
      <c r="FX369" s="263">
        <v>14293812.41</v>
      </c>
      <c r="FY369" s="263">
        <v>14293812.41</v>
      </c>
      <c r="FZ369" s="263">
        <v>14293812.41</v>
      </c>
      <c r="GA369" s="263">
        <v>14293812.41</v>
      </c>
      <c r="GB369" s="263">
        <v>14293812.41</v>
      </c>
      <c r="GC369" s="263">
        <v>14293812.49</v>
      </c>
      <c r="GE369" s="448">
        <f>SUM(FR369:GD369)</f>
        <v>171525749</v>
      </c>
    </row>
    <row r="370" spans="1:187">
      <c r="D370" s="72" t="str">
        <f t="shared" si="130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>
        <v>1212452.0900000001</v>
      </c>
      <c r="FS370" s="263">
        <v>1344118.77</v>
      </c>
      <c r="FT370" s="263">
        <v>1528285.4300000002</v>
      </c>
      <c r="FU370" s="263">
        <v>1528285.4300000002</v>
      </c>
      <c r="FV370" s="263">
        <v>1228285.42</v>
      </c>
      <c r="FW370" s="263">
        <v>1118285.42</v>
      </c>
      <c r="FX370" s="263">
        <v>1100285.42</v>
      </c>
      <c r="FY370" s="263">
        <v>1099285.42</v>
      </c>
      <c r="FZ370" s="263">
        <v>1099285.42</v>
      </c>
      <c r="GA370" s="263">
        <v>1099285.42</v>
      </c>
      <c r="GB370" s="263">
        <v>1099285.42</v>
      </c>
      <c r="GC370" s="263">
        <v>1092285.3399999999</v>
      </c>
      <c r="GE370" s="448">
        <f t="shared" ref="GE370:GE377" si="134">SUM(FR370:GD370)</f>
        <v>14549425</v>
      </c>
    </row>
    <row r="371" spans="1:187">
      <c r="D371" s="72" t="str">
        <f t="shared" si="130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>
        <v>2470663.62</v>
      </c>
      <c r="FS371" s="263">
        <v>2815893.52</v>
      </c>
      <c r="FT371" s="263">
        <v>2259333.63</v>
      </c>
      <c r="FU371" s="263">
        <v>2048178.07</v>
      </c>
      <c r="FV371" s="263">
        <v>2142728.0700000003</v>
      </c>
      <c r="FW371" s="263">
        <v>2500577.9699999997</v>
      </c>
      <c r="FX371" s="263">
        <v>2688178.0700000003</v>
      </c>
      <c r="FY371" s="263">
        <v>2328178.08</v>
      </c>
      <c r="FZ371" s="263">
        <v>2700127.96</v>
      </c>
      <c r="GA371" s="263">
        <v>2357978.08</v>
      </c>
      <c r="GB371" s="263">
        <v>2308178.0700000003</v>
      </c>
      <c r="GC371" s="263">
        <v>2232728.11</v>
      </c>
      <c r="GE371" s="448">
        <f t="shared" si="134"/>
        <v>28852743.25</v>
      </c>
    </row>
    <row r="372" spans="1:187">
      <c r="D372" s="72" t="str">
        <f t="shared" si="130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>
        <v>62500.08</v>
      </c>
      <c r="FS372" s="263">
        <v>62500.08</v>
      </c>
      <c r="FT372" s="263">
        <v>62500.08</v>
      </c>
      <c r="FU372" s="263">
        <v>62500.08</v>
      </c>
      <c r="FV372" s="263">
        <v>62500.08</v>
      </c>
      <c r="FW372" s="263">
        <v>62500.08</v>
      </c>
      <c r="FX372" s="263">
        <v>93333.42</v>
      </c>
      <c r="FY372" s="263">
        <v>93333.42</v>
      </c>
      <c r="FZ372" s="263">
        <v>93333.42</v>
      </c>
      <c r="GA372" s="263">
        <v>93333.42</v>
      </c>
      <c r="GB372" s="263">
        <v>93333.42</v>
      </c>
      <c r="GC372" s="263">
        <v>93333.42</v>
      </c>
      <c r="GE372" s="448">
        <f t="shared" si="134"/>
        <v>935001.00000000023</v>
      </c>
    </row>
    <row r="373" spans="1:187">
      <c r="D373" s="72" t="str">
        <f t="shared" si="130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>
        <v>2990493.3400000003</v>
      </c>
      <c r="FS373" s="263">
        <v>5186632.43</v>
      </c>
      <c r="FT373" s="263">
        <v>3280898.2800000003</v>
      </c>
      <c r="FU373" s="263">
        <v>2225833.27</v>
      </c>
      <c r="FV373" s="263">
        <v>2769276.91</v>
      </c>
      <c r="FW373" s="263">
        <v>2301133</v>
      </c>
      <c r="FX373" s="263">
        <v>2656195.4700000002</v>
      </c>
      <c r="FY373" s="263">
        <v>2320622.98</v>
      </c>
      <c r="FZ373" s="263">
        <v>2193765.6399999997</v>
      </c>
      <c r="GA373" s="263">
        <v>2072025.64</v>
      </c>
      <c r="GB373" s="263">
        <v>2068005.66</v>
      </c>
      <c r="GC373" s="263">
        <v>2041623.02</v>
      </c>
      <c r="GE373" s="448">
        <f t="shared" si="134"/>
        <v>32106505.640000001</v>
      </c>
    </row>
    <row r="374" spans="1:187">
      <c r="D374" s="72" t="str">
        <f t="shared" si="130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>
        <v>356103.82</v>
      </c>
      <c r="FS374" s="263">
        <v>469467.05</v>
      </c>
      <c r="FT374" s="263">
        <v>418750.05</v>
      </c>
      <c r="FU374" s="263">
        <v>371800.71</v>
      </c>
      <c r="FV374" s="263">
        <v>357967.38</v>
      </c>
      <c r="FW374" s="263">
        <v>474117.38</v>
      </c>
      <c r="FX374" s="263">
        <v>432731.04</v>
      </c>
      <c r="FY374" s="263">
        <v>387633.04</v>
      </c>
      <c r="FZ374" s="263">
        <v>489299.04</v>
      </c>
      <c r="GA374" s="263">
        <v>386633.04</v>
      </c>
      <c r="GB374" s="263">
        <v>365066.37000000005</v>
      </c>
      <c r="GC374" s="263">
        <v>467664.07999999996</v>
      </c>
      <c r="GE374" s="448">
        <f t="shared" si="134"/>
        <v>4977233</v>
      </c>
    </row>
    <row r="375" spans="1:187">
      <c r="D375" s="72" t="str">
        <f t="shared" si="130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>
        <v>23083.33</v>
      </c>
      <c r="FS375" s="263">
        <v>23083.33</v>
      </c>
      <c r="FT375" s="263">
        <v>23083.33</v>
      </c>
      <c r="FU375" s="263">
        <v>23083.33</v>
      </c>
      <c r="FV375" s="263">
        <v>23083.33</v>
      </c>
      <c r="FW375" s="263">
        <v>23083.33</v>
      </c>
      <c r="FX375" s="263">
        <v>23083.33</v>
      </c>
      <c r="FY375" s="263">
        <v>23083.33</v>
      </c>
      <c r="FZ375" s="263">
        <v>23083.33</v>
      </c>
      <c r="GA375" s="263">
        <v>23083.33</v>
      </c>
      <c r="GB375" s="263">
        <v>23083.33</v>
      </c>
      <c r="GC375" s="263">
        <v>23083.370000000003</v>
      </c>
      <c r="GE375" s="448">
        <f t="shared" si="134"/>
        <v>277000.00000000006</v>
      </c>
    </row>
    <row r="376" spans="1:187" ht="30">
      <c r="D376" s="72" t="str">
        <f t="shared" si="130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>
        <v>84166.66</v>
      </c>
      <c r="FS376" s="263">
        <v>84166.66</v>
      </c>
      <c r="FT376" s="263">
        <v>84166.66</v>
      </c>
      <c r="FU376" s="263">
        <v>84166.66</v>
      </c>
      <c r="FV376" s="263">
        <v>84166.66</v>
      </c>
      <c r="FW376" s="263">
        <v>84166.66</v>
      </c>
      <c r="FX376" s="263">
        <v>84166.66</v>
      </c>
      <c r="FY376" s="263">
        <v>84166.66</v>
      </c>
      <c r="FZ376" s="263">
        <v>84166.66</v>
      </c>
      <c r="GA376" s="263">
        <v>84166.66</v>
      </c>
      <c r="GB376" s="263">
        <v>84166.66</v>
      </c>
      <c r="GC376" s="263">
        <v>84166.74</v>
      </c>
      <c r="GE376" s="448">
        <f t="shared" si="134"/>
        <v>1010000.0000000002</v>
      </c>
    </row>
    <row r="377" spans="1:187">
      <c r="D377" s="72" t="str">
        <f t="shared" si="130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>
        <v>110833.34</v>
      </c>
      <c r="FS377" s="263">
        <v>110833.34</v>
      </c>
      <c r="FT377" s="263">
        <v>110833.34</v>
      </c>
      <c r="FU377" s="263">
        <v>110833.34</v>
      </c>
      <c r="FV377" s="263">
        <v>110833.34</v>
      </c>
      <c r="FW377" s="263">
        <v>110833.34</v>
      </c>
      <c r="FX377" s="263">
        <v>110833.34</v>
      </c>
      <c r="FY377" s="263">
        <v>110833.34</v>
      </c>
      <c r="FZ377" s="263">
        <v>110833.34</v>
      </c>
      <c r="GA377" s="263">
        <v>110833.34</v>
      </c>
      <c r="GB377" s="263">
        <v>110833.34</v>
      </c>
      <c r="GC377" s="263">
        <v>110833.26</v>
      </c>
      <c r="GE377" s="448">
        <f t="shared" si="134"/>
        <v>1330000</v>
      </c>
    </row>
    <row r="378" spans="1:187" s="9" customFormat="1">
      <c r="A378" s="118" t="s">
        <v>94</v>
      </c>
      <c r="B378" s="118">
        <v>45</v>
      </c>
      <c r="C378" s="118"/>
      <c r="D378" s="118" t="str">
        <f t="shared" si="130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35">+CM379</f>
        <v>143333.33333333334</v>
      </c>
      <c r="CN378" s="121">
        <f t="shared" si="135"/>
        <v>143333.33333333334</v>
      </c>
      <c r="CO378" s="121">
        <f t="shared" si="135"/>
        <v>143333.33333333334</v>
      </c>
      <c r="CP378" s="121">
        <f t="shared" si="135"/>
        <v>143333.33333333334</v>
      </c>
      <c r="CQ378" s="121">
        <f t="shared" si="135"/>
        <v>143333.33333333334</v>
      </c>
      <c r="CR378" s="121">
        <f t="shared" si="135"/>
        <v>143333.33333333334</v>
      </c>
      <c r="CS378" s="121">
        <f t="shared" si="135"/>
        <v>143333.33333333334</v>
      </c>
      <c r="CT378" s="121">
        <f t="shared" si="135"/>
        <v>143333.33333333334</v>
      </c>
      <c r="CU378" s="121">
        <f t="shared" si="135"/>
        <v>143333.33333333334</v>
      </c>
      <c r="CV378" s="121">
        <f t="shared" si="135"/>
        <v>143333.33333333334</v>
      </c>
      <c r="CW378" s="122">
        <f t="shared" si="135"/>
        <v>143333.33333333334</v>
      </c>
      <c r="CX378" s="271">
        <f t="shared" si="135"/>
        <v>178333.33333333334</v>
      </c>
      <c r="CY378" s="274">
        <f t="shared" si="135"/>
        <v>178333.33333333334</v>
      </c>
      <c r="CZ378" s="274">
        <f t="shared" si="135"/>
        <v>178333.33333333334</v>
      </c>
      <c r="DA378" s="274">
        <f t="shared" si="135"/>
        <v>178333.33333333334</v>
      </c>
      <c r="DB378" s="274">
        <f t="shared" si="135"/>
        <v>178333.33333333334</v>
      </c>
      <c r="DC378" s="274">
        <f t="shared" si="135"/>
        <v>178333.33333333334</v>
      </c>
      <c r="DD378" s="274">
        <f t="shared" si="135"/>
        <v>178333.33333333334</v>
      </c>
      <c r="DE378" s="274">
        <f t="shared" si="135"/>
        <v>178333.33333333334</v>
      </c>
      <c r="DF378" s="274">
        <f t="shared" si="135"/>
        <v>178333.33333333334</v>
      </c>
      <c r="DG378" s="274">
        <f t="shared" si="135"/>
        <v>178333.33333333334</v>
      </c>
      <c r="DH378" s="274">
        <f t="shared" si="135"/>
        <v>178333.33333333334</v>
      </c>
      <c r="DI378" s="272">
        <f t="shared" si="135"/>
        <v>178333.33333333334</v>
      </c>
      <c r="DJ378" s="120">
        <f>+DJ379</f>
        <v>187500</v>
      </c>
      <c r="DK378" s="121">
        <f t="shared" ref="DK378:DU378" si="136">+DK379</f>
        <v>187500</v>
      </c>
      <c r="DL378" s="121">
        <f t="shared" si="136"/>
        <v>187500</v>
      </c>
      <c r="DM378" s="121">
        <f t="shared" si="136"/>
        <v>187500</v>
      </c>
      <c r="DN378" s="121">
        <f t="shared" si="136"/>
        <v>187500</v>
      </c>
      <c r="DO378" s="121">
        <f t="shared" si="136"/>
        <v>187500</v>
      </c>
      <c r="DP378" s="121">
        <f t="shared" si="136"/>
        <v>187500</v>
      </c>
      <c r="DQ378" s="121">
        <f t="shared" si="136"/>
        <v>187500</v>
      </c>
      <c r="DR378" s="121">
        <f t="shared" si="136"/>
        <v>187500</v>
      </c>
      <c r="DS378" s="121">
        <f t="shared" si="136"/>
        <v>187500</v>
      </c>
      <c r="DT378" s="121">
        <f t="shared" si="136"/>
        <v>187500</v>
      </c>
      <c r="DU378" s="122">
        <f t="shared" si="136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f>SUM(FR379:FR384)</f>
        <v>140000.09</v>
      </c>
      <c r="FS378" s="341">
        <f t="shared" ref="FS378:GC378" si="137">SUM(FS379:FS384)</f>
        <v>140000.09</v>
      </c>
      <c r="FT378" s="341">
        <f t="shared" si="137"/>
        <v>140000.09</v>
      </c>
      <c r="FU378" s="341">
        <f t="shared" si="137"/>
        <v>140000.09</v>
      </c>
      <c r="FV378" s="341">
        <f t="shared" si="137"/>
        <v>140000.09</v>
      </c>
      <c r="FW378" s="341">
        <f t="shared" si="137"/>
        <v>140000.09</v>
      </c>
      <c r="FX378" s="341">
        <f t="shared" si="137"/>
        <v>140000.09</v>
      </c>
      <c r="FY378" s="341">
        <f t="shared" si="137"/>
        <v>140000.09</v>
      </c>
      <c r="FZ378" s="341">
        <f t="shared" si="137"/>
        <v>140000.09</v>
      </c>
      <c r="GA378" s="341">
        <f t="shared" si="137"/>
        <v>140000.09</v>
      </c>
      <c r="GB378" s="341">
        <f t="shared" si="137"/>
        <v>140000.09</v>
      </c>
      <c r="GC378" s="341">
        <f t="shared" si="137"/>
        <v>140000.01</v>
      </c>
      <c r="GE378" s="447">
        <f>SUM(FR378:GD378)</f>
        <v>1680001.0000000002</v>
      </c>
    </row>
    <row r="379" spans="1:187">
      <c r="C379" s="72">
        <v>451</v>
      </c>
      <c r="D379" s="72" t="str">
        <f t="shared" si="130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38">++SUM(CM380:CM384)</f>
        <v>143333.33333333334</v>
      </c>
      <c r="CN379" s="101">
        <f t="shared" si="138"/>
        <v>143333.33333333334</v>
      </c>
      <c r="CO379" s="101">
        <f t="shared" si="138"/>
        <v>143333.33333333334</v>
      </c>
      <c r="CP379" s="101">
        <f t="shared" si="138"/>
        <v>143333.33333333334</v>
      </c>
      <c r="CQ379" s="101">
        <f t="shared" si="138"/>
        <v>143333.33333333334</v>
      </c>
      <c r="CR379" s="101">
        <f t="shared" si="138"/>
        <v>143333.33333333334</v>
      </c>
      <c r="CS379" s="101">
        <f t="shared" si="138"/>
        <v>143333.33333333334</v>
      </c>
      <c r="CT379" s="101">
        <f t="shared" si="138"/>
        <v>143333.33333333334</v>
      </c>
      <c r="CU379" s="101">
        <f t="shared" si="138"/>
        <v>143333.33333333334</v>
      </c>
      <c r="CV379" s="101">
        <f t="shared" si="138"/>
        <v>143333.33333333334</v>
      </c>
      <c r="CW379" s="102">
        <f t="shared" si="138"/>
        <v>143333.33333333334</v>
      </c>
      <c r="CX379" s="270">
        <f t="shared" si="138"/>
        <v>178333.33333333334</v>
      </c>
      <c r="CY379" s="273">
        <f t="shared" si="138"/>
        <v>178333.33333333334</v>
      </c>
      <c r="CZ379" s="273">
        <f t="shared" si="138"/>
        <v>178333.33333333334</v>
      </c>
      <c r="DA379" s="273">
        <f t="shared" si="138"/>
        <v>178333.33333333334</v>
      </c>
      <c r="DB379" s="273">
        <f t="shared" si="138"/>
        <v>178333.33333333334</v>
      </c>
      <c r="DC379" s="273">
        <f t="shared" si="138"/>
        <v>178333.33333333334</v>
      </c>
      <c r="DD379" s="273">
        <f t="shared" si="138"/>
        <v>178333.33333333334</v>
      </c>
      <c r="DE379" s="273">
        <f t="shared" si="138"/>
        <v>178333.33333333334</v>
      </c>
      <c r="DF379" s="273">
        <f t="shared" si="138"/>
        <v>178333.33333333334</v>
      </c>
      <c r="DG379" s="273">
        <f t="shared" si="138"/>
        <v>178333.33333333334</v>
      </c>
      <c r="DH379" s="273">
        <f t="shared" si="138"/>
        <v>178333.33333333334</v>
      </c>
      <c r="DI379" s="269">
        <f t="shared" si="138"/>
        <v>178333.33333333334</v>
      </c>
      <c r="DJ379" s="100">
        <f>+SUM(DJ380:DJ384)</f>
        <v>187500</v>
      </c>
      <c r="DK379" s="101">
        <f t="shared" ref="DK379:DU379" si="139">+SUM(DK380:DK384)</f>
        <v>187500</v>
      </c>
      <c r="DL379" s="101">
        <f t="shared" si="139"/>
        <v>187500</v>
      </c>
      <c r="DM379" s="101">
        <f t="shared" si="139"/>
        <v>187500</v>
      </c>
      <c r="DN379" s="101">
        <f t="shared" si="139"/>
        <v>187500</v>
      </c>
      <c r="DO379" s="101">
        <f t="shared" si="139"/>
        <v>187500</v>
      </c>
      <c r="DP379" s="101">
        <f t="shared" si="139"/>
        <v>187500</v>
      </c>
      <c r="DQ379" s="101">
        <f t="shared" si="139"/>
        <v>187500</v>
      </c>
      <c r="DR379" s="101">
        <f t="shared" si="139"/>
        <v>187500</v>
      </c>
      <c r="DS379" s="101">
        <f t="shared" si="139"/>
        <v>187500</v>
      </c>
      <c r="DT379" s="101">
        <f t="shared" si="139"/>
        <v>187500</v>
      </c>
      <c r="DU379" s="102">
        <f t="shared" si="139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>
        <v>0</v>
      </c>
      <c r="FS379" s="263">
        <v>0</v>
      </c>
      <c r="FT379" s="263">
        <v>0</v>
      </c>
      <c r="FU379" s="263">
        <v>0</v>
      </c>
      <c r="FV379" s="263">
        <v>0</v>
      </c>
      <c r="FW379" s="263">
        <v>0</v>
      </c>
      <c r="FX379" s="263">
        <v>0</v>
      </c>
      <c r="FY379" s="263">
        <v>0</v>
      </c>
      <c r="FZ379" s="263">
        <v>0</v>
      </c>
      <c r="GA379" s="263">
        <v>0</v>
      </c>
      <c r="GB379" s="263">
        <v>0</v>
      </c>
      <c r="GC379" s="263">
        <v>0</v>
      </c>
      <c r="GD379" s="263"/>
      <c r="GE379" s="453">
        <f>SUM(FR379:GD379)</f>
        <v>0</v>
      </c>
    </row>
    <row r="380" spans="1:187" ht="30">
      <c r="D380" s="72" t="str">
        <f t="shared" si="130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8">
        <f t="shared" ref="GE380:GE384" si="140">SUM(FR380:GD380)</f>
        <v>0</v>
      </c>
    </row>
    <row r="381" spans="1:187" ht="30">
      <c r="D381" s="72" t="str">
        <f t="shared" si="130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8">
        <f t="shared" si="140"/>
        <v>0</v>
      </c>
    </row>
    <row r="382" spans="1:187">
      <c r="D382" s="72" t="str">
        <f t="shared" si="130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>
        <v>120833.42</v>
      </c>
      <c r="FS382" s="263">
        <v>120833.42</v>
      </c>
      <c r="FT382" s="263">
        <v>120833.42</v>
      </c>
      <c r="FU382" s="263">
        <v>120833.42</v>
      </c>
      <c r="FV382" s="263">
        <v>120833.42</v>
      </c>
      <c r="FW382" s="263">
        <v>120833.42</v>
      </c>
      <c r="FX382" s="263">
        <v>120833.42</v>
      </c>
      <c r="FY382" s="263">
        <v>120833.42</v>
      </c>
      <c r="FZ382" s="263">
        <v>120833.42</v>
      </c>
      <c r="GA382" s="263">
        <v>120833.42</v>
      </c>
      <c r="GB382" s="263">
        <v>120833.42</v>
      </c>
      <c r="GC382" s="263">
        <v>120833.38</v>
      </c>
      <c r="GE382" s="448">
        <f>SUM(FR382:GD382)</f>
        <v>1450001</v>
      </c>
    </row>
    <row r="383" spans="1:187" ht="45">
      <c r="D383" s="72" t="str">
        <f t="shared" si="130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8">
        <f t="shared" si="140"/>
        <v>0</v>
      </c>
    </row>
    <row r="384" spans="1:187">
      <c r="D384" s="72" t="str">
        <f t="shared" si="130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>
        <v>19166.669999999998</v>
      </c>
      <c r="FS384" s="263">
        <v>19166.669999999998</v>
      </c>
      <c r="FT384" s="263">
        <v>19166.669999999998</v>
      </c>
      <c r="FU384" s="263">
        <v>19166.669999999998</v>
      </c>
      <c r="FV384" s="263">
        <v>19166.669999999998</v>
      </c>
      <c r="FW384" s="263">
        <v>19166.669999999998</v>
      </c>
      <c r="FX384" s="263">
        <v>19166.669999999998</v>
      </c>
      <c r="FY384" s="263">
        <v>19166.669999999998</v>
      </c>
      <c r="FZ384" s="263">
        <v>19166.669999999998</v>
      </c>
      <c r="GA384" s="263">
        <v>19166.669999999998</v>
      </c>
      <c r="GB384" s="263">
        <v>19166.669999999998</v>
      </c>
      <c r="GC384" s="263">
        <v>19166.629999999997</v>
      </c>
      <c r="GE384" s="448">
        <f t="shared" si="140"/>
        <v>229999.99999999994</v>
      </c>
    </row>
    <row r="385" spans="1:187" s="9" customFormat="1">
      <c r="A385" s="118" t="s">
        <v>94</v>
      </c>
      <c r="B385" s="118">
        <v>46</v>
      </c>
      <c r="C385" s="118"/>
      <c r="D385" s="118" t="str">
        <f t="shared" si="130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41">+CL386+CL389+CL392</f>
        <v>9889761</v>
      </c>
      <c r="CM385" s="121">
        <f t="shared" si="141"/>
        <v>9889761</v>
      </c>
      <c r="CN385" s="121">
        <f t="shared" si="141"/>
        <v>9889761</v>
      </c>
      <c r="CO385" s="121">
        <f t="shared" si="141"/>
        <v>9889761</v>
      </c>
      <c r="CP385" s="121">
        <f t="shared" si="141"/>
        <v>9889761</v>
      </c>
      <c r="CQ385" s="121">
        <f t="shared" si="141"/>
        <v>9889761</v>
      </c>
      <c r="CR385" s="121">
        <f t="shared" si="141"/>
        <v>9889761</v>
      </c>
      <c r="CS385" s="121">
        <f t="shared" si="141"/>
        <v>9889761</v>
      </c>
      <c r="CT385" s="121">
        <f t="shared" si="141"/>
        <v>9889761</v>
      </c>
      <c r="CU385" s="121">
        <f t="shared" si="141"/>
        <v>9889761</v>
      </c>
      <c r="CV385" s="121">
        <f t="shared" si="141"/>
        <v>9889761</v>
      </c>
      <c r="CW385" s="122">
        <f t="shared" si="141"/>
        <v>9889761</v>
      </c>
      <c r="CX385" s="271">
        <f t="shared" si="141"/>
        <v>14285575.4575</v>
      </c>
      <c r="CY385" s="274">
        <f t="shared" ref="CY385:DI385" si="142">+CY386+CY389+CY392</f>
        <v>14285575.4575</v>
      </c>
      <c r="CZ385" s="274">
        <f t="shared" si="142"/>
        <v>14285575.4575</v>
      </c>
      <c r="DA385" s="274">
        <f t="shared" si="142"/>
        <v>14285575.4575</v>
      </c>
      <c r="DB385" s="274">
        <f t="shared" si="142"/>
        <v>14285575.4575</v>
      </c>
      <c r="DC385" s="274">
        <f t="shared" si="142"/>
        <v>14285575.4575</v>
      </c>
      <c r="DD385" s="274">
        <f t="shared" si="142"/>
        <v>14285575.4575</v>
      </c>
      <c r="DE385" s="274">
        <f t="shared" si="142"/>
        <v>14285575.4575</v>
      </c>
      <c r="DF385" s="274">
        <f t="shared" si="142"/>
        <v>14285575.4575</v>
      </c>
      <c r="DG385" s="274">
        <f t="shared" si="142"/>
        <v>14285575.4575</v>
      </c>
      <c r="DH385" s="274">
        <f t="shared" si="142"/>
        <v>14285575.4575</v>
      </c>
      <c r="DI385" s="272">
        <f t="shared" si="142"/>
        <v>14285575.4575</v>
      </c>
      <c r="DJ385" s="120">
        <f>+DJ386+DJ389+DJ392</f>
        <v>33191007.030833334</v>
      </c>
      <c r="DK385" s="121">
        <f t="shared" ref="DK385:DU385" si="143">+DK386+DK389+DK392</f>
        <v>33191007.030833334</v>
      </c>
      <c r="DL385" s="121">
        <f t="shared" si="143"/>
        <v>33191007.030833334</v>
      </c>
      <c r="DM385" s="121">
        <f t="shared" si="143"/>
        <v>33191007.030833334</v>
      </c>
      <c r="DN385" s="121">
        <f t="shared" si="143"/>
        <v>33191007.030833334</v>
      </c>
      <c r="DO385" s="121">
        <f t="shared" si="143"/>
        <v>33191007.030833334</v>
      </c>
      <c r="DP385" s="121">
        <f t="shared" si="143"/>
        <v>33191007.030833334</v>
      </c>
      <c r="DQ385" s="121">
        <f t="shared" si="143"/>
        <v>33191007.030833334</v>
      </c>
      <c r="DR385" s="121">
        <f t="shared" si="143"/>
        <v>33191007.030833334</v>
      </c>
      <c r="DS385" s="121">
        <f t="shared" si="143"/>
        <v>33191007.030833334</v>
      </c>
      <c r="DT385" s="121">
        <f t="shared" si="143"/>
        <v>33191007.030833334</v>
      </c>
      <c r="DU385" s="121">
        <f t="shared" si="143"/>
        <v>33191007.030833334</v>
      </c>
      <c r="DV385" s="330">
        <f>DV386+DV389+DV392</f>
        <v>32768615.2925</v>
      </c>
      <c r="DW385" s="330">
        <f t="shared" ref="DW385:ES385" si="144">DW386+DW389+DW392</f>
        <v>32768615.2925</v>
      </c>
      <c r="DX385" s="330">
        <f t="shared" si="144"/>
        <v>32768615.2925</v>
      </c>
      <c r="DY385" s="330">
        <f t="shared" si="144"/>
        <v>32768615.2925</v>
      </c>
      <c r="DZ385" s="330">
        <f t="shared" si="144"/>
        <v>32768615.2925</v>
      </c>
      <c r="EA385" s="330">
        <f t="shared" si="144"/>
        <v>32768615.2925</v>
      </c>
      <c r="EB385" s="330">
        <f t="shared" si="144"/>
        <v>32768615.2925</v>
      </c>
      <c r="EC385" s="330">
        <f t="shared" si="144"/>
        <v>32768615.2925</v>
      </c>
      <c r="ED385" s="330">
        <f t="shared" si="144"/>
        <v>32768615.2925</v>
      </c>
      <c r="EE385" s="330">
        <f t="shared" si="144"/>
        <v>32768615.2925</v>
      </c>
      <c r="EF385" s="330">
        <f t="shared" si="144"/>
        <v>32768615.2925</v>
      </c>
      <c r="EG385" s="330">
        <f t="shared" si="144"/>
        <v>32768615.2925</v>
      </c>
      <c r="EH385" s="330">
        <f t="shared" si="144"/>
        <v>4617467.5633333325</v>
      </c>
      <c r="EI385" s="330">
        <f t="shared" si="144"/>
        <v>5248180.4533333331</v>
      </c>
      <c r="EJ385" s="330">
        <f t="shared" si="144"/>
        <v>18465645.143333334</v>
      </c>
      <c r="EK385" s="330">
        <f t="shared" si="144"/>
        <v>67460865.603333324</v>
      </c>
      <c r="EL385" s="330">
        <f t="shared" si="144"/>
        <v>10247541.783333333</v>
      </c>
      <c r="EM385" s="330">
        <f t="shared" si="144"/>
        <v>16046343.563333331</v>
      </c>
      <c r="EN385" s="330">
        <f t="shared" si="144"/>
        <v>23103608.363333337</v>
      </c>
      <c r="EO385" s="330">
        <f t="shared" si="144"/>
        <v>16877006.883333333</v>
      </c>
      <c r="EP385" s="330">
        <f t="shared" si="144"/>
        <v>17318908.093333334</v>
      </c>
      <c r="EQ385" s="330">
        <f t="shared" si="144"/>
        <v>9686739.4033333324</v>
      </c>
      <c r="ER385" s="330">
        <f t="shared" si="144"/>
        <v>11714826.133333333</v>
      </c>
      <c r="ES385" s="330">
        <f t="shared" si="144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f>+FR386+FR389</f>
        <v>1725839.0999999999</v>
      </c>
      <c r="FS385" s="341">
        <f t="shared" ref="FS385:GC385" si="145">+FS386+FS389</f>
        <v>3305317.26</v>
      </c>
      <c r="FT385" s="341">
        <f t="shared" si="145"/>
        <v>339468444.25999999</v>
      </c>
      <c r="FU385" s="341">
        <f t="shared" si="145"/>
        <v>17477408.559999999</v>
      </c>
      <c r="FV385" s="341">
        <f t="shared" si="145"/>
        <v>15441444.539999999</v>
      </c>
      <c r="FW385" s="341">
        <f t="shared" si="145"/>
        <v>12046825.949999999</v>
      </c>
      <c r="FX385" s="341">
        <f t="shared" si="145"/>
        <v>11726652.870000001</v>
      </c>
      <c r="FY385" s="341">
        <f t="shared" si="145"/>
        <v>8624889.1799999997</v>
      </c>
      <c r="FZ385" s="341">
        <f t="shared" si="145"/>
        <v>18011093.800000001</v>
      </c>
      <c r="GA385" s="341">
        <f t="shared" si="145"/>
        <v>9855652.5999999996</v>
      </c>
      <c r="GB385" s="341">
        <f t="shared" si="145"/>
        <v>89792355.439999998</v>
      </c>
      <c r="GC385" s="341">
        <f t="shared" si="145"/>
        <v>12114076.439999999</v>
      </c>
      <c r="GE385" s="447">
        <f t="shared" ref="GE385:GE394" si="146">SUM(FR385:GD385)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30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47">+SUM(CL387:CL388)</f>
        <v>7208333.333333333</v>
      </c>
      <c r="CM386" s="121">
        <f t="shared" si="147"/>
        <v>7208333.333333333</v>
      </c>
      <c r="CN386" s="121">
        <f t="shared" si="147"/>
        <v>7208333.333333333</v>
      </c>
      <c r="CO386" s="121">
        <f t="shared" si="147"/>
        <v>7208333.333333333</v>
      </c>
      <c r="CP386" s="121">
        <f t="shared" si="147"/>
        <v>7208333.333333333</v>
      </c>
      <c r="CQ386" s="121">
        <f t="shared" si="147"/>
        <v>7208333.333333333</v>
      </c>
      <c r="CR386" s="121">
        <f t="shared" si="147"/>
        <v>7208333.333333333</v>
      </c>
      <c r="CS386" s="121">
        <f t="shared" si="147"/>
        <v>7208333.333333333</v>
      </c>
      <c r="CT386" s="121">
        <f t="shared" si="147"/>
        <v>7208333.333333333</v>
      </c>
      <c r="CU386" s="121">
        <f t="shared" si="147"/>
        <v>7208333.333333333</v>
      </c>
      <c r="CV386" s="121">
        <f t="shared" si="147"/>
        <v>7208333.333333333</v>
      </c>
      <c r="CW386" s="122">
        <f t="shared" si="147"/>
        <v>7208333.333333333</v>
      </c>
      <c r="CX386" s="271">
        <f t="shared" si="147"/>
        <v>11507395.460000001</v>
      </c>
      <c r="CY386" s="274">
        <f t="shared" ref="CY386:DI386" si="148">+SUM(CY387:CY388)</f>
        <v>11507395.460000001</v>
      </c>
      <c r="CZ386" s="274">
        <f t="shared" si="148"/>
        <v>11507395.460000001</v>
      </c>
      <c r="DA386" s="274">
        <f t="shared" si="148"/>
        <v>11507395.460000001</v>
      </c>
      <c r="DB386" s="274">
        <f t="shared" si="148"/>
        <v>11507395.460000001</v>
      </c>
      <c r="DC386" s="274">
        <f t="shared" si="148"/>
        <v>11507395.460000001</v>
      </c>
      <c r="DD386" s="274">
        <f t="shared" si="148"/>
        <v>11507395.460000001</v>
      </c>
      <c r="DE386" s="274">
        <f t="shared" si="148"/>
        <v>11507395.460000001</v>
      </c>
      <c r="DF386" s="274">
        <f t="shared" si="148"/>
        <v>11507395.460000001</v>
      </c>
      <c r="DG386" s="274">
        <f t="shared" si="148"/>
        <v>11507395.460000001</v>
      </c>
      <c r="DH386" s="274">
        <f t="shared" si="148"/>
        <v>11507395.460000001</v>
      </c>
      <c r="DI386" s="272">
        <f t="shared" si="148"/>
        <v>11507395.460000001</v>
      </c>
      <c r="DJ386" s="120">
        <f>+SUM(DJ387:DJ388)</f>
        <v>30373417.030833334</v>
      </c>
      <c r="DK386" s="121">
        <f t="shared" ref="DK386:ES386" si="149">+SUM(DK387:DK388)</f>
        <v>30373417.030833334</v>
      </c>
      <c r="DL386" s="121">
        <f t="shared" si="149"/>
        <v>30373417.030833334</v>
      </c>
      <c r="DM386" s="121">
        <f t="shared" si="149"/>
        <v>30373417.030833334</v>
      </c>
      <c r="DN386" s="121">
        <f t="shared" si="149"/>
        <v>30373417.030833334</v>
      </c>
      <c r="DO386" s="121">
        <f t="shared" si="149"/>
        <v>30373417.030833334</v>
      </c>
      <c r="DP386" s="121">
        <f t="shared" si="149"/>
        <v>30373417.030833334</v>
      </c>
      <c r="DQ386" s="121">
        <f t="shared" si="149"/>
        <v>30373417.030833334</v>
      </c>
      <c r="DR386" s="121">
        <f t="shared" si="149"/>
        <v>30373417.030833334</v>
      </c>
      <c r="DS386" s="121">
        <f t="shared" si="149"/>
        <v>30373417.030833334</v>
      </c>
      <c r="DT386" s="121">
        <f t="shared" si="149"/>
        <v>30373417.030833334</v>
      </c>
      <c r="DU386" s="121">
        <f t="shared" si="149"/>
        <v>30373417.030833334</v>
      </c>
      <c r="DV386" s="121">
        <f t="shared" si="149"/>
        <v>29487385.678333335</v>
      </c>
      <c r="DW386" s="121">
        <f t="shared" si="149"/>
        <v>29487385.678333335</v>
      </c>
      <c r="DX386" s="121">
        <f t="shared" si="149"/>
        <v>29487385.678333335</v>
      </c>
      <c r="DY386" s="121">
        <f t="shared" si="149"/>
        <v>29487385.678333335</v>
      </c>
      <c r="DZ386" s="121">
        <f t="shared" si="149"/>
        <v>29487385.678333335</v>
      </c>
      <c r="EA386" s="121">
        <f t="shared" si="149"/>
        <v>29487385.678333335</v>
      </c>
      <c r="EB386" s="121">
        <f t="shared" si="149"/>
        <v>29487385.678333335</v>
      </c>
      <c r="EC386" s="121">
        <f t="shared" si="149"/>
        <v>29487385.678333335</v>
      </c>
      <c r="ED386" s="121">
        <f t="shared" si="149"/>
        <v>29487385.678333335</v>
      </c>
      <c r="EE386" s="121">
        <f>+SUM(EE387:EE388)</f>
        <v>29487385.678333335</v>
      </c>
      <c r="EF386" s="121">
        <f t="shared" si="149"/>
        <v>29487385.678333335</v>
      </c>
      <c r="EG386" s="121">
        <f t="shared" si="149"/>
        <v>29487385.678333335</v>
      </c>
      <c r="EH386" s="121">
        <f t="shared" si="149"/>
        <v>1807759.33</v>
      </c>
      <c r="EI386" s="121">
        <f t="shared" si="149"/>
        <v>2438472.2200000002</v>
      </c>
      <c r="EJ386" s="121">
        <f t="shared" si="149"/>
        <v>15655936.91</v>
      </c>
      <c r="EK386" s="121">
        <f t="shared" si="149"/>
        <v>64651157.369999997</v>
      </c>
      <c r="EL386" s="121">
        <f t="shared" si="149"/>
        <v>7437833.5500000007</v>
      </c>
      <c r="EM386" s="121">
        <f t="shared" si="149"/>
        <v>13236635.329999998</v>
      </c>
      <c r="EN386" s="121">
        <f t="shared" si="149"/>
        <v>20293900.130000003</v>
      </c>
      <c r="EO386" s="121">
        <f t="shared" si="149"/>
        <v>14067298.649999999</v>
      </c>
      <c r="EP386" s="121">
        <f t="shared" si="149"/>
        <v>14509199.859999999</v>
      </c>
      <c r="EQ386" s="121">
        <f t="shared" si="149"/>
        <v>6877031.1699999999</v>
      </c>
      <c r="ER386" s="121">
        <f t="shared" si="149"/>
        <v>8905117.9000000004</v>
      </c>
      <c r="ES386" s="121">
        <f t="shared" si="149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f>SUM(FR387:FR388)</f>
        <v>1725839.0999999999</v>
      </c>
      <c r="FS386" s="341">
        <f t="shared" ref="FS386:GC386" si="150">SUM(FS387:FS388)</f>
        <v>3305317.26</v>
      </c>
      <c r="FT386" s="341">
        <f t="shared" si="150"/>
        <v>339468444.25999999</v>
      </c>
      <c r="FU386" s="341">
        <f t="shared" si="150"/>
        <v>17477408.559999999</v>
      </c>
      <c r="FV386" s="341">
        <f t="shared" si="150"/>
        <v>15441444.539999999</v>
      </c>
      <c r="FW386" s="341">
        <f t="shared" si="150"/>
        <v>12046825.949999999</v>
      </c>
      <c r="FX386" s="341">
        <f t="shared" si="150"/>
        <v>11726652.870000001</v>
      </c>
      <c r="FY386" s="341">
        <f t="shared" si="150"/>
        <v>8624889.1799999997</v>
      </c>
      <c r="FZ386" s="341">
        <f t="shared" si="150"/>
        <v>18011093.800000001</v>
      </c>
      <c r="GA386" s="341">
        <f t="shared" si="150"/>
        <v>9855652.5999999996</v>
      </c>
      <c r="GB386" s="341">
        <f t="shared" si="150"/>
        <v>89792355.439999998</v>
      </c>
      <c r="GC386" s="341">
        <f t="shared" si="150"/>
        <v>12114076.439999999</v>
      </c>
      <c r="GE386" s="447">
        <f t="shared" si="146"/>
        <v>539590000.00000012</v>
      </c>
    </row>
    <row r="387" spans="1:187" ht="30">
      <c r="D387" s="72" t="str">
        <f t="shared" si="130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8">
        <f t="shared" si="146"/>
        <v>119710000</v>
      </c>
    </row>
    <row r="388" spans="1:187" ht="30">
      <c r="D388" s="72" t="str">
        <f t="shared" si="130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8">
        <f t="shared" si="146"/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30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51">+SUM(CL390:CL391)</f>
        <v>0</v>
      </c>
      <c r="CM389" s="121">
        <f t="shared" si="151"/>
        <v>0</v>
      </c>
      <c r="CN389" s="121">
        <f t="shared" si="151"/>
        <v>0</v>
      </c>
      <c r="CO389" s="121">
        <f t="shared" si="151"/>
        <v>0</v>
      </c>
      <c r="CP389" s="121">
        <f t="shared" si="151"/>
        <v>0</v>
      </c>
      <c r="CQ389" s="121">
        <f t="shared" si="151"/>
        <v>0</v>
      </c>
      <c r="CR389" s="121">
        <f t="shared" si="151"/>
        <v>0</v>
      </c>
      <c r="CS389" s="121">
        <f t="shared" si="151"/>
        <v>0</v>
      </c>
      <c r="CT389" s="121">
        <f t="shared" si="151"/>
        <v>0</v>
      </c>
      <c r="CU389" s="121">
        <f t="shared" si="151"/>
        <v>0</v>
      </c>
      <c r="CV389" s="121">
        <f t="shared" si="151"/>
        <v>0</v>
      </c>
      <c r="CW389" s="122">
        <f t="shared" si="151"/>
        <v>0</v>
      </c>
      <c r="CX389" s="271">
        <f t="shared" si="151"/>
        <v>0</v>
      </c>
      <c r="CY389" s="274">
        <f t="shared" ref="CY389:DI389" si="152">+SUM(CY390:CY391)</f>
        <v>0</v>
      </c>
      <c r="CZ389" s="274">
        <f t="shared" si="152"/>
        <v>0</v>
      </c>
      <c r="DA389" s="274">
        <f t="shared" si="152"/>
        <v>0</v>
      </c>
      <c r="DB389" s="274">
        <f t="shared" si="152"/>
        <v>0</v>
      </c>
      <c r="DC389" s="274">
        <f t="shared" si="152"/>
        <v>0</v>
      </c>
      <c r="DD389" s="274">
        <f t="shared" si="152"/>
        <v>0</v>
      </c>
      <c r="DE389" s="274">
        <f t="shared" si="152"/>
        <v>0</v>
      </c>
      <c r="DF389" s="274">
        <f t="shared" si="152"/>
        <v>0</v>
      </c>
      <c r="DG389" s="274">
        <f t="shared" si="152"/>
        <v>0</v>
      </c>
      <c r="DH389" s="274">
        <f t="shared" si="152"/>
        <v>0</v>
      </c>
      <c r="DI389" s="272">
        <f t="shared" si="152"/>
        <v>0</v>
      </c>
      <c r="DJ389" s="120">
        <f>+SUM(DJ390:DJ391)</f>
        <v>0</v>
      </c>
      <c r="DK389" s="121">
        <f t="shared" ref="DK389:DU389" si="153">+SUM(DK390:DK391)</f>
        <v>0</v>
      </c>
      <c r="DL389" s="121">
        <f t="shared" si="153"/>
        <v>0</v>
      </c>
      <c r="DM389" s="121">
        <f t="shared" si="153"/>
        <v>0</v>
      </c>
      <c r="DN389" s="121">
        <f t="shared" si="153"/>
        <v>0</v>
      </c>
      <c r="DO389" s="121">
        <f t="shared" si="153"/>
        <v>0</v>
      </c>
      <c r="DP389" s="121">
        <f t="shared" si="153"/>
        <v>0</v>
      </c>
      <c r="DQ389" s="121">
        <f t="shared" si="153"/>
        <v>0</v>
      </c>
      <c r="DR389" s="121">
        <f t="shared" si="153"/>
        <v>0</v>
      </c>
      <c r="DS389" s="121">
        <f t="shared" si="153"/>
        <v>0</v>
      </c>
      <c r="DT389" s="121">
        <f t="shared" si="153"/>
        <v>0</v>
      </c>
      <c r="DU389" s="122">
        <f t="shared" si="153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f>SUM(FR390:FR391)</f>
        <v>0</v>
      </c>
      <c r="FS389" s="341">
        <f t="shared" ref="FS389:GC389" si="154">SUM(FS390:FS391)</f>
        <v>0</v>
      </c>
      <c r="FT389" s="341">
        <f t="shared" si="154"/>
        <v>0</v>
      </c>
      <c r="FU389" s="341">
        <f t="shared" si="154"/>
        <v>0</v>
      </c>
      <c r="FV389" s="341">
        <f t="shared" si="154"/>
        <v>0</v>
      </c>
      <c r="FW389" s="341">
        <f t="shared" si="154"/>
        <v>0</v>
      </c>
      <c r="FX389" s="341">
        <f t="shared" si="154"/>
        <v>0</v>
      </c>
      <c r="FY389" s="341">
        <f t="shared" si="154"/>
        <v>0</v>
      </c>
      <c r="FZ389" s="341">
        <f t="shared" si="154"/>
        <v>0</v>
      </c>
      <c r="GA389" s="341">
        <f t="shared" si="154"/>
        <v>0</v>
      </c>
      <c r="GB389" s="341">
        <f t="shared" si="154"/>
        <v>0</v>
      </c>
      <c r="GC389" s="341">
        <f t="shared" si="154"/>
        <v>0</v>
      </c>
      <c r="GE389" s="447">
        <f t="shared" si="146"/>
        <v>0</v>
      </c>
    </row>
    <row r="390" spans="1:187">
      <c r="D390" s="72" t="str">
        <f t="shared" si="130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8">
        <f t="shared" si="146"/>
        <v>0</v>
      </c>
    </row>
    <row r="391" spans="1:187">
      <c r="D391" s="72" t="str">
        <f t="shared" si="130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8">
        <f t="shared" si="146"/>
        <v>0</v>
      </c>
    </row>
    <row r="392" spans="1:187" s="9" customFormat="1" ht="30">
      <c r="A392" s="118"/>
      <c r="B392" s="118"/>
      <c r="C392" s="118">
        <v>463</v>
      </c>
      <c r="D392" s="118" t="str">
        <f t="shared" si="130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1419621.9300000002</v>
      </c>
      <c r="FS392" s="367">
        <v>1384621.77</v>
      </c>
      <c r="FT392" s="367">
        <v>1362120.85</v>
      </c>
      <c r="FU392" s="367">
        <v>1352120.85</v>
      </c>
      <c r="FV392" s="367">
        <v>1357120.85</v>
      </c>
      <c r="FW392" s="367">
        <v>1357120.85</v>
      </c>
      <c r="FX392" s="367">
        <v>1356120.85</v>
      </c>
      <c r="FY392" s="367">
        <v>1351120.85</v>
      </c>
      <c r="FZ392" s="367">
        <v>1351120.85</v>
      </c>
      <c r="GA392" s="367">
        <v>1351120.85</v>
      </c>
      <c r="GB392" s="367">
        <v>1351120.85</v>
      </c>
      <c r="GC392" s="367">
        <v>1352120.8800000001</v>
      </c>
      <c r="GE392" s="447">
        <f t="shared" si="146"/>
        <v>16345452.229999999</v>
      </c>
    </row>
    <row r="393" spans="1:187" s="9" customFormat="1">
      <c r="A393" s="118" t="s">
        <v>94</v>
      </c>
      <c r="B393" s="118">
        <v>47</v>
      </c>
      <c r="C393" s="118"/>
      <c r="D393" s="118" t="str">
        <f t="shared" si="130"/>
        <v>47p</v>
      </c>
      <c r="E393" s="119" t="s">
        <v>368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55">+SUM(CL394:CL396)</f>
        <v>613005.79833333334</v>
      </c>
      <c r="CM393" s="121">
        <f t="shared" si="155"/>
        <v>613005.79833333334</v>
      </c>
      <c r="CN393" s="121">
        <f t="shared" si="155"/>
        <v>613005.79833333334</v>
      </c>
      <c r="CO393" s="121">
        <f t="shared" si="155"/>
        <v>613005.79833333334</v>
      </c>
      <c r="CP393" s="121">
        <f t="shared" si="155"/>
        <v>613005.79833333334</v>
      </c>
      <c r="CQ393" s="121">
        <f t="shared" si="155"/>
        <v>613005.79833333334</v>
      </c>
      <c r="CR393" s="121">
        <f t="shared" si="155"/>
        <v>613005.79833333334</v>
      </c>
      <c r="CS393" s="121">
        <f t="shared" si="155"/>
        <v>613005.79833333334</v>
      </c>
      <c r="CT393" s="121">
        <f t="shared" si="155"/>
        <v>613005.79833333334</v>
      </c>
      <c r="CU393" s="121">
        <f t="shared" si="155"/>
        <v>613005.79833333334</v>
      </c>
      <c r="CV393" s="121">
        <f t="shared" si="155"/>
        <v>613005.79833333334</v>
      </c>
      <c r="CW393" s="122">
        <f t="shared" si="155"/>
        <v>613005.79833333334</v>
      </c>
      <c r="CX393" s="271">
        <f t="shared" si="155"/>
        <v>737887.48083333333</v>
      </c>
      <c r="CY393" s="274">
        <f t="shared" ref="CY393:DI393" si="156">+SUM(CY394:CY396)</f>
        <v>737887.48083333333</v>
      </c>
      <c r="CZ393" s="274">
        <f t="shared" si="156"/>
        <v>737887.48083333333</v>
      </c>
      <c r="DA393" s="274">
        <f t="shared" si="156"/>
        <v>737887.48083333333</v>
      </c>
      <c r="DB393" s="274">
        <f t="shared" si="156"/>
        <v>737887.48083333333</v>
      </c>
      <c r="DC393" s="274">
        <f t="shared" si="156"/>
        <v>737887.48083333333</v>
      </c>
      <c r="DD393" s="274">
        <f t="shared" si="156"/>
        <v>737887.48083333333</v>
      </c>
      <c r="DE393" s="274">
        <f t="shared" si="156"/>
        <v>737887.48083333333</v>
      </c>
      <c r="DF393" s="274">
        <f t="shared" si="156"/>
        <v>737887.48083333333</v>
      </c>
      <c r="DG393" s="274">
        <f t="shared" si="156"/>
        <v>737887.48083333333</v>
      </c>
      <c r="DH393" s="274">
        <f t="shared" si="156"/>
        <v>737887.48083333333</v>
      </c>
      <c r="DI393" s="272">
        <f t="shared" si="156"/>
        <v>737887.48083333333</v>
      </c>
      <c r="DJ393" s="120">
        <f>+SUM(DJ394:DJ396)</f>
        <v>1087930.2858333334</v>
      </c>
      <c r="DK393" s="121">
        <f t="shared" ref="DK393:DU393" si="157">+SUM(DK394:DK396)</f>
        <v>1087930.2858333334</v>
      </c>
      <c r="DL393" s="121">
        <f t="shared" si="157"/>
        <v>1087930.2858333334</v>
      </c>
      <c r="DM393" s="121">
        <f t="shared" si="157"/>
        <v>1087930.2858333334</v>
      </c>
      <c r="DN393" s="121">
        <f t="shared" si="157"/>
        <v>1087930.2858333334</v>
      </c>
      <c r="DO393" s="121">
        <f t="shared" si="157"/>
        <v>1087930.2858333334</v>
      </c>
      <c r="DP393" s="121">
        <f t="shared" si="157"/>
        <v>1087930.2858333334</v>
      </c>
      <c r="DQ393" s="121">
        <f t="shared" si="157"/>
        <v>1087930.2858333334</v>
      </c>
      <c r="DR393" s="121">
        <f t="shared" si="157"/>
        <v>1087930.2858333334</v>
      </c>
      <c r="DS393" s="121">
        <f t="shared" si="157"/>
        <v>1087930.2858333334</v>
      </c>
      <c r="DT393" s="121">
        <f t="shared" si="157"/>
        <v>1087930.2858333334</v>
      </c>
      <c r="DU393" s="122">
        <f t="shared" si="157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f>SUM(FR394:FR396)</f>
        <v>7375000</v>
      </c>
      <c r="FS393" s="341">
        <f t="shared" ref="FS393:GC393" si="158">SUM(FS394:FS396)</f>
        <v>7375000</v>
      </c>
      <c r="FT393" s="341">
        <f t="shared" si="158"/>
        <v>7375000</v>
      </c>
      <c r="FU393" s="341">
        <f t="shared" si="158"/>
        <v>7375000</v>
      </c>
      <c r="FV393" s="341">
        <f t="shared" si="158"/>
        <v>7375000</v>
      </c>
      <c r="FW393" s="341">
        <f t="shared" si="158"/>
        <v>7375000</v>
      </c>
      <c r="FX393" s="341">
        <f t="shared" si="158"/>
        <v>7375000</v>
      </c>
      <c r="FY393" s="341">
        <f t="shared" si="158"/>
        <v>7375000</v>
      </c>
      <c r="FZ393" s="341">
        <f t="shared" si="158"/>
        <v>7375000</v>
      </c>
      <c r="GA393" s="341">
        <f t="shared" si="158"/>
        <v>7375000</v>
      </c>
      <c r="GB393" s="341">
        <f t="shared" si="158"/>
        <v>7375000</v>
      </c>
      <c r="GC393" s="341">
        <f t="shared" si="158"/>
        <v>7375000</v>
      </c>
      <c r="GE393" s="447">
        <f t="shared" si="146"/>
        <v>88500000</v>
      </c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59">+CONCATENATE(D185,"p")</f>
        <v>4710p</v>
      </c>
      <c r="E394" s="76" t="s">
        <v>370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>
        <v>7166598.9199999999</v>
      </c>
      <c r="FS394" s="263">
        <v>7166598.9199999999</v>
      </c>
      <c r="FT394" s="263">
        <v>7166598.9199999999</v>
      </c>
      <c r="FU394" s="263">
        <v>7166598.9199999999</v>
      </c>
      <c r="FV394" s="263">
        <v>7166598.9199999999</v>
      </c>
      <c r="FW394" s="263">
        <v>7166598.9199999999</v>
      </c>
      <c r="FX394" s="263">
        <v>7166598.9199999999</v>
      </c>
      <c r="FY394" s="263">
        <v>7166598.9199999999</v>
      </c>
      <c r="FZ394" s="263">
        <v>7166598.9199999999</v>
      </c>
      <c r="GA394" s="263">
        <v>7166598.9199999999</v>
      </c>
      <c r="GB394" s="263">
        <v>7166598.9199999999</v>
      </c>
      <c r="GC394" s="263">
        <v>7166598.8899999997</v>
      </c>
      <c r="GE394" s="448">
        <f t="shared" si="146"/>
        <v>85999187.010000005</v>
      </c>
    </row>
    <row r="395" spans="1:187">
      <c r="C395" s="72">
        <v>472</v>
      </c>
      <c r="D395" s="72" t="str">
        <f t="shared" si="159"/>
        <v>4720p</v>
      </c>
      <c r="E395" s="76" t="s">
        <v>372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>
        <v>208401.08</v>
      </c>
      <c r="FS395" s="263">
        <v>208401.08</v>
      </c>
      <c r="FT395" s="263">
        <v>208401.08</v>
      </c>
      <c r="FU395" s="263">
        <v>208401.08</v>
      </c>
      <c r="FV395" s="263">
        <v>208401.08</v>
      </c>
      <c r="FW395" s="263">
        <v>208401.08</v>
      </c>
      <c r="FX395" s="263">
        <v>208401.08</v>
      </c>
      <c r="FY395" s="263">
        <v>208401.08</v>
      </c>
      <c r="FZ395" s="263">
        <v>208401.08</v>
      </c>
      <c r="GA395" s="263">
        <v>208401.08</v>
      </c>
      <c r="GB395" s="263">
        <v>208401.08</v>
      </c>
      <c r="GC395" s="263">
        <v>208401.11</v>
      </c>
      <c r="GE395" s="448">
        <f t="shared" ref="GE395:GE396" si="160">SUM(FR395:GD395)</f>
        <v>2500812.9900000002</v>
      </c>
    </row>
    <row r="396" spans="1:187">
      <c r="C396" s="72">
        <v>473</v>
      </c>
      <c r="D396" s="72" t="str">
        <f t="shared" si="159"/>
        <v>4730p</v>
      </c>
      <c r="E396" s="76" t="s">
        <v>374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>
        <v>0</v>
      </c>
      <c r="FS396" s="263">
        <v>0</v>
      </c>
      <c r="FT396" s="263">
        <v>0</v>
      </c>
      <c r="FU396" s="263">
        <v>0</v>
      </c>
      <c r="FV396" s="263">
        <v>0</v>
      </c>
      <c r="FW396" s="263">
        <v>0</v>
      </c>
      <c r="FX396" s="263">
        <v>0</v>
      </c>
      <c r="FY396" s="263">
        <v>0</v>
      </c>
      <c r="FZ396" s="263">
        <v>0</v>
      </c>
      <c r="GA396" s="263">
        <v>0</v>
      </c>
      <c r="GB396" s="263">
        <v>0</v>
      </c>
      <c r="GC396" s="263">
        <v>0</v>
      </c>
      <c r="GE396" s="448">
        <f t="shared" si="160"/>
        <v>0</v>
      </c>
    </row>
    <row r="397" spans="1:187">
      <c r="D397" s="72">
        <v>1005</v>
      </c>
      <c r="E397" s="76" t="s">
        <v>687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9"/>
    </row>
    <row r="400" spans="1:187">
      <c r="GE400" s="452"/>
    </row>
    <row r="401" spans="187:187">
      <c r="GE401" s="44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5" activePane="bottomLeft" state="frozen"/>
      <selection pane="bottomLeft" activeCell="B20" sqref="B20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682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774</v>
      </c>
      <c r="F8" s="34" t="s">
        <v>775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794</v>
      </c>
      <c r="F11" s="12" t="s">
        <v>795</v>
      </c>
      <c r="G11" s="52" t="str">
        <f t="shared" si="0"/>
        <v>Mjesečni podaci 2020</v>
      </c>
    </row>
    <row r="12" spans="2:7">
      <c r="D12" s="41"/>
      <c r="E12" s="11" t="s">
        <v>759</v>
      </c>
      <c r="F12" s="12" t="s">
        <v>760</v>
      </c>
      <c r="G12" s="52" t="str">
        <f t="shared" si="0"/>
        <v>Mjesečni podaci 2019</v>
      </c>
    </row>
    <row r="13" spans="2:7">
      <c r="D13" s="41"/>
      <c r="E13" s="11" t="s">
        <v>757</v>
      </c>
      <c r="F13" s="12" t="s">
        <v>758</v>
      </c>
      <c r="G13" s="52" t="str">
        <f t="shared" si="0"/>
        <v>Mjesečni podaci 2018</v>
      </c>
    </row>
    <row r="14" spans="2:7">
      <c r="D14" s="41"/>
      <c r="E14" s="11" t="s">
        <v>738</v>
      </c>
      <c r="F14" s="12" t="s">
        <v>739</v>
      </c>
      <c r="G14" s="52" t="str">
        <f t="shared" si="0"/>
        <v>Mjesečni podaci 2017</v>
      </c>
    </row>
    <row r="15" spans="2:7">
      <c r="D15" s="41"/>
      <c r="E15" s="11" t="s">
        <v>719</v>
      </c>
      <c r="F15" s="12" t="s">
        <v>720</v>
      </c>
      <c r="G15" s="52" t="str">
        <f t="shared" si="0"/>
        <v>Mjesečni podaci 2016</v>
      </c>
    </row>
    <row r="16" spans="2:7">
      <c r="E16" s="11" t="s">
        <v>691</v>
      </c>
      <c r="F16" s="12" t="s">
        <v>692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740</v>
      </c>
      <c r="F19" s="12" t="s">
        <v>741</v>
      </c>
      <c r="G19" s="52" t="str">
        <f t="shared" si="0"/>
        <v>Mjesečni podaci 2012</v>
      </c>
    </row>
    <row r="20" spans="2:7">
      <c r="E20" s="11" t="s">
        <v>742</v>
      </c>
      <c r="F20" s="12" t="s">
        <v>743</v>
      </c>
      <c r="G20" s="52" t="str">
        <f t="shared" si="0"/>
        <v>Mjesečni podaci 2011</v>
      </c>
    </row>
    <row r="21" spans="2:7">
      <c r="E21" s="11" t="s">
        <v>16</v>
      </c>
      <c r="F21" s="12" t="s">
        <v>406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413</v>
      </c>
      <c r="F23" s="12" t="s">
        <v>413</v>
      </c>
      <c r="G23" s="52" t="str">
        <f t="shared" si="0"/>
        <v>Plan</v>
      </c>
    </row>
    <row r="24" spans="2:7">
      <c r="E24" s="11" t="s">
        <v>414</v>
      </c>
      <c r="F24" s="12" t="s">
        <v>415</v>
      </c>
      <c r="G24" s="52" t="str">
        <f t="shared" si="0"/>
        <v>Ostvarenje</v>
      </c>
    </row>
    <row r="25" spans="2:7">
      <c r="D25" s="43"/>
      <c r="E25" s="33" t="s">
        <v>416</v>
      </c>
      <c r="F25" s="34" t="s">
        <v>417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683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724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798</v>
      </c>
      <c r="F80" s="16" t="s">
        <v>121</v>
      </c>
      <c r="G80" s="52" t="str">
        <f t="shared" si="1"/>
        <v>Izdaci</v>
      </c>
    </row>
    <row r="81" spans="2:7">
      <c r="B81" s="20"/>
      <c r="C81" s="44"/>
      <c r="D81" s="44">
        <v>40</v>
      </c>
      <c r="E81" s="15" t="s">
        <v>778</v>
      </c>
      <c r="F81" s="16" t="s">
        <v>779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721</v>
      </c>
      <c r="F97" s="22" t="s">
        <v>723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721</v>
      </c>
      <c r="F149" s="22" t="s">
        <v>722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801</v>
      </c>
      <c r="F212" s="19" t="s">
        <v>802</v>
      </c>
      <c r="G212" s="52" t="str">
        <f t="shared" si="3"/>
        <v>Otplata obaveza iz prethodnog perioda</v>
      </c>
    </row>
    <row r="213" spans="2:7">
      <c r="B213" s="14"/>
      <c r="C213" s="44"/>
      <c r="D213" s="44">
        <v>47</v>
      </c>
      <c r="E213" s="28" t="s">
        <v>368</v>
      </c>
      <c r="F213" s="29" t="s">
        <v>369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370</v>
      </c>
      <c r="F214" s="31" t="s">
        <v>371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372</v>
      </c>
      <c r="F215" s="31" t="s">
        <v>373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374</v>
      </c>
      <c r="F216" s="36" t="s">
        <v>375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547</v>
      </c>
      <c r="F218" s="92" t="s">
        <v>548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799</v>
      </c>
      <c r="F219" s="92" t="s">
        <v>800</v>
      </c>
      <c r="G219" s="52" t="str">
        <f t="shared" si="3"/>
        <v>Primarni suficit/deficit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545</v>
      </c>
      <c r="F221" s="92" t="s">
        <v>549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546</v>
      </c>
      <c r="F222" s="92" t="s">
        <v>550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551</v>
      </c>
      <c r="F224" s="92" t="s">
        <v>552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687</v>
      </c>
      <c r="F226" s="92" t="s">
        <v>688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418</v>
      </c>
      <c r="D230" s="49">
        <v>1</v>
      </c>
      <c r="E230" s="9" t="s">
        <v>376</v>
      </c>
      <c r="F230" s="10" t="s">
        <v>377</v>
      </c>
      <c r="G230" s="52" t="str">
        <f t="shared" si="3"/>
        <v>Januar</v>
      </c>
    </row>
    <row r="231" spans="2:7">
      <c r="C231" s="41" t="s">
        <v>423</v>
      </c>
      <c r="D231" s="49">
        <v>2</v>
      </c>
      <c r="E231" s="9" t="s">
        <v>378</v>
      </c>
      <c r="F231" s="10" t="s">
        <v>379</v>
      </c>
      <c r="G231" s="52" t="str">
        <f t="shared" si="3"/>
        <v>Februar</v>
      </c>
    </row>
    <row r="232" spans="2:7">
      <c r="C232" s="41" t="s">
        <v>424</v>
      </c>
      <c r="D232" s="49">
        <v>3</v>
      </c>
      <c r="E232" s="9" t="s">
        <v>380</v>
      </c>
      <c r="F232" s="10" t="s">
        <v>381</v>
      </c>
      <c r="G232" s="52" t="str">
        <f t="shared" si="3"/>
        <v>Mart</v>
      </c>
    </row>
    <row r="233" spans="2:7">
      <c r="D233" s="49">
        <v>4</v>
      </c>
      <c r="E233" s="9" t="s">
        <v>382</v>
      </c>
      <c r="F233" s="10" t="s">
        <v>382</v>
      </c>
      <c r="G233" s="52" t="str">
        <f t="shared" si="3"/>
        <v>April</v>
      </c>
    </row>
    <row r="234" spans="2:7">
      <c r="D234" s="49">
        <v>5</v>
      </c>
      <c r="E234" s="9" t="s">
        <v>383</v>
      </c>
      <c r="F234" s="10" t="s">
        <v>384</v>
      </c>
      <c r="G234" s="52" t="str">
        <f t="shared" si="3"/>
        <v>Maj</v>
      </c>
    </row>
    <row r="235" spans="2:7">
      <c r="D235" s="49">
        <v>6</v>
      </c>
      <c r="E235" s="9" t="s">
        <v>385</v>
      </c>
      <c r="F235" s="10" t="s">
        <v>386</v>
      </c>
      <c r="G235" s="52" t="str">
        <f t="shared" si="3"/>
        <v>Jun</v>
      </c>
    </row>
    <row r="236" spans="2:7">
      <c r="D236" s="49">
        <v>7</v>
      </c>
      <c r="E236" s="9" t="s">
        <v>387</v>
      </c>
      <c r="F236" s="10" t="s">
        <v>388</v>
      </c>
      <c r="G236" s="52" t="str">
        <f t="shared" si="3"/>
        <v>Jul</v>
      </c>
    </row>
    <row r="237" spans="2:7">
      <c r="D237" s="49">
        <v>8</v>
      </c>
      <c r="E237" s="9" t="s">
        <v>389</v>
      </c>
      <c r="F237" s="10" t="s">
        <v>390</v>
      </c>
      <c r="G237" s="52" t="str">
        <f t="shared" si="3"/>
        <v>Avgust</v>
      </c>
    </row>
    <row r="238" spans="2:7">
      <c r="D238" s="49">
        <v>9</v>
      </c>
      <c r="E238" s="9" t="s">
        <v>391</v>
      </c>
      <c r="F238" s="10" t="s">
        <v>392</v>
      </c>
      <c r="G238" s="52" t="str">
        <f t="shared" si="3"/>
        <v>Septembar</v>
      </c>
    </row>
    <row r="239" spans="2:7">
      <c r="D239" s="49">
        <v>10</v>
      </c>
      <c r="E239" s="9" t="s">
        <v>393</v>
      </c>
      <c r="F239" s="10" t="s">
        <v>394</v>
      </c>
      <c r="G239" s="52" t="str">
        <f t="shared" si="3"/>
        <v>Oktobar</v>
      </c>
    </row>
    <row r="240" spans="2:7">
      <c r="D240" s="49">
        <v>11</v>
      </c>
      <c r="E240" s="9" t="s">
        <v>395</v>
      </c>
      <c r="F240" s="10" t="s">
        <v>396</v>
      </c>
      <c r="G240" s="52" t="str">
        <f t="shared" si="3"/>
        <v>Novembar</v>
      </c>
    </row>
    <row r="241" spans="4:7">
      <c r="D241" s="49">
        <v>12</v>
      </c>
      <c r="E241" s="9" t="s">
        <v>397</v>
      </c>
      <c r="F241" s="10" t="s">
        <v>398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Februar</v>
      </c>
    </row>
    <row r="244" spans="4:7">
      <c r="D244" s="49"/>
      <c r="E244" s="9"/>
      <c r="F244" s="10"/>
      <c r="G244" s="52" t="str">
        <f>+CONCATENATE("Jan - ",LEFT(G243,3))</f>
        <v>Jan - Feb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421</v>
      </c>
      <c r="F247" s="10" t="s">
        <v>422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556</v>
      </c>
      <c r="F250" s="10" t="s">
        <v>553</v>
      </c>
      <c r="G250" s="52" t="str">
        <f t="shared" si="3"/>
        <v>Ostvarenje budžeta</v>
      </c>
    </row>
    <row r="251" spans="4:7">
      <c r="D251" s="46"/>
      <c r="E251" s="9" t="s">
        <v>554</v>
      </c>
      <c r="F251" s="10" t="s">
        <v>555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Februar</v>
      </c>
      <c r="F252" s="10" t="str">
        <f>+CONCATENATE("Analytics for period ",G243)</f>
        <v>Analytics for period Februar</v>
      </c>
      <c r="G252" s="52" t="str">
        <f>+IF(ISBLANK(IF($B$2=1,E252,F252)),"",IF($B$2=1,E252,F252))</f>
        <v>Analitika za period Februar</v>
      </c>
    </row>
    <row r="253" spans="4:7">
      <c r="D253" s="46"/>
      <c r="E253" s="9" t="str">
        <f>+CONCATENATE("Analitika za period ",G244)</f>
        <v>Analitika za period Jan - Feb</v>
      </c>
      <c r="F253" s="10" t="str">
        <f>+CONCATENATE("Analytics for period ",G244)</f>
        <v>Analytics for period Jan - Feb</v>
      </c>
      <c r="G253" s="52" t="str">
        <f>+IF(ISBLANK(IF($B$2=1,E253,F253)),"",IF($B$2=1,E253,F253))</f>
        <v>Analitika za period Jan - Feb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413</v>
      </c>
      <c r="F256" s="10" t="s">
        <v>413</v>
      </c>
      <c r="G256" s="52" t="str">
        <f t="shared" si="3"/>
        <v>Plan</v>
      </c>
    </row>
    <row r="257" spans="4:7">
      <c r="D257" s="46"/>
      <c r="E257" s="9" t="s">
        <v>414</v>
      </c>
      <c r="F257" s="10" t="s">
        <v>415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679</v>
      </c>
      <c r="F259" s="10" t="s">
        <v>680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684</v>
      </c>
      <c r="F261" s="10" t="s">
        <v>685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420</v>
      </c>
      <c r="E268" s="9" t="s">
        <v>399</v>
      </c>
      <c r="F268" s="10" t="s">
        <v>400</v>
      </c>
      <c r="G268" s="52" t="str">
        <f>+CONCATENATE(IF(ISBLANK(IF($B$2=1,E268,F268)),"",IF($B$2=1,E268,F268))," ",$G$243)</f>
        <v>Prihodi za mjesec Februar</v>
      </c>
    </row>
    <row r="269" spans="4:7">
      <c r="E269" s="9" t="s">
        <v>401</v>
      </c>
      <c r="F269" s="10" t="s">
        <v>402</v>
      </c>
      <c r="G269" s="52" t="str">
        <f>+CONCATENATE(IF(ISBLANK(IF($B$2=1,E269,F269)),"",IF($B$2=1,E269,F269))," ",$G$243)</f>
        <v>Rashodi za mjesec Februar</v>
      </c>
    </row>
    <row r="270" spans="4:7">
      <c r="E270" s="9" t="s">
        <v>725</v>
      </c>
      <c r="F270" s="10" t="s">
        <v>403</v>
      </c>
      <c r="G270" s="52" t="str">
        <f>+CONCATENATE(IF(ISBLANK(IF($B$2=1,E270,F270)),"",IF($B$2=1,E270,F270))," ",$G$243)</f>
        <v>Suficit/Deficit za mjesec Februar</v>
      </c>
    </row>
    <row r="272" spans="4:7">
      <c r="E272" s="9" t="s">
        <v>404</v>
      </c>
      <c r="F272" s="10" t="s">
        <v>407</v>
      </c>
      <c r="G272" s="52" t="str">
        <f>+CONCATENATE(IF(ISBLANK(IF($B$2=1,E272,F272)),"",IF($B$2=1,E272,F272))," ",$G$243)</f>
        <v>Prihodi za period Januar - Februar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",$G$243)</f>
        <v>Rashodi za period Januar - Februar</v>
      </c>
    </row>
    <row r="274" spans="5:7">
      <c r="E274" s="9" t="s">
        <v>776</v>
      </c>
      <c r="F274" s="10" t="s">
        <v>777</v>
      </c>
      <c r="G274" s="52" t="str">
        <f>+CONCATENATE(IF(ISBLANK(IF($B$2=1,E274,F274)),"",IF($B$2=1,E274,F274))," ",$G$243)</f>
        <v>Suficit/Deficit za period Januar - Februar</v>
      </c>
    </row>
    <row r="276" spans="5:7">
      <c r="E276" s="9" t="s">
        <v>411</v>
      </c>
      <c r="F276" s="10" t="s">
        <v>412</v>
      </c>
      <c r="G276" s="52" t="str">
        <f t="shared" si="3"/>
        <v>Stanje javnog duga (% BDP)</v>
      </c>
    </row>
    <row r="278" spans="5:7">
      <c r="E278" s="9" t="s">
        <v>409</v>
      </c>
      <c r="F278" s="10" t="s">
        <v>410</v>
      </c>
      <c r="G278" s="52" t="str">
        <f t="shared" si="3"/>
        <v>Pregled</v>
      </c>
    </row>
    <row r="280" spans="5:7" ht="60">
      <c r="E280" s="258" t="s">
        <v>689</v>
      </c>
      <c r="F280" s="60" t="s">
        <v>690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Analitika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2017-03-01T13:10:49Z</cp:lastPrinted>
  <dcterms:created xsi:type="dcterms:W3CDTF">2014-09-15T13:41:17Z</dcterms:created>
  <dcterms:modified xsi:type="dcterms:W3CDTF">2020-04-09T15:31:59Z</dcterms:modified>
</cp:coreProperties>
</file>