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xl/ctrlProps/ctrlProp2.xml" ContentType="application/vnd.ms-excel.controlproperties+xml"/>
  <Override PartName="/xl/charts/colors1.xml" ContentType="application/vnd.ms-office.chartcolorstyle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updateLinks="never" codeName="ThisWorkbook" defaultThemeVersion="124226"/>
  <bookViews>
    <workbookView xWindow="0" yWindow="0" windowWidth="16580" windowHeight="5990" tabRatio="816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Budget'!$B$13:$C$72</definedName>
    <definedName name="Z_05AB59A7_9F04_4F70_A17E_8EF60EF35C7C_.wvu.PrintArea" localSheetId="1" hidden="1">'Local Government'!$B$13:$M$74</definedName>
    <definedName name="Z_05AB59A7_9F04_4F70_A17E_8EF60EF35C7C_.wvu.PrintArea" localSheetId="2" hidden="1">'Public Expenditure'!$B$13:$M$75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25725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J55" i="32"/>
  <c r="J42"/>
  <c r="J33"/>
  <c r="J27"/>
  <c r="J21"/>
  <c r="J17"/>
  <c r="J40" l="1"/>
  <c r="J41" s="1"/>
  <c r="F65" l="1"/>
  <c r="F52"/>
  <c r="F55"/>
  <c r="F42"/>
  <c r="F33"/>
  <c r="F27"/>
  <c r="F21"/>
  <c r="F17"/>
  <c r="F16" l="1"/>
  <c r="F63" s="1"/>
  <c r="F40"/>
  <c r="F41" s="1"/>
  <c r="F64" l="1"/>
  <c r="F69"/>
  <c r="F74" s="1"/>
  <c r="F70" s="1"/>
  <c r="D33" l="1"/>
  <c r="J37" i="10" l="1"/>
  <c r="J63"/>
  <c r="H71"/>
  <c r="M71" s="1"/>
  <c r="H70"/>
  <c r="M70" s="1"/>
  <c r="H69"/>
  <c r="M69" s="1"/>
  <c r="M66"/>
  <c r="M57"/>
  <c r="M56"/>
  <c r="M55"/>
  <c r="M54"/>
  <c r="M53"/>
  <c r="M52"/>
  <c r="M51"/>
  <c r="M50"/>
  <c r="M49"/>
  <c r="M47"/>
  <c r="M46"/>
  <c r="M45"/>
  <c r="M44"/>
  <c r="M43"/>
  <c r="M42"/>
  <c r="M41"/>
  <c r="M40"/>
  <c r="M39"/>
  <c r="M38"/>
  <c r="M34"/>
  <c r="M33"/>
  <c r="M32"/>
  <c r="M31"/>
  <c r="M30"/>
  <c r="M29"/>
  <c r="M28"/>
  <c r="M27"/>
  <c r="M26"/>
  <c r="M24"/>
  <c r="M23"/>
  <c r="M22"/>
  <c r="M21"/>
  <c r="M20"/>
  <c r="M19"/>
  <c r="M18"/>
  <c r="L55"/>
  <c r="M58"/>
  <c r="F25"/>
  <c r="F17"/>
  <c r="F16"/>
  <c r="G79" i="36"/>
  <c r="J78"/>
  <c r="I78"/>
  <c r="H78"/>
  <c r="F78"/>
  <c r="D78"/>
  <c r="J77"/>
  <c r="I77"/>
  <c r="H77"/>
  <c r="F77"/>
  <c r="D77"/>
  <c r="J76"/>
  <c r="I76"/>
  <c r="H76"/>
  <c r="F76"/>
  <c r="D76"/>
  <c r="H74"/>
  <c r="J73"/>
  <c r="I73"/>
  <c r="H73"/>
  <c r="F73"/>
  <c r="D73"/>
  <c r="J72"/>
  <c r="I72"/>
  <c r="H72"/>
  <c r="F72"/>
  <c r="D72"/>
  <c r="J71"/>
  <c r="I71"/>
  <c r="H71"/>
  <c r="F71"/>
  <c r="D71"/>
  <c r="H70"/>
  <c r="G70"/>
  <c r="F70"/>
  <c r="E70"/>
  <c r="D70"/>
  <c r="C70"/>
  <c r="J67"/>
  <c r="I67"/>
  <c r="H67"/>
  <c r="F67"/>
  <c r="D67"/>
  <c r="J66"/>
  <c r="I66"/>
  <c r="H66"/>
  <c r="F66"/>
  <c r="D66"/>
  <c r="J65"/>
  <c r="I65"/>
  <c r="H65"/>
  <c r="F65"/>
  <c r="D65"/>
  <c r="J64"/>
  <c r="I64"/>
  <c r="H64"/>
  <c r="F64"/>
  <c r="D64"/>
  <c r="J63"/>
  <c r="I63"/>
  <c r="H63"/>
  <c r="F63"/>
  <c r="D63"/>
  <c r="J62"/>
  <c r="I62"/>
  <c r="H62"/>
  <c r="F62"/>
  <c r="D62"/>
  <c r="J61"/>
  <c r="I61"/>
  <c r="H61"/>
  <c r="F61"/>
  <c r="D61"/>
  <c r="G60"/>
  <c r="E60"/>
  <c r="C60"/>
  <c r="J59"/>
  <c r="I59"/>
  <c r="H59"/>
  <c r="F59"/>
  <c r="D59"/>
  <c r="J58"/>
  <c r="I58"/>
  <c r="H58"/>
  <c r="F58"/>
  <c r="D58"/>
  <c r="J57"/>
  <c r="I57"/>
  <c r="H57"/>
  <c r="F57"/>
  <c r="D57"/>
  <c r="J56"/>
  <c r="I56"/>
  <c r="H56"/>
  <c r="F56"/>
  <c r="D56"/>
  <c r="J55"/>
  <c r="I55"/>
  <c r="H55"/>
  <c r="F55"/>
  <c r="D55"/>
  <c r="H54"/>
  <c r="G54"/>
  <c r="F54"/>
  <c r="E54"/>
  <c r="D54"/>
  <c r="C54"/>
  <c r="J53"/>
  <c r="I53"/>
  <c r="H53"/>
  <c r="F53"/>
  <c r="D53"/>
  <c r="J52"/>
  <c r="I52"/>
  <c r="H52"/>
  <c r="F52"/>
  <c r="D52"/>
  <c r="J51"/>
  <c r="I51"/>
  <c r="H51"/>
  <c r="F51"/>
  <c r="D51"/>
  <c r="J50"/>
  <c r="I50"/>
  <c r="H50"/>
  <c r="F50"/>
  <c r="D50"/>
  <c r="J49"/>
  <c r="I49"/>
  <c r="H49"/>
  <c r="F49"/>
  <c r="D49"/>
  <c r="J48"/>
  <c r="I48"/>
  <c r="H48"/>
  <c r="F48"/>
  <c r="D48"/>
  <c r="J47"/>
  <c r="I47"/>
  <c r="H47"/>
  <c r="F47"/>
  <c r="D47"/>
  <c r="J46"/>
  <c r="I46"/>
  <c r="H46"/>
  <c r="F46"/>
  <c r="D46"/>
  <c r="J45"/>
  <c r="I45"/>
  <c r="H45"/>
  <c r="F45"/>
  <c r="D45"/>
  <c r="J44"/>
  <c r="I44"/>
  <c r="H44"/>
  <c r="F44"/>
  <c r="D44"/>
  <c r="G43"/>
  <c r="E43"/>
  <c r="F43" s="1"/>
  <c r="C43"/>
  <c r="D43" s="1"/>
  <c r="J40"/>
  <c r="I40"/>
  <c r="H40"/>
  <c r="F40"/>
  <c r="D40"/>
  <c r="J39"/>
  <c r="I39"/>
  <c r="H39"/>
  <c r="F39"/>
  <c r="D39"/>
  <c r="J38"/>
  <c r="I38"/>
  <c r="H38"/>
  <c r="F38"/>
  <c r="D38"/>
  <c r="J37"/>
  <c r="I37"/>
  <c r="H37"/>
  <c r="F37"/>
  <c r="D37"/>
  <c r="J36"/>
  <c r="I36"/>
  <c r="H36"/>
  <c r="F36"/>
  <c r="D36"/>
  <c r="J35"/>
  <c r="I35"/>
  <c r="H35"/>
  <c r="F35"/>
  <c r="D35"/>
  <c r="H34"/>
  <c r="G34"/>
  <c r="F34"/>
  <c r="E34"/>
  <c r="D34"/>
  <c r="C34"/>
  <c r="J33"/>
  <c r="I33"/>
  <c r="H33"/>
  <c r="F33"/>
  <c r="D33"/>
  <c r="J32"/>
  <c r="I32"/>
  <c r="H32"/>
  <c r="F32"/>
  <c r="D32"/>
  <c r="J31"/>
  <c r="I31"/>
  <c r="H31"/>
  <c r="F31"/>
  <c r="D31"/>
  <c r="J30"/>
  <c r="I30"/>
  <c r="H30"/>
  <c r="F30"/>
  <c r="D30"/>
  <c r="J29"/>
  <c r="I29"/>
  <c r="H29"/>
  <c r="F29"/>
  <c r="D29"/>
  <c r="J28"/>
  <c r="I28"/>
  <c r="H28"/>
  <c r="F28"/>
  <c r="D28"/>
  <c r="G27"/>
  <c r="E27"/>
  <c r="F27" s="1"/>
  <c r="C27"/>
  <c r="D27" s="1"/>
  <c r="J26"/>
  <c r="I26"/>
  <c r="H26"/>
  <c r="F26"/>
  <c r="D26"/>
  <c r="J25"/>
  <c r="I25"/>
  <c r="H25"/>
  <c r="F25"/>
  <c r="D25"/>
  <c r="J24"/>
  <c r="I24"/>
  <c r="H24"/>
  <c r="F24"/>
  <c r="D24"/>
  <c r="J23"/>
  <c r="I23"/>
  <c r="H23"/>
  <c r="F23"/>
  <c r="D23"/>
  <c r="H22"/>
  <c r="G22"/>
  <c r="F22"/>
  <c r="E22"/>
  <c r="D22"/>
  <c r="C22"/>
  <c r="J21"/>
  <c r="I21"/>
  <c r="H21"/>
  <c r="F21"/>
  <c r="D21"/>
  <c r="J20"/>
  <c r="I20"/>
  <c r="H20"/>
  <c r="F20"/>
  <c r="D20"/>
  <c r="J19"/>
  <c r="I19"/>
  <c r="H19"/>
  <c r="F19"/>
  <c r="D19"/>
  <c r="L18"/>
  <c r="J18"/>
  <c r="I18"/>
  <c r="H18"/>
  <c r="F18"/>
  <c r="D18"/>
  <c r="G17"/>
  <c r="E17"/>
  <c r="F17" s="1"/>
  <c r="C17"/>
  <c r="D17" s="1"/>
  <c r="J16"/>
  <c r="I16"/>
  <c r="H16"/>
  <c r="F16"/>
  <c r="D16"/>
  <c r="J15"/>
  <c r="I15"/>
  <c r="H15"/>
  <c r="F15"/>
  <c r="D15"/>
  <c r="J14"/>
  <c r="I14"/>
  <c r="H14"/>
  <c r="F14"/>
  <c r="D14"/>
  <c r="M13"/>
  <c r="L13"/>
  <c r="J13"/>
  <c r="I13"/>
  <c r="H13"/>
  <c r="F13"/>
  <c r="D13"/>
  <c r="J12"/>
  <c r="I12"/>
  <c r="H12"/>
  <c r="F12"/>
  <c r="D12"/>
  <c r="J11"/>
  <c r="I11"/>
  <c r="H11"/>
  <c r="F11"/>
  <c r="D11"/>
  <c r="J10"/>
  <c r="I10"/>
  <c r="H10"/>
  <c r="F10"/>
  <c r="D10"/>
  <c r="G9"/>
  <c r="E9"/>
  <c r="F9" s="1"/>
  <c r="C9"/>
  <c r="D9" s="1"/>
  <c r="G8"/>
  <c r="C8"/>
  <c r="D7"/>
  <c r="C7"/>
  <c r="P7" i="31"/>
  <c r="P6"/>
  <c r="P5"/>
  <c r="E22" i="30"/>
  <c r="E21"/>
  <c r="E20"/>
  <c r="E19"/>
  <c r="G18"/>
  <c r="E18"/>
  <c r="E15"/>
  <c r="E14"/>
  <c r="E13"/>
  <c r="E12" s="1"/>
  <c r="G12" s="1"/>
  <c r="E11"/>
  <c r="E9"/>
  <c r="E7" s="1"/>
  <c r="E8"/>
  <c r="G7"/>
  <c r="D58" i="29"/>
  <c r="D57"/>
  <c r="D56" s="1"/>
  <c r="D55" s="1"/>
  <c r="D53"/>
  <c r="D52" s="1"/>
  <c r="D45"/>
  <c r="D44" s="1"/>
  <c r="D37"/>
  <c r="D36" s="1"/>
  <c r="D35"/>
  <c r="D34"/>
  <c r="D33"/>
  <c r="D32"/>
  <c r="D31" s="1"/>
  <c r="D5" s="1"/>
  <c r="D30"/>
  <c r="D29"/>
  <c r="D28"/>
  <c r="D27"/>
  <c r="D26"/>
  <c r="D25"/>
  <c r="D24" s="1"/>
  <c r="D23"/>
  <c r="D22"/>
  <c r="D21"/>
  <c r="D20"/>
  <c r="D19"/>
  <c r="D18"/>
  <c r="D17"/>
  <c r="D16"/>
  <c r="D15"/>
  <c r="D14" s="1"/>
  <c r="D13"/>
  <c r="D12"/>
  <c r="D11"/>
  <c r="D10"/>
  <c r="D9"/>
  <c r="D8"/>
  <c r="D7"/>
  <c r="D6" s="1"/>
  <c r="F4"/>
  <c r="C76" i="33"/>
  <c r="J74"/>
  <c r="F74"/>
  <c r="D74"/>
  <c r="J73"/>
  <c r="F73"/>
  <c r="D73"/>
  <c r="J72"/>
  <c r="F72"/>
  <c r="D72"/>
  <c r="J69"/>
  <c r="F69"/>
  <c r="D69"/>
  <c r="J68"/>
  <c r="F68"/>
  <c r="D68"/>
  <c r="J67"/>
  <c r="F67"/>
  <c r="D67"/>
  <c r="J63"/>
  <c r="F63"/>
  <c r="D63"/>
  <c r="J62"/>
  <c r="F62"/>
  <c r="D62"/>
  <c r="J61"/>
  <c r="F61"/>
  <c r="D61"/>
  <c r="J60"/>
  <c r="F60"/>
  <c r="D60"/>
  <c r="J59"/>
  <c r="F59"/>
  <c r="D59"/>
  <c r="J58"/>
  <c r="F58"/>
  <c r="D58"/>
  <c r="J57"/>
  <c r="F57"/>
  <c r="D57"/>
  <c r="J56"/>
  <c r="F56"/>
  <c r="D56"/>
  <c r="J54"/>
  <c r="F54"/>
  <c r="D54"/>
  <c r="J53"/>
  <c r="F53"/>
  <c r="D53"/>
  <c r="J52"/>
  <c r="F52"/>
  <c r="D52"/>
  <c r="J51"/>
  <c r="F51"/>
  <c r="D51"/>
  <c r="J50"/>
  <c r="F50"/>
  <c r="D50"/>
  <c r="J48" i="10"/>
  <c r="J49" i="33" s="1"/>
  <c r="F48" i="10"/>
  <c r="F49" i="33" s="1"/>
  <c r="J48"/>
  <c r="F48"/>
  <c r="D48"/>
  <c r="J47"/>
  <c r="F47"/>
  <c r="D47"/>
  <c r="J46"/>
  <c r="F46"/>
  <c r="D46"/>
  <c r="J45"/>
  <c r="F45"/>
  <c r="D45"/>
  <c r="J44"/>
  <c r="F44"/>
  <c r="D44"/>
  <c r="J43"/>
  <c r="F43"/>
  <c r="D43"/>
  <c r="J42"/>
  <c r="F42"/>
  <c r="D42"/>
  <c r="J41"/>
  <c r="F41"/>
  <c r="D41"/>
  <c r="M41" s="1"/>
  <c r="J40"/>
  <c r="F40"/>
  <c r="D40"/>
  <c r="J39"/>
  <c r="F39"/>
  <c r="D39"/>
  <c r="J35"/>
  <c r="F35"/>
  <c r="D35"/>
  <c r="J34"/>
  <c r="F34"/>
  <c r="D34"/>
  <c r="C34"/>
  <c r="J33"/>
  <c r="F33"/>
  <c r="C33"/>
  <c r="J32"/>
  <c r="F32"/>
  <c r="C32"/>
  <c r="J31"/>
  <c r="F31"/>
  <c r="C31"/>
  <c r="J30"/>
  <c r="F30"/>
  <c r="D30"/>
  <c r="C30"/>
  <c r="J29"/>
  <c r="F29"/>
  <c r="D29"/>
  <c r="C29"/>
  <c r="J28"/>
  <c r="F28"/>
  <c r="D28"/>
  <c r="C28"/>
  <c r="J27"/>
  <c r="J26" s="1"/>
  <c r="F27"/>
  <c r="D27"/>
  <c r="C27"/>
  <c r="C26"/>
  <c r="J25"/>
  <c r="F25"/>
  <c r="D25"/>
  <c r="C25"/>
  <c r="J24"/>
  <c r="F24"/>
  <c r="D24"/>
  <c r="J23"/>
  <c r="F23"/>
  <c r="D23"/>
  <c r="C23"/>
  <c r="J22"/>
  <c r="F22"/>
  <c r="D22"/>
  <c r="C22"/>
  <c r="J21"/>
  <c r="F21"/>
  <c r="D21"/>
  <c r="C21"/>
  <c r="J20"/>
  <c r="F20"/>
  <c r="D20"/>
  <c r="C20"/>
  <c r="J19"/>
  <c r="F19"/>
  <c r="D19"/>
  <c r="C19"/>
  <c r="J18"/>
  <c r="F18"/>
  <c r="D18"/>
  <c r="C18"/>
  <c r="C17"/>
  <c r="C16"/>
  <c r="L15"/>
  <c r="K15"/>
  <c r="J15"/>
  <c r="H15"/>
  <c r="G15"/>
  <c r="F15"/>
  <c r="E15"/>
  <c r="D15"/>
  <c r="C15"/>
  <c r="H14"/>
  <c r="L14" s="1"/>
  <c r="J11"/>
  <c r="D11"/>
  <c r="C11"/>
  <c r="C76" i="32"/>
  <c r="M75"/>
  <c r="L75"/>
  <c r="H75"/>
  <c r="C74"/>
  <c r="M73"/>
  <c r="L73"/>
  <c r="I73"/>
  <c r="H73"/>
  <c r="C73"/>
  <c r="M72"/>
  <c r="L72"/>
  <c r="H72"/>
  <c r="C72"/>
  <c r="M71"/>
  <c r="L71"/>
  <c r="I71"/>
  <c r="H71"/>
  <c r="C71"/>
  <c r="C70"/>
  <c r="C69"/>
  <c r="M68"/>
  <c r="L68"/>
  <c r="I68"/>
  <c r="H68"/>
  <c r="C68"/>
  <c r="M67"/>
  <c r="L67"/>
  <c r="I67"/>
  <c r="H67"/>
  <c r="C67"/>
  <c r="M66"/>
  <c r="L66"/>
  <c r="I66"/>
  <c r="H66"/>
  <c r="C66"/>
  <c r="J65"/>
  <c r="D65"/>
  <c r="C65"/>
  <c r="C64"/>
  <c r="C63"/>
  <c r="L62"/>
  <c r="H62"/>
  <c r="M61"/>
  <c r="L61"/>
  <c r="H61"/>
  <c r="M60"/>
  <c r="L60"/>
  <c r="I60"/>
  <c r="H60"/>
  <c r="C60"/>
  <c r="M59"/>
  <c r="L59"/>
  <c r="I59"/>
  <c r="H59"/>
  <c r="C59"/>
  <c r="M58"/>
  <c r="L58"/>
  <c r="I58"/>
  <c r="H58"/>
  <c r="C58"/>
  <c r="M57"/>
  <c r="L57"/>
  <c r="I57"/>
  <c r="H57"/>
  <c r="M56"/>
  <c r="L56"/>
  <c r="I56"/>
  <c r="H56"/>
  <c r="D55"/>
  <c r="H55" s="1"/>
  <c r="C55"/>
  <c r="M54"/>
  <c r="L54"/>
  <c r="I54"/>
  <c r="H54"/>
  <c r="M53"/>
  <c r="L53"/>
  <c r="I53"/>
  <c r="H53"/>
  <c r="D52"/>
  <c r="H52" s="1"/>
  <c r="C52"/>
  <c r="M51"/>
  <c r="L51"/>
  <c r="I51"/>
  <c r="H51"/>
  <c r="C51"/>
  <c r="M50"/>
  <c r="L50"/>
  <c r="I50"/>
  <c r="H50"/>
  <c r="C50"/>
  <c r="M49"/>
  <c r="L49"/>
  <c r="I49"/>
  <c r="H49"/>
  <c r="C49"/>
  <c r="M48"/>
  <c r="L48"/>
  <c r="I48"/>
  <c r="H48"/>
  <c r="C48"/>
  <c r="M47"/>
  <c r="L47"/>
  <c r="I47"/>
  <c r="H47"/>
  <c r="C47"/>
  <c r="M46"/>
  <c r="L46"/>
  <c r="H46"/>
  <c r="C46"/>
  <c r="M45"/>
  <c r="L45"/>
  <c r="I45"/>
  <c r="H45"/>
  <c r="C45"/>
  <c r="M44"/>
  <c r="L44"/>
  <c r="I44"/>
  <c r="H44"/>
  <c r="C44"/>
  <c r="M43"/>
  <c r="L43"/>
  <c r="I43"/>
  <c r="H43"/>
  <c r="C43"/>
  <c r="D42"/>
  <c r="M42" s="1"/>
  <c r="C42"/>
  <c r="C41"/>
  <c r="C40"/>
  <c r="M39"/>
  <c r="L39"/>
  <c r="I39"/>
  <c r="H39"/>
  <c r="M38"/>
  <c r="L38"/>
  <c r="H38"/>
  <c r="C38"/>
  <c r="M37"/>
  <c r="L37"/>
  <c r="I37"/>
  <c r="H37"/>
  <c r="C37"/>
  <c r="M36"/>
  <c r="L36"/>
  <c r="I36"/>
  <c r="H36"/>
  <c r="C36"/>
  <c r="M35"/>
  <c r="L35"/>
  <c r="I35"/>
  <c r="H35"/>
  <c r="C35"/>
  <c r="M34"/>
  <c r="L34"/>
  <c r="I34"/>
  <c r="H34"/>
  <c r="C34"/>
  <c r="C33"/>
  <c r="M32"/>
  <c r="L32"/>
  <c r="I32"/>
  <c r="H32"/>
  <c r="C32"/>
  <c r="M31"/>
  <c r="L31"/>
  <c r="H31"/>
  <c r="M30"/>
  <c r="L30"/>
  <c r="I30"/>
  <c r="H30"/>
  <c r="M29"/>
  <c r="L29"/>
  <c r="I29"/>
  <c r="H29"/>
  <c r="C29"/>
  <c r="M28"/>
  <c r="L28"/>
  <c r="I28"/>
  <c r="H28"/>
  <c r="C28"/>
  <c r="D27"/>
  <c r="L27" s="1"/>
  <c r="C27"/>
  <c r="M26"/>
  <c r="L26"/>
  <c r="I26"/>
  <c r="H26"/>
  <c r="M25"/>
  <c r="L25"/>
  <c r="I25"/>
  <c r="H25"/>
  <c r="M24"/>
  <c r="L24"/>
  <c r="I24"/>
  <c r="H24"/>
  <c r="M23"/>
  <c r="L23"/>
  <c r="I23"/>
  <c r="H23"/>
  <c r="C23"/>
  <c r="M22"/>
  <c r="L22"/>
  <c r="I22"/>
  <c r="H22"/>
  <c r="C22"/>
  <c r="D21"/>
  <c r="M21" s="1"/>
  <c r="C21"/>
  <c r="M20"/>
  <c r="L20"/>
  <c r="I20"/>
  <c r="H20"/>
  <c r="M19"/>
  <c r="L19"/>
  <c r="I19"/>
  <c r="H19"/>
  <c r="C19"/>
  <c r="M18"/>
  <c r="L18"/>
  <c r="I18"/>
  <c r="H18"/>
  <c r="C18"/>
  <c r="D17"/>
  <c r="M17" s="1"/>
  <c r="C17"/>
  <c r="J16"/>
  <c r="J63" s="1"/>
  <c r="C16"/>
  <c r="L15"/>
  <c r="K15"/>
  <c r="J15"/>
  <c r="H15"/>
  <c r="G15"/>
  <c r="F15"/>
  <c r="E15"/>
  <c r="D15"/>
  <c r="C15"/>
  <c r="H14"/>
  <c r="L14" s="1"/>
  <c r="K11"/>
  <c r="J11"/>
  <c r="D11"/>
  <c r="C73" i="10"/>
  <c r="D17"/>
  <c r="D25"/>
  <c r="D16" s="1"/>
  <c r="J17"/>
  <c r="K17" s="1"/>
  <c r="J25"/>
  <c r="K25" s="1"/>
  <c r="F37"/>
  <c r="F63"/>
  <c r="L71"/>
  <c r="K71"/>
  <c r="I71"/>
  <c r="G71"/>
  <c r="E71"/>
  <c r="L70"/>
  <c r="K70"/>
  <c r="I70"/>
  <c r="G70"/>
  <c r="E70"/>
  <c r="L69"/>
  <c r="K69"/>
  <c r="I69"/>
  <c r="G69"/>
  <c r="E69"/>
  <c r="G66"/>
  <c r="E66"/>
  <c r="L65"/>
  <c r="K65"/>
  <c r="I65"/>
  <c r="H65"/>
  <c r="M65" s="1"/>
  <c r="G65"/>
  <c r="E65"/>
  <c r="L64"/>
  <c r="K64"/>
  <c r="I64"/>
  <c r="H64"/>
  <c r="M64" s="1"/>
  <c r="G64"/>
  <c r="E64"/>
  <c r="K63"/>
  <c r="G63"/>
  <c r="D63"/>
  <c r="I63" s="1"/>
  <c r="L60"/>
  <c r="K60"/>
  <c r="I60"/>
  <c r="H60"/>
  <c r="M60" s="1"/>
  <c r="G60"/>
  <c r="E60"/>
  <c r="L59"/>
  <c r="K59"/>
  <c r="I59"/>
  <c r="H59"/>
  <c r="M59" s="1"/>
  <c r="G59"/>
  <c r="E59"/>
  <c r="L58"/>
  <c r="K58"/>
  <c r="I58"/>
  <c r="H58"/>
  <c r="G58"/>
  <c r="E58"/>
  <c r="L57"/>
  <c r="K57"/>
  <c r="I57"/>
  <c r="H57"/>
  <c r="G57"/>
  <c r="E57"/>
  <c r="L56"/>
  <c r="K56"/>
  <c r="I56"/>
  <c r="H56"/>
  <c r="G56"/>
  <c r="E56"/>
  <c r="K55"/>
  <c r="I55"/>
  <c r="H55"/>
  <c r="G55"/>
  <c r="E55"/>
  <c r="L54"/>
  <c r="K54"/>
  <c r="I54"/>
  <c r="H54"/>
  <c r="G54"/>
  <c r="E54"/>
  <c r="L53"/>
  <c r="K53"/>
  <c r="I53"/>
  <c r="H53"/>
  <c r="G53"/>
  <c r="E53"/>
  <c r="L52"/>
  <c r="K52"/>
  <c r="I52"/>
  <c r="H52"/>
  <c r="G52"/>
  <c r="E52"/>
  <c r="L51"/>
  <c r="K51"/>
  <c r="I51"/>
  <c r="H51"/>
  <c r="G51"/>
  <c r="E51"/>
  <c r="L50"/>
  <c r="K50"/>
  <c r="I50"/>
  <c r="H50"/>
  <c r="G50"/>
  <c r="E50"/>
  <c r="L49"/>
  <c r="K49"/>
  <c r="I49"/>
  <c r="H49"/>
  <c r="G49"/>
  <c r="E49"/>
  <c r="K48"/>
  <c r="G48"/>
  <c r="D48"/>
  <c r="L47"/>
  <c r="K47"/>
  <c r="I47"/>
  <c r="H47"/>
  <c r="G47"/>
  <c r="E47"/>
  <c r="L46"/>
  <c r="K46"/>
  <c r="I46"/>
  <c r="H46"/>
  <c r="G46"/>
  <c r="E46"/>
  <c r="L45"/>
  <c r="K45"/>
  <c r="I45"/>
  <c r="H45"/>
  <c r="G45"/>
  <c r="E45"/>
  <c r="L44"/>
  <c r="K44"/>
  <c r="I44"/>
  <c r="H44"/>
  <c r="G44"/>
  <c r="E44"/>
  <c r="L43"/>
  <c r="K43"/>
  <c r="I43"/>
  <c r="H43"/>
  <c r="G43"/>
  <c r="E43"/>
  <c r="L42"/>
  <c r="K42"/>
  <c r="I42"/>
  <c r="H42"/>
  <c r="G42"/>
  <c r="E42"/>
  <c r="L41"/>
  <c r="K41"/>
  <c r="I41"/>
  <c r="H41"/>
  <c r="G41"/>
  <c r="E41"/>
  <c r="L40"/>
  <c r="K40"/>
  <c r="I40"/>
  <c r="H40"/>
  <c r="G40"/>
  <c r="E40"/>
  <c r="L39"/>
  <c r="K39"/>
  <c r="I39"/>
  <c r="H39"/>
  <c r="G39"/>
  <c r="E39"/>
  <c r="L38"/>
  <c r="K38"/>
  <c r="I38"/>
  <c r="H38"/>
  <c r="G38"/>
  <c r="E38"/>
  <c r="K37"/>
  <c r="D37"/>
  <c r="M37" s="1"/>
  <c r="L34"/>
  <c r="K34"/>
  <c r="I34"/>
  <c r="H34"/>
  <c r="G34"/>
  <c r="E34"/>
  <c r="L33"/>
  <c r="K33"/>
  <c r="I33"/>
  <c r="H33"/>
  <c r="G33"/>
  <c r="E33"/>
  <c r="C33"/>
  <c r="L32"/>
  <c r="K32"/>
  <c r="I32"/>
  <c r="H32"/>
  <c r="G32"/>
  <c r="E32"/>
  <c r="C32"/>
  <c r="L31"/>
  <c r="K31"/>
  <c r="I31"/>
  <c r="H31"/>
  <c r="G31"/>
  <c r="E31"/>
  <c r="C31"/>
  <c r="L30"/>
  <c r="K30"/>
  <c r="I30"/>
  <c r="H30"/>
  <c r="G30"/>
  <c r="E30"/>
  <c r="C30"/>
  <c r="L29"/>
  <c r="K29"/>
  <c r="I29"/>
  <c r="H29"/>
  <c r="G29"/>
  <c r="E29"/>
  <c r="C29"/>
  <c r="L28"/>
  <c r="K28"/>
  <c r="I28"/>
  <c r="H28"/>
  <c r="G28"/>
  <c r="E28"/>
  <c r="C28"/>
  <c r="L27"/>
  <c r="K27"/>
  <c r="I27"/>
  <c r="H27"/>
  <c r="G27"/>
  <c r="E27"/>
  <c r="C27"/>
  <c r="L26"/>
  <c r="K26"/>
  <c r="I26"/>
  <c r="H26"/>
  <c r="G26"/>
  <c r="E26"/>
  <c r="C26"/>
  <c r="I25"/>
  <c r="G25"/>
  <c r="C25"/>
  <c r="L24"/>
  <c r="K24"/>
  <c r="I24"/>
  <c r="H24"/>
  <c r="G24"/>
  <c r="E24"/>
  <c r="C24"/>
  <c r="L23"/>
  <c r="K23"/>
  <c r="I23"/>
  <c r="H23"/>
  <c r="G23"/>
  <c r="E23"/>
  <c r="C23"/>
  <c r="Q22"/>
  <c r="P22"/>
  <c r="L22"/>
  <c r="K22"/>
  <c r="I22"/>
  <c r="H22"/>
  <c r="G22"/>
  <c r="E22"/>
  <c r="C22"/>
  <c r="R21"/>
  <c r="Q21"/>
  <c r="P21"/>
  <c r="L21"/>
  <c r="K21"/>
  <c r="I21"/>
  <c r="H21"/>
  <c r="G21"/>
  <c r="E21"/>
  <c r="C21"/>
  <c r="R20"/>
  <c r="Q20"/>
  <c r="P20"/>
  <c r="L20"/>
  <c r="K20"/>
  <c r="I20"/>
  <c r="H20"/>
  <c r="G20"/>
  <c r="E20"/>
  <c r="C20"/>
  <c r="L19"/>
  <c r="K19"/>
  <c r="I19"/>
  <c r="H19"/>
  <c r="G19"/>
  <c r="E19"/>
  <c r="C19"/>
  <c r="L18"/>
  <c r="K18"/>
  <c r="I18"/>
  <c r="H18"/>
  <c r="G18"/>
  <c r="E18"/>
  <c r="C18"/>
  <c r="L17"/>
  <c r="I17"/>
  <c r="G17"/>
  <c r="C17"/>
  <c r="G16"/>
  <c r="C16"/>
  <c r="E15"/>
  <c r="D15"/>
  <c r="C15"/>
  <c r="L14"/>
  <c r="C14"/>
  <c r="C11"/>
  <c r="C11" i="32" s="1"/>
  <c r="J9" i="10"/>
  <c r="J8"/>
  <c r="K49" i="33" l="1"/>
  <c r="H16" i="10"/>
  <c r="E16"/>
  <c r="D4" i="29"/>
  <c r="G4" s="1"/>
  <c r="H21" i="32"/>
  <c r="E25" i="10"/>
  <c r="H25"/>
  <c r="K18" i="33"/>
  <c r="K23"/>
  <c r="K26"/>
  <c r="K28"/>
  <c r="K29"/>
  <c r="K30"/>
  <c r="K32"/>
  <c r="K40"/>
  <c r="K42"/>
  <c r="K48"/>
  <c r="K50"/>
  <c r="K52"/>
  <c r="K59"/>
  <c r="K63"/>
  <c r="I27" i="36"/>
  <c r="J27"/>
  <c r="I43"/>
  <c r="J43"/>
  <c r="E6" i="30"/>
  <c r="I22" i="36"/>
  <c r="J22"/>
  <c r="H27"/>
  <c r="I34"/>
  <c r="J34"/>
  <c r="H43"/>
  <c r="I54"/>
  <c r="J54"/>
  <c r="I70"/>
  <c r="J70"/>
  <c r="L65" i="32"/>
  <c r="F26" i="33"/>
  <c r="G26" s="1"/>
  <c r="L51"/>
  <c r="L56"/>
  <c r="M67"/>
  <c r="L68"/>
  <c r="L74"/>
  <c r="L43"/>
  <c r="M47"/>
  <c r="L44"/>
  <c r="L57"/>
  <c r="G33"/>
  <c r="G34"/>
  <c r="G41"/>
  <c r="G58"/>
  <c r="G62"/>
  <c r="G69"/>
  <c r="G18"/>
  <c r="G20"/>
  <c r="G21"/>
  <c r="G22"/>
  <c r="G23"/>
  <c r="K24"/>
  <c r="K25"/>
  <c r="G28"/>
  <c r="G29"/>
  <c r="G30"/>
  <c r="E34"/>
  <c r="E45"/>
  <c r="G46"/>
  <c r="G49"/>
  <c r="G50"/>
  <c r="E53"/>
  <c r="G54"/>
  <c r="L58"/>
  <c r="G59"/>
  <c r="K60"/>
  <c r="E62"/>
  <c r="G63"/>
  <c r="G72"/>
  <c r="E18"/>
  <c r="E19"/>
  <c r="E22"/>
  <c r="G24"/>
  <c r="M28"/>
  <c r="G31"/>
  <c r="E35"/>
  <c r="G39"/>
  <c r="M42"/>
  <c r="G43"/>
  <c r="L46"/>
  <c r="G51"/>
  <c r="E54"/>
  <c r="G56"/>
  <c r="G60"/>
  <c r="L63"/>
  <c r="G67"/>
  <c r="L72"/>
  <c r="D16" i="32"/>
  <c r="E16" s="1"/>
  <c r="M24" i="33"/>
  <c r="G32"/>
  <c r="G40"/>
  <c r="G44"/>
  <c r="G48"/>
  <c r="G52"/>
  <c r="G57"/>
  <c r="K58"/>
  <c r="E60"/>
  <c r="G61"/>
  <c r="K62"/>
  <c r="K69"/>
  <c r="M73"/>
  <c r="M69"/>
  <c r="G40" i="32"/>
  <c r="L55"/>
  <c r="G65"/>
  <c r="L52"/>
  <c r="D40"/>
  <c r="L40" s="1"/>
  <c r="H42"/>
  <c r="L25" i="33"/>
  <c r="L42" i="32"/>
  <c r="L35" i="33"/>
  <c r="H27" i="32"/>
  <c r="M25" i="33"/>
  <c r="M68"/>
  <c r="L45"/>
  <c r="M54"/>
  <c r="E63"/>
  <c r="E24"/>
  <c r="M60"/>
  <c r="G27"/>
  <c r="L60"/>
  <c r="G68"/>
  <c r="L17" i="32"/>
  <c r="H62" i="33"/>
  <c r="I68"/>
  <c r="L54"/>
  <c r="M57"/>
  <c r="M35"/>
  <c r="E42"/>
  <c r="L42"/>
  <c r="M74"/>
  <c r="H17" i="32"/>
  <c r="J66" i="33"/>
  <c r="K66" s="1"/>
  <c r="H58"/>
  <c r="L24"/>
  <c r="E25"/>
  <c r="E46"/>
  <c r="M46"/>
  <c r="H21"/>
  <c r="H23"/>
  <c r="I25"/>
  <c r="I27"/>
  <c r="I29"/>
  <c r="H30"/>
  <c r="I39"/>
  <c r="J38"/>
  <c r="K38" s="1"/>
  <c r="I41"/>
  <c r="H42"/>
  <c r="F55"/>
  <c r="G55" s="1"/>
  <c r="I58"/>
  <c r="F66"/>
  <c r="G66" s="1"/>
  <c r="H74"/>
  <c r="E69"/>
  <c r="H69"/>
  <c r="M51"/>
  <c r="M45"/>
  <c r="H28"/>
  <c r="H24"/>
  <c r="L41"/>
  <c r="M19"/>
  <c r="M22"/>
  <c r="G42"/>
  <c r="E58"/>
  <c r="H44"/>
  <c r="L62"/>
  <c r="E23"/>
  <c r="E73"/>
  <c r="E67"/>
  <c r="H73"/>
  <c r="H67"/>
  <c r="E51"/>
  <c r="M43"/>
  <c r="I28"/>
  <c r="I74"/>
  <c r="M53"/>
  <c r="E41"/>
  <c r="K27"/>
  <c r="M56"/>
  <c r="E47"/>
  <c r="D55"/>
  <c r="E55" s="1"/>
  <c r="L39"/>
  <c r="K39"/>
  <c r="F38"/>
  <c r="G38" s="1"/>
  <c r="L19"/>
  <c r="M23"/>
  <c r="L53"/>
  <c r="H39"/>
  <c r="I73"/>
  <c r="I69"/>
  <c r="I67"/>
  <c r="H63"/>
  <c r="L73"/>
  <c r="L69"/>
  <c r="L67"/>
  <c r="M62"/>
  <c r="D66"/>
  <c r="I51"/>
  <c r="E43"/>
  <c r="I24"/>
  <c r="E21"/>
  <c r="I54"/>
  <c r="I42"/>
  <c r="H41"/>
  <c r="D38"/>
  <c r="L47"/>
  <c r="M58"/>
  <c r="I18"/>
  <c r="H48"/>
  <c r="I59"/>
  <c r="H51"/>
  <c r="I40"/>
  <c r="M18"/>
  <c r="H54"/>
  <c r="H18"/>
  <c r="J55"/>
  <c r="K55" s="1"/>
  <c r="H68"/>
  <c r="K19"/>
  <c r="J17"/>
  <c r="L20"/>
  <c r="M20"/>
  <c r="M21"/>
  <c r="L21"/>
  <c r="H22"/>
  <c r="L22"/>
  <c r="I22"/>
  <c r="G25"/>
  <c r="H25"/>
  <c r="L27"/>
  <c r="E27"/>
  <c r="H27"/>
  <c r="M29"/>
  <c r="L29"/>
  <c r="E30"/>
  <c r="M30"/>
  <c r="I30"/>
  <c r="L34"/>
  <c r="M34"/>
  <c r="H34"/>
  <c r="G35"/>
  <c r="H35"/>
  <c r="M39"/>
  <c r="E39"/>
  <c r="E56"/>
  <c r="I56"/>
  <c r="H56"/>
  <c r="I34"/>
  <c r="G19"/>
  <c r="I19"/>
  <c r="E40"/>
  <c r="H40"/>
  <c r="H43"/>
  <c r="I43"/>
  <c r="E44"/>
  <c r="M44"/>
  <c r="I44"/>
  <c r="G45"/>
  <c r="I45"/>
  <c r="G47"/>
  <c r="H47"/>
  <c r="I47"/>
  <c r="M48"/>
  <c r="L48"/>
  <c r="E48"/>
  <c r="I48"/>
  <c r="I50"/>
  <c r="E50"/>
  <c r="M50"/>
  <c r="L50"/>
  <c r="H50"/>
  <c r="E52"/>
  <c r="L52"/>
  <c r="M52"/>
  <c r="H52"/>
  <c r="I52"/>
  <c r="G53"/>
  <c r="I53"/>
  <c r="E57"/>
  <c r="H57"/>
  <c r="E59"/>
  <c r="M59"/>
  <c r="L59"/>
  <c r="H59"/>
  <c r="I60"/>
  <c r="H60"/>
  <c r="E61"/>
  <c r="L61"/>
  <c r="M61"/>
  <c r="H61"/>
  <c r="E72"/>
  <c r="M72"/>
  <c r="H72"/>
  <c r="I72"/>
  <c r="H19"/>
  <c r="H45"/>
  <c r="H53"/>
  <c r="D35" i="10"/>
  <c r="D36" s="1"/>
  <c r="E37"/>
  <c r="I23" i="33"/>
  <c r="E35" i="10"/>
  <c r="F35"/>
  <c r="G37"/>
  <c r="H16" i="32"/>
  <c r="E33"/>
  <c r="D33" i="33"/>
  <c r="L33" i="32"/>
  <c r="H33"/>
  <c r="M33"/>
  <c r="I35" i="33"/>
  <c r="E28"/>
  <c r="I21"/>
  <c r="H20"/>
  <c r="L28"/>
  <c r="H29"/>
  <c r="D17"/>
  <c r="L40"/>
  <c r="M40"/>
  <c r="L30"/>
  <c r="L18"/>
  <c r="E29"/>
  <c r="D26"/>
  <c r="F17"/>
  <c r="L23"/>
  <c r="M27"/>
  <c r="I46"/>
  <c r="R22" i="10"/>
  <c r="H37"/>
  <c r="M48"/>
  <c r="D49" i="33"/>
  <c r="H48" i="10"/>
  <c r="E48"/>
  <c r="I48"/>
  <c r="L48"/>
  <c r="D61"/>
  <c r="I16"/>
  <c r="M17"/>
  <c r="H17"/>
  <c r="E17"/>
  <c r="G75" i="32"/>
  <c r="G73"/>
  <c r="G71"/>
  <c r="G67"/>
  <c r="G61"/>
  <c r="G59"/>
  <c r="G57"/>
  <c r="G55"/>
  <c r="G53"/>
  <c r="G51"/>
  <c r="G49"/>
  <c r="G47"/>
  <c r="G45"/>
  <c r="G43"/>
  <c r="G39"/>
  <c r="G37"/>
  <c r="G35"/>
  <c r="G33"/>
  <c r="G31"/>
  <c r="G29"/>
  <c r="G27"/>
  <c r="G25"/>
  <c r="G23"/>
  <c r="G21"/>
  <c r="G19"/>
  <c r="G17"/>
  <c r="E75"/>
  <c r="E72"/>
  <c r="E68"/>
  <c r="E66"/>
  <c r="E62"/>
  <c r="E60"/>
  <c r="E58"/>
  <c r="G72"/>
  <c r="G68"/>
  <c r="G66"/>
  <c r="G62"/>
  <c r="G60"/>
  <c r="G58"/>
  <c r="G56"/>
  <c r="G54"/>
  <c r="G52"/>
  <c r="G50"/>
  <c r="G48"/>
  <c r="G46"/>
  <c r="G44"/>
  <c r="G42"/>
  <c r="G38"/>
  <c r="G36"/>
  <c r="G34"/>
  <c r="G32"/>
  <c r="G30"/>
  <c r="G28"/>
  <c r="G26"/>
  <c r="G24"/>
  <c r="G22"/>
  <c r="G20"/>
  <c r="G18"/>
  <c r="E73"/>
  <c r="E71"/>
  <c r="E67"/>
  <c r="E61"/>
  <c r="E59"/>
  <c r="E57"/>
  <c r="E53"/>
  <c r="E51"/>
  <c r="E49"/>
  <c r="E47"/>
  <c r="E45"/>
  <c r="E43"/>
  <c r="E39"/>
  <c r="E37"/>
  <c r="E35"/>
  <c r="E31"/>
  <c r="E29"/>
  <c r="E25"/>
  <c r="E23"/>
  <c r="E20"/>
  <c r="E18"/>
  <c r="E56"/>
  <c r="E48"/>
  <c r="E44"/>
  <c r="E36"/>
  <c r="E32"/>
  <c r="E28"/>
  <c r="E24"/>
  <c r="E19"/>
  <c r="E54"/>
  <c r="E50"/>
  <c r="E46"/>
  <c r="E38"/>
  <c r="E34"/>
  <c r="E30"/>
  <c r="E26"/>
  <c r="E22"/>
  <c r="D31" i="33"/>
  <c r="L21" i="32"/>
  <c r="E21"/>
  <c r="I21"/>
  <c r="I33"/>
  <c r="G41"/>
  <c r="E52"/>
  <c r="K63"/>
  <c r="J69"/>
  <c r="J64"/>
  <c r="I65"/>
  <c r="K68" i="33"/>
  <c r="K67"/>
  <c r="K74"/>
  <c r="K73"/>
  <c r="K57"/>
  <c r="K56"/>
  <c r="K54"/>
  <c r="K47"/>
  <c r="E20"/>
  <c r="I20"/>
  <c r="K20"/>
  <c r="K21"/>
  <c r="K22"/>
  <c r="K31"/>
  <c r="K33"/>
  <c r="K34"/>
  <c r="K35"/>
  <c r="K41"/>
  <c r="K43"/>
  <c r="K44"/>
  <c r="K45"/>
  <c r="H46"/>
  <c r="K46"/>
  <c r="K51"/>
  <c r="K53"/>
  <c r="K61"/>
  <c r="K72"/>
  <c r="H63" i="10"/>
  <c r="M63" s="1"/>
  <c r="E63"/>
  <c r="L63"/>
  <c r="J16"/>
  <c r="L25"/>
  <c r="G73" i="33"/>
  <c r="E74"/>
  <c r="G74"/>
  <c r="D8" i="36"/>
  <c r="L16"/>
  <c r="H8"/>
  <c r="J9"/>
  <c r="H9"/>
  <c r="I17"/>
  <c r="D60"/>
  <c r="C41"/>
  <c r="J60"/>
  <c r="H60"/>
  <c r="G41"/>
  <c r="H79"/>
  <c r="G75"/>
  <c r="E17" i="32"/>
  <c r="E42"/>
  <c r="F61" i="10"/>
  <c r="I37"/>
  <c r="L37"/>
  <c r="M25"/>
  <c r="K75" i="32"/>
  <c r="K73"/>
  <c r="K71"/>
  <c r="K67"/>
  <c r="K61"/>
  <c r="K59"/>
  <c r="K57"/>
  <c r="K55"/>
  <c r="K53"/>
  <c r="K51"/>
  <c r="K49"/>
  <c r="K47"/>
  <c r="K45"/>
  <c r="K43"/>
  <c r="K39"/>
  <c r="K37"/>
  <c r="K35"/>
  <c r="K33"/>
  <c r="K31"/>
  <c r="K29"/>
  <c r="K27"/>
  <c r="K25"/>
  <c r="K23"/>
  <c r="K21"/>
  <c r="K19"/>
  <c r="K17"/>
  <c r="K72"/>
  <c r="K68"/>
  <c r="K66"/>
  <c r="K62"/>
  <c r="K60"/>
  <c r="K58"/>
  <c r="K56"/>
  <c r="K54"/>
  <c r="K52"/>
  <c r="K50"/>
  <c r="K48"/>
  <c r="K46"/>
  <c r="K44"/>
  <c r="K42"/>
  <c r="K38"/>
  <c r="K36"/>
  <c r="K34"/>
  <c r="K32"/>
  <c r="K30"/>
  <c r="K28"/>
  <c r="K26"/>
  <c r="K24"/>
  <c r="K22"/>
  <c r="K20"/>
  <c r="K18"/>
  <c r="G16"/>
  <c r="K16"/>
  <c r="I17"/>
  <c r="E27"/>
  <c r="I27"/>
  <c r="M27"/>
  <c r="K40"/>
  <c r="K41"/>
  <c r="I42"/>
  <c r="I52"/>
  <c r="M52"/>
  <c r="E55"/>
  <c r="I55"/>
  <c r="M55"/>
  <c r="E65"/>
  <c r="H65"/>
  <c r="K65"/>
  <c r="M65"/>
  <c r="D32" i="33"/>
  <c r="E68"/>
  <c r="E5" i="30"/>
  <c r="E8" i="36"/>
  <c r="I9"/>
  <c r="J17"/>
  <c r="H17"/>
  <c r="F60"/>
  <c r="E41"/>
  <c r="I60"/>
  <c r="J35" i="10"/>
  <c r="E36" l="1"/>
  <c r="E4" i="30"/>
  <c r="M40" i="32"/>
  <c r="H40"/>
  <c r="I40"/>
  <c r="G35" i="10"/>
  <c r="F36"/>
  <c r="G36" s="1"/>
  <c r="M35"/>
  <c r="M55" i="33"/>
  <c r="M16" i="32"/>
  <c r="L16"/>
  <c r="I16"/>
  <c r="I38" i="33"/>
  <c r="H66"/>
  <c r="D41" i="32"/>
  <c r="M41" s="1"/>
  <c r="E40"/>
  <c r="D63"/>
  <c r="M63" s="1"/>
  <c r="E38" i="33"/>
  <c r="M66"/>
  <c r="H38"/>
  <c r="E66"/>
  <c r="F36"/>
  <c r="S18" s="1"/>
  <c r="M38"/>
  <c r="I66"/>
  <c r="I55"/>
  <c r="L66"/>
  <c r="L38"/>
  <c r="H55"/>
  <c r="L55"/>
  <c r="J36"/>
  <c r="K17"/>
  <c r="J16"/>
  <c r="E42" i="36"/>
  <c r="F42" s="1"/>
  <c r="F41"/>
  <c r="E68"/>
  <c r="F8"/>
  <c r="G63" i="32"/>
  <c r="E41"/>
  <c r="H41"/>
  <c r="I41"/>
  <c r="G61" i="10"/>
  <c r="F67"/>
  <c r="F62"/>
  <c r="G62" s="1"/>
  <c r="G42" i="36"/>
  <c r="I41"/>
  <c r="H41"/>
  <c r="J41"/>
  <c r="J61" i="10"/>
  <c r="G9"/>
  <c r="G8"/>
  <c r="K16"/>
  <c r="K64" i="32"/>
  <c r="D62" i="10"/>
  <c r="L61"/>
  <c r="I61"/>
  <c r="H61"/>
  <c r="M61" s="1"/>
  <c r="E61"/>
  <c r="D67"/>
  <c r="M49" i="33"/>
  <c r="E49"/>
  <c r="L49"/>
  <c r="H49"/>
  <c r="I49"/>
  <c r="E26"/>
  <c r="H26"/>
  <c r="I26"/>
  <c r="M26"/>
  <c r="L26"/>
  <c r="I17"/>
  <c r="M17"/>
  <c r="L17"/>
  <c r="H17"/>
  <c r="D16"/>
  <c r="E17"/>
  <c r="D36"/>
  <c r="J36" i="10"/>
  <c r="K35"/>
  <c r="I8" i="36"/>
  <c r="E10" i="30"/>
  <c r="G4"/>
  <c r="M32" i="33"/>
  <c r="L32"/>
  <c r="I32"/>
  <c r="H32"/>
  <c r="E32"/>
  <c r="H75" i="36"/>
  <c r="C42"/>
  <c r="D42" s="1"/>
  <c r="D41"/>
  <c r="J8"/>
  <c r="G68"/>
  <c r="C68"/>
  <c r="K69" i="32"/>
  <c r="J74"/>
  <c r="I31" i="33"/>
  <c r="H31"/>
  <c r="E31"/>
  <c r="L31"/>
  <c r="M31"/>
  <c r="L16" i="10"/>
  <c r="M16"/>
  <c r="L35"/>
  <c r="F16" i="33"/>
  <c r="G17"/>
  <c r="H33"/>
  <c r="M33"/>
  <c r="E33"/>
  <c r="L33"/>
  <c r="I33"/>
  <c r="I35" i="10"/>
  <c r="H35"/>
  <c r="H36" l="1"/>
  <c r="I36"/>
  <c r="H63" i="32"/>
  <c r="L41"/>
  <c r="I63"/>
  <c r="E63"/>
  <c r="D69"/>
  <c r="D64"/>
  <c r="I64" s="1"/>
  <c r="L63"/>
  <c r="G36" i="33"/>
  <c r="F37"/>
  <c r="G37" s="1"/>
  <c r="J37"/>
  <c r="K37" s="1"/>
  <c r="K36"/>
  <c r="S19"/>
  <c r="R19"/>
  <c r="K16"/>
  <c r="J64"/>
  <c r="K74" i="32"/>
  <c r="J70"/>
  <c r="K70" s="1"/>
  <c r="C69" i="36"/>
  <c r="D69" s="1"/>
  <c r="C74"/>
  <c r="D68"/>
  <c r="E17" i="30"/>
  <c r="G10"/>
  <c r="D37" i="33"/>
  <c r="S17"/>
  <c r="M36"/>
  <c r="I36"/>
  <c r="L36"/>
  <c r="E36"/>
  <c r="H36"/>
  <c r="R17"/>
  <c r="I16"/>
  <c r="D64"/>
  <c r="H16"/>
  <c r="E16"/>
  <c r="M16"/>
  <c r="L16"/>
  <c r="I62" i="10"/>
  <c r="H62"/>
  <c r="E62"/>
  <c r="G69" i="32"/>
  <c r="E69" i="36"/>
  <c r="F69" s="1"/>
  <c r="E74"/>
  <c r="F68"/>
  <c r="R18" i="33"/>
  <c r="G16"/>
  <c r="F64"/>
  <c r="G69" i="36"/>
  <c r="I68"/>
  <c r="H68"/>
  <c r="J68"/>
  <c r="M36" i="10"/>
  <c r="K36"/>
  <c r="L36"/>
  <c r="D72"/>
  <c r="H67"/>
  <c r="E67"/>
  <c r="I67"/>
  <c r="J67"/>
  <c r="J62"/>
  <c r="K62" s="1"/>
  <c r="K61"/>
  <c r="I42" i="36"/>
  <c r="H42"/>
  <c r="J42"/>
  <c r="F72" i="10"/>
  <c r="G67"/>
  <c r="G64" i="32"/>
  <c r="H64" l="1"/>
  <c r="I69"/>
  <c r="D74"/>
  <c r="I74" s="1"/>
  <c r="H69"/>
  <c r="E69"/>
  <c r="M69"/>
  <c r="L69"/>
  <c r="E64"/>
  <c r="L64"/>
  <c r="M64"/>
  <c r="T19" i="33"/>
  <c r="K64"/>
  <c r="J65"/>
  <c r="K65" s="1"/>
  <c r="J70"/>
  <c r="H72" i="10"/>
  <c r="D68"/>
  <c r="E72"/>
  <c r="I72"/>
  <c r="G64" i="33"/>
  <c r="F65"/>
  <c r="G65" s="1"/>
  <c r="T18"/>
  <c r="F70"/>
  <c r="I74" i="36"/>
  <c r="F74"/>
  <c r="E79"/>
  <c r="J74"/>
  <c r="G74" i="32"/>
  <c r="G70"/>
  <c r="L62" i="10"/>
  <c r="D70" i="33"/>
  <c r="M64"/>
  <c r="L64"/>
  <c r="T17"/>
  <c r="D65"/>
  <c r="E64"/>
  <c r="H64"/>
  <c r="I64"/>
  <c r="G72" i="10"/>
  <c r="F68"/>
  <c r="G68" s="1"/>
  <c r="J72"/>
  <c r="K67"/>
  <c r="L67"/>
  <c r="M67"/>
  <c r="I69" i="36"/>
  <c r="H69"/>
  <c r="J69"/>
  <c r="M62" i="10"/>
  <c r="M37" i="33"/>
  <c r="E37"/>
  <c r="H37"/>
  <c r="I37"/>
  <c r="L37"/>
  <c r="E23" i="30"/>
  <c r="G23" s="1"/>
  <c r="G17"/>
  <c r="D74" i="36"/>
  <c r="C79"/>
  <c r="H74" i="32" l="1"/>
  <c r="E74"/>
  <c r="D70"/>
  <c r="H70" s="1"/>
  <c r="M74"/>
  <c r="L74"/>
  <c r="K70" i="33"/>
  <c r="J75"/>
  <c r="M65"/>
  <c r="E65"/>
  <c r="H65"/>
  <c r="I65"/>
  <c r="L65"/>
  <c r="D79" i="36"/>
  <c r="C75"/>
  <c r="D75" s="1"/>
  <c r="J68" i="10"/>
  <c r="K68" s="1"/>
  <c r="K72"/>
  <c r="F79" i="36"/>
  <c r="E75"/>
  <c r="J79"/>
  <c r="I79"/>
  <c r="L72" i="10"/>
  <c r="H68"/>
  <c r="I68"/>
  <c r="E68"/>
  <c r="L68"/>
  <c r="D75" i="33"/>
  <c r="I70"/>
  <c r="M70"/>
  <c r="E70"/>
  <c r="L70"/>
  <c r="H70"/>
  <c r="F75"/>
  <c r="G70"/>
  <c r="M72" i="10"/>
  <c r="M68" l="1"/>
  <c r="L70" i="32"/>
  <c r="E70"/>
  <c r="M70"/>
  <c r="I70"/>
  <c r="K75" i="33"/>
  <c r="J71"/>
  <c r="K71" s="1"/>
  <c r="F71"/>
  <c r="G71" s="1"/>
  <c r="G75"/>
  <c r="I75"/>
  <c r="L75"/>
  <c r="D71"/>
  <c r="E75"/>
  <c r="M75"/>
  <c r="H75"/>
  <c r="F75" i="36"/>
  <c r="I75"/>
  <c r="J75"/>
  <c r="I71" i="33" l="1"/>
  <c r="L71"/>
  <c r="M71"/>
  <c r="H71"/>
  <c r="E71"/>
</calcChain>
</file>

<file path=xl/sharedStrings.xml><?xml version="1.0" encoding="utf-8"?>
<sst xmlns="http://schemas.openxmlformats.org/spreadsheetml/2006/main" count="1260" uniqueCount="473">
  <si>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</si>
  <si>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</si>
  <si>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</si>
  <si>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</si>
  <si>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</si>
  <si>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</si>
  <si>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</si>
  <si>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</si>
  <si>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</si>
  <si>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</si>
  <si>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</si>
  <si>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</si>
  <si>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</si>
  <si>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</si>
  <si>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</si>
  <si>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</si>
  <si>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</si>
  <si>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</si>
  <si>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</si>
  <si>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</si>
  <si>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</si>
  <si>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</si>
  <si>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</si>
  <si>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</si>
  <si>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</si>
  <si>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</si>
  <si>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</si>
  <si>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</si>
  <si>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</si>
  <si>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</si>
  <si>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</si>
  <si>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</si>
  <si>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</si>
  <si>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</si>
  <si>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</si>
  <si>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</si>
  <si>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</si>
  <si>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</si>
  <si>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</si>
  <si>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</si>
  <si>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</si>
  <si>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</si>
  <si>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</si>
  <si>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</si>
  <si>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</si>
  <si>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</si>
  <si>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</si>
  <si>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</si>
  <si>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</si>
  <si>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</si>
  <si>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</si>
  <si>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</si>
  <si>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</si>
  <si>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</si>
  <si>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</si>
  <si>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</si>
  <si>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</si>
  <si>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</si>
  <si>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</si>
  <si>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</si>
  <si>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</si>
  <si>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</si>
  <si>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</si>
  <si>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</si>
  <si>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</si>
  <si>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</si>
  <si>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</si>
  <si>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</si>
  <si>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</si>
  <si>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</si>
  <si>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</si>
  <si>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</si>
  <si>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</si>
  <si>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</si>
  <si>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</si>
  <si>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</si>
  <si>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</si>
  <si>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</si>
  <si>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</si>
  <si>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</si>
  <si>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</si>
  <si>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</si>
  <si>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</si>
  <si>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</si>
  <si>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</si>
  <si>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</si>
  <si>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</si>
  <si>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</si>
  <si>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</si>
  <si>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</si>
  <si>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</si>
  <si>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</si>
  <si>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</si>
  <si>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</si>
  <si>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</si>
  <si>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</si>
  <si>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</si>
  <si>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</si>
  <si>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</si>
  <si>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</si>
  <si>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</si>
  <si>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</si>
  <si>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</si>
  <si>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</si>
  <si>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</si>
  <si>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</si>
  <si>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</si>
  <si>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</si>
  <si>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</si>
  <si>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</si>
  <si>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</si>
  <si>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</si>
  <si>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</si>
  <si>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</si>
  <si>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</si>
  <si>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</si>
  <si>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</si>
  <si>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</si>
  <si>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</si>
  <si>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</si>
  <si>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</si>
  <si>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</si>
  <si>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</si>
  <si>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</si>
  <si>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</si>
  <si>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</si>
  <si>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</si>
  <si>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</si>
  <si>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</si>
  <si>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</si>
  <si>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</si>
  <si>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</si>
  <si>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</si>
  <si>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</si>
  <si>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</si>
  <si>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</si>
  <si>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</si>
  <si>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</si>
  <si>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</si>
  <si>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</si>
  <si>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</si>
  <si>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</si>
  <si>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</si>
  <si>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</si>
  <si>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</si>
  <si>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</si>
  <si>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</si>
  <si>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</si>
  <si>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</si>
  <si>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</si>
  <si>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</si>
  <si>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</si>
  <si>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</si>
  <si>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</si>
  <si>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</si>
  <si>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</si>
  <si>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</si>
  <si>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</si>
  <si>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</si>
  <si>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</si>
  <si>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</si>
  <si>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</si>
  <si>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</si>
  <si>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</si>
  <si>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</si>
  <si>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</si>
  <si>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</si>
  <si>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</si>
  <si>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</si>
  <si>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</si>
  <si>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</si>
  <si>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</si>
  <si>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</si>
  <si>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</si>
  <si>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</si>
  <si>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</si>
  <si>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</si>
  <si>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</si>
  <si>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</si>
  <si>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</si>
  <si>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</si>
  <si>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</si>
  <si>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</si>
  <si>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</si>
  <si>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</si>
  <si>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</si>
  <si>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</si>
  <si>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</si>
  <si>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</si>
  <si>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</si>
  <si>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</si>
  <si>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</si>
  <si>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</si>
  <si>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</si>
  <si>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</si>
  <si>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</si>
  <si>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</si>
  <si>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</si>
  <si>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</si>
  <si>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</si>
  <si>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</si>
  <si>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</si>
  <si>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</si>
  <si>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</si>
  <si>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</si>
  <si>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</si>
  <si>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</si>
  <si>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</si>
  <si>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</si>
  <si>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</si>
  <si>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</si>
  <si>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</si>
  <si>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</si>
  <si>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</si>
  <si>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</si>
  <si>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</si>
  <si>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</si>
  <si>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</si>
  <si>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</si>
  <si>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</si>
  <si>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</si>
  <si>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</si>
  <si>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</si>
  <si>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</si>
  <si>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</si>
  <si>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</si>
  <si>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</si>
  <si>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</si>
  <si>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</si>
  <si>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</si>
  <si>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</si>
  <si>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</si>
  <si>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</si>
  <si>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</si>
  <si>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</si>
  <si>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</si>
  <si>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</si>
  <si>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</si>
  <si>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</si>
  <si>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</si>
  <si>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</si>
  <si>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</si>
  <si>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</si>
  <si>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</si>
  <si>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</si>
  <si>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</si>
  <si>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</si>
  <si>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</si>
  <si>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</si>
  <si>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</si>
  <si>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</si>
  <si>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</si>
  <si>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</si>
  <si>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</si>
  <si>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</si>
  <si>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</si>
  <si>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</si>
  <si>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</si>
  <si>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</si>
  <si>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</si>
  <si>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</si>
  <si>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</si>
  <si>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</si>
  <si>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</si>
  <si>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</si>
  <si>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</si>
  <si>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</si>
  <si>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</si>
  <si>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</si>
  <si>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</si>
  <si>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</si>
  <si>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</si>
  <si>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</si>
  <si>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</si>
  <si>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</si>
  <si>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</si>
  <si>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</si>
  <si>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</si>
  <si>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</si>
  <si>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</si>
  <si>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</si>
  <si>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</si>
  <si>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</si>
  <si>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</si>
  <si>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</si>
  <si>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</si>
  <si>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</si>
  <si>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</si>
  <si>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</si>
  <si>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</si>
  <si>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</si>
  <si>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</si>
  <si>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</si>
  <si>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</si>
  <si>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</si>
  <si>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</si>
  <si>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</si>
  <si>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</si>
  <si>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</si>
  <si>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</si>
  <si>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</si>
  <si>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</si>
  <si>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</si>
  <si>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</si>
  <si>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</si>
  <si>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</si>
  <si>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</si>
  <si>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</si>
  <si>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</si>
  <si>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</si>
  <si>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</si>
  <si>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</si>
  <si>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</si>
  <si>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</si>
  <si>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</si>
  <si>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</si>
  <si>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</si>
  <si>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</si>
  <si>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</si>
  <si>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</si>
  <si>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</si>
  <si>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</si>
  <si>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</si>
  <si>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</si>
  <si>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</si>
  <si>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</si>
  <si>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</si>
  <si>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</si>
  <si>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</si>
  <si>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</si>
  <si>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</si>
  <si>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</si>
  <si>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</si>
  <si>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</si>
  <si>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</si>
  <si>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</si>
  <si>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</si>
  <si>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</si>
  <si>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</si>
  <si>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</si>
  <si>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</si>
  <si>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</si>
  <si>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</si>
  <si>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</si>
  <si>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</si>
  <si>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</si>
  <si>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</si>
  <si>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</si>
  <si>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</si>
  <si>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</si>
  <si>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</si>
  <si>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</si>
  <si>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</si>
  <si>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</si>
  <si>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</si>
  <si>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</si>
  <si>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</si>
  <si>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</si>
  <si>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</si>
  <si>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</si>
  <si>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</si>
  <si>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</si>
  <si>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</si>
  <si>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</si>
  <si>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</si>
  <si>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</si>
  <si>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</si>
  <si>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</si>
  <si>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</si>
  <si>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</si>
  <si>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</si>
  <si>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</si>
  <si>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</si>
  <si>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</si>
  <si>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</si>
  <si>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</si>
  <si>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</si>
  <si>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</si>
  <si>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</si>
  <si>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</si>
  <si>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</si>
  <si>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</si>
  <si>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</si>
  <si>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</si>
  <si>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</si>
  <si>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</si>
  <si>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</si>
  <si>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</si>
  <si>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</si>
  <si>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</si>
  <si>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</si>
  <si>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</si>
  <si>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</si>
  <si>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</si>
  <si>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</si>
  <si>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</si>
  <si>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</si>
  <si>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</si>
  <si>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</si>
  <si>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</si>
  <si>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</si>
  <si>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</si>
  <si>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</si>
  <si>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</si>
  <si>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</si>
  <si>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</si>
  <si>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</si>
  <si>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</si>
  <si>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</si>
  <si>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</si>
  <si>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</si>
  <si>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</si>
  <si>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</si>
  <si>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</si>
  <si>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</si>
  <si>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</si>
  <si>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</si>
  <si>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</si>
  <si>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</si>
  <si>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</si>
  <si>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</si>
  <si>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</si>
  <si>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</si>
  <si>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</si>
  <si>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</si>
  <si>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</si>
  <si>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</si>
  <si>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</si>
  <si>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</si>
  <si>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</si>
  <si>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</si>
  <si>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</si>
  <si>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</si>
  <si>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</si>
  <si>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</si>
  <si>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</si>
  <si>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</si>
  <si>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</si>
  <si>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</si>
  <si>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</si>
  <si>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</si>
  <si>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</si>
  <si>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</si>
  <si>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</si>
  <si>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</si>
  <si>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</si>
  <si>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2014 - ostvarenje</t>
  </si>
  <si>
    <t>2014 - plan</t>
  </si>
  <si>
    <t>Naknada za komunalno opremanje građevinskog zemljišta</t>
  </si>
  <si>
    <t>Prihodi</t>
  </si>
  <si>
    <t>Rashodi</t>
  </si>
  <si>
    <t>Suficit / deficit</t>
  </si>
  <si>
    <t>PDV</t>
  </si>
  <si>
    <t>Odstupanje</t>
  </si>
  <si>
    <t>Tekući budžetski izdaci</t>
  </si>
  <si>
    <t>Otplata obaveza iz prethodnih godina</t>
  </si>
  <si>
    <t>4630a</t>
  </si>
  <si>
    <t>4630b</t>
  </si>
  <si>
    <t>Primarni bilans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</si>
  <si>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</si>
  <si>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</si>
  <si>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</si>
  <si>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</si>
  <si>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</si>
  <si>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</si>
  <si>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</si>
  <si>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konačni rezultat</t>
  </si>
  <si>
    <t>Budžetski izdaci</t>
  </si>
  <si>
    <t>preliminarni</t>
  </si>
  <si>
    <t>2015 - ostvarenje</t>
  </si>
  <si>
    <t>Plan 2015</t>
  </si>
  <si>
    <t>2014 - Ostvarenje</t>
  </si>
  <si>
    <t>2015 - plan</t>
  </si>
</sst>
</file>

<file path=xl/styles.xml><?xml version="1.0" encoding="utf-8"?>
<styleSheet xmlns="http://schemas.openxmlformats.org/spreadsheetml/2006/main">
  <numFmts count="13">
    <numFmt numFmtId="164" formatCode="_-* #,##0.00\ &quot;€&quot;_-;\-* #,##0.00\ &quot;€&quot;_-;_-* &quot;-&quot;??\ &quot;€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color indexed="1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5" fillId="0" borderId="0" applyFont="0" applyFill="0" applyBorder="0" applyAlignment="0" applyProtection="0"/>
    <xf numFmtId="0" fontId="6" fillId="0" borderId="0"/>
  </cellStyleXfs>
  <cellXfs count="353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5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5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6" fontId="27" fillId="2" borderId="0" xfId="0" applyNumberFormat="1" applyFont="1" applyFill="1" applyBorder="1" applyAlignment="1" applyProtection="1">
      <protection hidden="1"/>
    </xf>
    <xf numFmtId="166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5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5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5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6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6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6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6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164" fontId="27" fillId="2" borderId="0" xfId="22" applyNumberFormat="1" applyFont="1" applyFill="1" applyBorder="1" applyAlignment="1">
      <alignment vertical="center"/>
    </xf>
    <xf numFmtId="0" fontId="27" fillId="2" borderId="0" xfId="22" applyFont="1" applyFill="1" applyBorder="1" applyAlignment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32" fillId="2" borderId="0" xfId="22" applyFont="1" applyFill="1" applyBorder="1" applyAlignment="1"/>
    <xf numFmtId="0" fontId="27" fillId="2" borderId="0" xfId="22" applyFont="1" applyFill="1" applyAlignment="1">
      <alignment wrapText="1"/>
    </xf>
    <xf numFmtId="0" fontId="32" fillId="2" borderId="0" xfId="22" applyFont="1" applyFill="1" applyBorder="1" applyAlignment="1">
      <alignment horizontal="center" wrapText="1"/>
    </xf>
    <xf numFmtId="0" fontId="32" fillId="2" borderId="0" xfId="22" applyFont="1" applyFill="1" applyBorder="1" applyAlignment="1">
      <alignment horizontal="center"/>
    </xf>
    <xf numFmtId="2" fontId="27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5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2" fontId="29" fillId="8" borderId="6" xfId="22" applyNumberFormat="1" applyFont="1" applyFill="1" applyBorder="1" applyAlignment="1">
      <alignment vertical="center"/>
    </xf>
    <xf numFmtId="165" fontId="29" fillId="2" borderId="30" xfId="36" applyNumberFormat="1" applyFont="1" applyFill="1" applyBorder="1" applyAlignment="1">
      <alignment vertical="center"/>
    </xf>
    <xf numFmtId="165" fontId="27" fillId="0" borderId="30" xfId="36" applyNumberFormat="1" applyFont="1" applyFill="1" applyBorder="1" applyAlignment="1">
      <alignment vertical="center"/>
    </xf>
    <xf numFmtId="165" fontId="27" fillId="2" borderId="30" xfId="36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 wrapText="1"/>
    </xf>
    <xf numFmtId="0" fontId="27" fillId="2" borderId="0" xfId="22" applyFont="1" applyFill="1" applyAlignment="1">
      <alignment vertical="center"/>
    </xf>
    <xf numFmtId="0" fontId="29" fillId="8" borderId="36" xfId="22" applyFont="1" applyFill="1" applyBorder="1" applyAlignment="1">
      <alignment horizontal="center" vertical="center" wrapText="1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5" fontId="29" fillId="5" borderId="5" xfId="36" applyNumberFormat="1" applyFont="1" applyFill="1" applyBorder="1" applyAlignment="1">
      <alignment vertical="center"/>
    </xf>
    <xf numFmtId="165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5" fontId="29" fillId="5" borderId="11" xfId="36" applyNumberFormat="1" applyFont="1" applyFill="1" applyBorder="1" applyAlignment="1">
      <alignment vertical="center"/>
    </xf>
    <xf numFmtId="165" fontId="29" fillId="0" borderId="30" xfId="36" applyNumberFormat="1" applyFont="1" applyFill="1" applyBorder="1" applyAlignment="1">
      <alignment vertic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5" fontId="29" fillId="6" borderId="5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5" fontId="29" fillId="6" borderId="11" xfId="36" applyNumberFormat="1" applyFont="1" applyFill="1" applyBorder="1" applyAlignment="1">
      <alignment vertical="center"/>
    </xf>
    <xf numFmtId="165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7" fillId="0" borderId="0" xfId="0" applyFont="1"/>
    <xf numFmtId="175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5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5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5" fontId="27" fillId="2" borderId="21" xfId="39" applyNumberFormat="1" applyFont="1" applyFill="1" applyBorder="1"/>
    <xf numFmtId="0" fontId="27" fillId="2" borderId="21" xfId="39" applyFont="1" applyFill="1" applyBorder="1"/>
    <xf numFmtId="165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165" fontId="27" fillId="2" borderId="0" xfId="39" applyNumberFormat="1" applyFont="1" applyFill="1" applyBorder="1"/>
    <xf numFmtId="4" fontId="27" fillId="2" borderId="0" xfId="39" applyNumberFormat="1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0" fontId="29" fillId="5" borderId="11" xfId="36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 applyProtection="1">
      <alignment vertical="center"/>
      <protection hidden="1"/>
    </xf>
    <xf numFmtId="166" fontId="27" fillId="2" borderId="0" xfId="0" applyNumberFormat="1" applyFont="1" applyFill="1" applyBorder="1" applyAlignment="1" applyProtection="1">
      <alignment vertical="center"/>
      <protection hidden="1"/>
    </xf>
    <xf numFmtId="165" fontId="29" fillId="14" borderId="30" xfId="22" applyNumberFormat="1" applyFont="1" applyFill="1" applyBorder="1" applyAlignment="1">
      <alignment vertical="center"/>
    </xf>
    <xf numFmtId="165" fontId="29" fillId="14" borderId="5" xfId="22" applyNumberFormat="1" applyFont="1" applyFill="1" applyBorder="1" applyAlignment="1">
      <alignment vertical="center"/>
    </xf>
    <xf numFmtId="165" fontId="29" fillId="14" borderId="30" xfId="36" applyNumberFormat="1" applyFont="1" applyFill="1" applyBorder="1" applyAlignment="1">
      <alignment vertical="center"/>
    </xf>
    <xf numFmtId="165" fontId="27" fillId="14" borderId="30" xfId="36" applyNumberFormat="1" applyFont="1" applyFill="1" applyBorder="1" applyAlignment="1">
      <alignment vertical="center"/>
    </xf>
    <xf numFmtId="165" fontId="29" fillId="14" borderId="5" xfId="36" applyNumberFormat="1" applyFont="1" applyFill="1" applyBorder="1" applyAlignment="1">
      <alignment vertical="center"/>
    </xf>
    <xf numFmtId="165" fontId="27" fillId="2" borderId="0" xfId="22" applyNumberFormat="1" applyFont="1" applyFill="1" applyBorder="1"/>
    <xf numFmtId="165" fontId="27" fillId="2" borderId="0" xfId="22" applyNumberFormat="1" applyFont="1" applyFill="1" applyBorder="1" applyAlignment="1"/>
    <xf numFmtId="165" fontId="27" fillId="2" borderId="0" xfId="22" applyNumberFormat="1" applyFont="1" applyFill="1" applyBorder="1" applyAlignment="1">
      <alignment wrapText="1"/>
    </xf>
    <xf numFmtId="2" fontId="27" fillId="2" borderId="0" xfId="22" applyNumberFormat="1" applyFont="1" applyFill="1" applyBorder="1"/>
    <xf numFmtId="176" fontId="27" fillId="2" borderId="0" xfId="22" applyNumberFormat="1" applyFont="1" applyFill="1"/>
    <xf numFmtId="2" fontId="27" fillId="2" borderId="6" xfId="22" applyNumberFormat="1" applyFont="1" applyFill="1" applyBorder="1" applyAlignment="1">
      <alignment vertical="center"/>
    </xf>
    <xf numFmtId="165" fontId="27" fillId="2" borderId="5" xfId="36" applyNumberFormat="1" applyFont="1" applyFill="1" applyBorder="1" applyAlignment="1">
      <alignment vertical="center"/>
    </xf>
    <xf numFmtId="165" fontId="27" fillId="14" borderId="5" xfId="36" applyNumberFormat="1" applyFont="1" applyFill="1" applyBorder="1" applyAlignment="1">
      <alignment vertical="center"/>
    </xf>
    <xf numFmtId="2" fontId="27" fillId="2" borderId="0" xfId="22" applyNumberFormat="1" applyFont="1" applyFill="1"/>
    <xf numFmtId="165" fontId="29" fillId="8" borderId="5" xfId="0" applyNumberFormat="1" applyFont="1" applyFill="1" applyBorder="1"/>
    <xf numFmtId="165" fontId="29" fillId="2" borderId="29" xfId="0" applyNumberFormat="1" applyFont="1" applyFill="1" applyBorder="1"/>
    <xf numFmtId="165" fontId="29" fillId="14" borderId="29" xfId="0" applyNumberFormat="1" applyFont="1" applyFill="1" applyBorder="1"/>
    <xf numFmtId="165" fontId="27" fillId="2" borderId="30" xfId="0" applyNumberFormat="1" applyFont="1" applyFill="1" applyBorder="1"/>
    <xf numFmtId="165" fontId="27" fillId="14" borderId="30" xfId="0" applyNumberFormat="1" applyFont="1" applyFill="1" applyBorder="1"/>
    <xf numFmtId="165" fontId="27" fillId="2" borderId="30" xfId="0" applyNumberFormat="1" applyFont="1" applyFill="1" applyBorder="1" applyAlignment="1">
      <alignment vertical="center"/>
    </xf>
    <xf numFmtId="165" fontId="27" fillId="14" borderId="30" xfId="0" applyNumberFormat="1" applyFont="1" applyFill="1" applyBorder="1" applyAlignment="1">
      <alignment vertical="center"/>
    </xf>
    <xf numFmtId="165" fontId="27" fillId="2" borderId="30" xfId="22" applyNumberFormat="1" applyFont="1" applyFill="1" applyBorder="1" applyAlignment="1">
      <alignment vertical="center"/>
    </xf>
    <xf numFmtId="165" fontId="27" fillId="14" borderId="30" xfId="22" applyNumberFormat="1" applyFont="1" applyFill="1" applyBorder="1" applyAlignment="1">
      <alignment vertical="center"/>
    </xf>
    <xf numFmtId="165" fontId="29" fillId="2" borderId="30" xfId="0" applyNumberFormat="1" applyFont="1" applyFill="1" applyBorder="1"/>
    <xf numFmtId="165" fontId="29" fillId="14" borderId="30" xfId="0" applyNumberFormat="1" applyFont="1" applyFill="1" applyBorder="1"/>
    <xf numFmtId="165" fontId="29" fillId="8" borderId="5" xfId="22" applyNumberFormat="1" applyFont="1" applyFill="1" applyBorder="1" applyAlignment="1">
      <alignment vertical="center"/>
    </xf>
    <xf numFmtId="165" fontId="29" fillId="8" borderId="5" xfId="36" applyNumberFormat="1" applyFont="1" applyFill="1" applyBorder="1" applyAlignment="1">
      <alignment vertical="center"/>
    </xf>
    <xf numFmtId="165" fontId="29" fillId="2" borderId="11" xfId="0" applyNumberFormat="1" applyFont="1" applyFill="1" applyBorder="1"/>
    <xf numFmtId="165" fontId="29" fillId="14" borderId="11" xfId="0" applyNumberFormat="1" applyFont="1" applyFill="1" applyBorder="1"/>
    <xf numFmtId="165" fontId="29" fillId="2" borderId="15" xfId="0" applyNumberFormat="1" applyFont="1" applyFill="1" applyBorder="1"/>
    <xf numFmtId="165" fontId="29" fillId="14" borderId="15" xfId="0" applyNumberFormat="1" applyFont="1" applyFill="1" applyBorder="1"/>
    <xf numFmtId="165" fontId="29" fillId="2" borderId="5" xfId="0" applyNumberFormat="1" applyFont="1" applyFill="1" applyBorder="1"/>
    <xf numFmtId="165" fontId="29" fillId="14" borderId="5" xfId="0" applyNumberFormat="1" applyFont="1" applyFill="1" applyBorder="1"/>
    <xf numFmtId="165" fontId="27" fillId="2" borderId="29" xfId="36" applyNumberFormat="1" applyFont="1" applyFill="1" applyBorder="1"/>
    <xf numFmtId="165" fontId="27" fillId="14" borderId="29" xfId="0" applyNumberFormat="1" applyFont="1" applyFill="1" applyBorder="1"/>
    <xf numFmtId="165" fontId="27" fillId="2" borderId="30" xfId="36" applyNumberFormat="1" applyFont="1" applyFill="1" applyBorder="1"/>
    <xf numFmtId="0" fontId="39" fillId="2" borderId="22" xfId="36" applyFont="1" applyFill="1" applyBorder="1" applyAlignment="1"/>
    <xf numFmtId="165" fontId="27" fillId="2" borderId="21" xfId="36" applyNumberFormat="1" applyFont="1" applyFill="1" applyBorder="1" applyAlignment="1">
      <alignment horizontal="center" wrapText="1"/>
    </xf>
    <xf numFmtId="0" fontId="16" fillId="2" borderId="0" xfId="22" applyFont="1" applyFill="1"/>
    <xf numFmtId="2" fontId="16" fillId="2" borderId="16" xfId="22" applyNumberFormat="1" applyFont="1" applyFill="1" applyBorder="1" applyAlignment="1">
      <alignment vertical="center"/>
    </xf>
    <xf numFmtId="0" fontId="16" fillId="2" borderId="0" xfId="22" applyFont="1" applyFill="1" applyBorder="1"/>
    <xf numFmtId="0" fontId="42" fillId="2" borderId="0" xfId="22" applyFont="1" applyFill="1" applyBorder="1"/>
    <xf numFmtId="2" fontId="16" fillId="2" borderId="0" xfId="22" applyNumberFormat="1" applyFont="1" applyFill="1" applyBorder="1" applyAlignment="1">
      <alignment horizontal="right"/>
    </xf>
    <xf numFmtId="0" fontId="16" fillId="2" borderId="0" xfId="22" applyFont="1" applyFill="1" applyAlignment="1">
      <alignment wrapText="1"/>
    </xf>
    <xf numFmtId="165" fontId="29" fillId="2" borderId="16" xfId="22" applyNumberFormat="1" applyFont="1" applyFill="1" applyBorder="1" applyAlignment="1">
      <alignment vertical="center"/>
    </xf>
    <xf numFmtId="167" fontId="29" fillId="5" borderId="36" xfId="22" applyNumberFormat="1" applyFont="1" applyFill="1" applyBorder="1" applyAlignment="1">
      <alignment vertical="center"/>
    </xf>
    <xf numFmtId="167" fontId="29" fillId="2" borderId="12" xfId="22" applyNumberFormat="1" applyFont="1" applyFill="1" applyBorder="1" applyAlignment="1">
      <alignment vertical="center"/>
    </xf>
    <xf numFmtId="167" fontId="27" fillId="2" borderId="12" xfId="22" applyNumberFormat="1" applyFont="1" applyFill="1" applyBorder="1" applyAlignment="1">
      <alignment vertical="center"/>
    </xf>
    <xf numFmtId="167" fontId="29" fillId="5" borderId="13" xfId="22" applyNumberFormat="1" applyFont="1" applyFill="1" applyBorder="1" applyAlignment="1">
      <alignment vertical="center"/>
    </xf>
    <xf numFmtId="167" fontId="29" fillId="2" borderId="12" xfId="36" applyNumberFormat="1" applyFont="1" applyFill="1" applyBorder="1" applyAlignment="1">
      <alignment vertical="center"/>
    </xf>
    <xf numFmtId="167" fontId="29" fillId="2" borderId="13" xfId="22" applyNumberFormat="1" applyFont="1" applyFill="1" applyBorder="1" applyAlignment="1">
      <alignment vertical="center"/>
    </xf>
    <xf numFmtId="167" fontId="27" fillId="2" borderId="13" xfId="22" applyNumberFormat="1" applyFont="1" applyFill="1" applyBorder="1" applyAlignment="1">
      <alignment vertical="center"/>
    </xf>
    <xf numFmtId="167" fontId="27" fillId="0" borderId="12" xfId="22" applyNumberFormat="1" applyFont="1" applyFill="1" applyBorder="1" applyAlignment="1">
      <alignment vertical="center"/>
    </xf>
    <xf numFmtId="167" fontId="29" fillId="5" borderId="24" xfId="36" applyNumberFormat="1" applyFont="1" applyFill="1" applyBorder="1" applyAlignment="1">
      <alignment vertical="center"/>
    </xf>
    <xf numFmtId="167" fontId="29" fillId="2" borderId="14" xfId="36" applyNumberFormat="1" applyFont="1" applyFill="1" applyBorder="1" applyAlignment="1">
      <alignment vertical="center"/>
    </xf>
    <xf numFmtId="167" fontId="27" fillId="2" borderId="14" xfId="36" applyNumberFormat="1" applyFont="1" applyFill="1" applyBorder="1" applyAlignment="1">
      <alignment vertical="center"/>
    </xf>
    <xf numFmtId="167" fontId="29" fillId="2" borderId="24" xfId="36" applyNumberFormat="1" applyFont="1" applyFill="1" applyBorder="1" applyAlignment="1">
      <alignment vertical="center"/>
    </xf>
    <xf numFmtId="167" fontId="27" fillId="2" borderId="24" xfId="36" applyNumberFormat="1" applyFont="1" applyFill="1" applyBorder="1" applyAlignment="1">
      <alignment vertical="center"/>
    </xf>
    <xf numFmtId="167" fontId="27" fillId="0" borderId="14" xfId="36" applyNumberFormat="1" applyFont="1" applyFill="1" applyBorder="1" applyAlignment="1">
      <alignment vertical="center"/>
    </xf>
    <xf numFmtId="167" fontId="29" fillId="14" borderId="12" xfId="22" applyNumberFormat="1" applyFont="1" applyFill="1" applyBorder="1" applyAlignment="1">
      <alignment vertical="center"/>
    </xf>
    <xf numFmtId="167" fontId="27" fillId="14" borderId="12" xfId="22" applyNumberFormat="1" applyFont="1" applyFill="1" applyBorder="1" applyAlignment="1">
      <alignment vertical="center"/>
    </xf>
    <xf numFmtId="167" fontId="29" fillId="14" borderId="12" xfId="36" applyNumberFormat="1" applyFont="1" applyFill="1" applyBorder="1" applyAlignment="1">
      <alignment vertical="center"/>
    </xf>
    <xf numFmtId="167" fontId="29" fillId="14" borderId="13" xfId="22" applyNumberFormat="1" applyFont="1" applyFill="1" applyBorder="1" applyAlignment="1">
      <alignment horizontal="center" vertical="center"/>
    </xf>
    <xf numFmtId="167" fontId="27" fillId="14" borderId="13" xfId="22" applyNumberFormat="1" applyFont="1" applyFill="1" applyBorder="1" applyAlignment="1">
      <alignment horizontal="center" vertical="center"/>
    </xf>
    <xf numFmtId="167" fontId="29" fillId="14" borderId="12" xfId="22" applyNumberFormat="1" applyFont="1" applyFill="1" applyBorder="1" applyAlignment="1">
      <alignment horizontal="center" vertical="center"/>
    </xf>
    <xf numFmtId="167" fontId="29" fillId="14" borderId="13" xfId="22" applyNumberFormat="1" applyFont="1" applyFill="1" applyBorder="1" applyAlignment="1">
      <alignment vertical="center"/>
    </xf>
    <xf numFmtId="167" fontId="29" fillId="8" borderId="13" xfId="0" applyNumberFormat="1" applyFont="1" applyFill="1" applyBorder="1"/>
    <xf numFmtId="167" fontId="29" fillId="2" borderId="34" xfId="0" applyNumberFormat="1" applyFont="1" applyFill="1" applyBorder="1"/>
    <xf numFmtId="167" fontId="27" fillId="2" borderId="12" xfId="0" applyNumberFormat="1" applyFont="1" applyFill="1" applyBorder="1"/>
    <xf numFmtId="167" fontId="27" fillId="2" borderId="12" xfId="0" applyNumberFormat="1" applyFont="1" applyFill="1" applyBorder="1" applyAlignment="1">
      <alignment vertical="center"/>
    </xf>
    <xf numFmtId="167" fontId="29" fillId="2" borderId="12" xfId="0" applyNumberFormat="1" applyFont="1" applyFill="1" applyBorder="1"/>
    <xf numFmtId="167" fontId="29" fillId="8" borderId="13" xfId="22" applyNumberFormat="1" applyFont="1" applyFill="1" applyBorder="1" applyAlignment="1">
      <alignment vertical="center"/>
    </xf>
    <xf numFmtId="167" fontId="29" fillId="2" borderId="36" xfId="0" applyNumberFormat="1" applyFont="1" applyFill="1" applyBorder="1"/>
    <xf numFmtId="167" fontId="29" fillId="2" borderId="53" xfId="0" applyNumberFormat="1" applyFont="1" applyFill="1" applyBorder="1"/>
    <xf numFmtId="167" fontId="29" fillId="2" borderId="13" xfId="0" applyNumberFormat="1" applyFont="1" applyFill="1" applyBorder="1"/>
    <xf numFmtId="167" fontId="27" fillId="2" borderId="34" xfId="0" applyNumberFormat="1" applyFont="1" applyFill="1" applyBorder="1"/>
    <xf numFmtId="167" fontId="29" fillId="14" borderId="34" xfId="0" applyNumberFormat="1" applyFont="1" applyFill="1" applyBorder="1"/>
    <xf numFmtId="167" fontId="27" fillId="14" borderId="12" xfId="0" applyNumberFormat="1" applyFont="1" applyFill="1" applyBorder="1"/>
    <xf numFmtId="167" fontId="27" fillId="14" borderId="12" xfId="0" applyNumberFormat="1" applyFont="1" applyFill="1" applyBorder="1" applyAlignment="1">
      <alignment vertical="center"/>
    </xf>
    <xf numFmtId="167" fontId="29" fillId="14" borderId="12" xfId="0" applyNumberFormat="1" applyFont="1" applyFill="1" applyBorder="1"/>
    <xf numFmtId="167" fontId="29" fillId="14" borderId="36" xfId="0" applyNumberFormat="1" applyFont="1" applyFill="1" applyBorder="1"/>
    <xf numFmtId="167" fontId="29" fillId="14" borderId="53" xfId="0" applyNumberFormat="1" applyFont="1" applyFill="1" applyBorder="1"/>
    <xf numFmtId="167" fontId="29" fillId="14" borderId="13" xfId="0" applyNumberFormat="1" applyFont="1" applyFill="1" applyBorder="1"/>
    <xf numFmtId="167" fontId="27" fillId="14" borderId="34" xfId="0" applyNumberFormat="1" applyFont="1" applyFill="1" applyBorder="1"/>
    <xf numFmtId="167" fontId="27" fillId="14" borderId="12" xfId="0" applyNumberFormat="1" applyFont="1" applyFill="1" applyBorder="1" applyAlignment="1">
      <alignment horizontal="center"/>
    </xf>
    <xf numFmtId="167" fontId="29" fillId="6" borderId="24" xfId="22" applyNumberFormat="1" applyFont="1" applyFill="1" applyBorder="1" applyAlignment="1">
      <alignment vertical="center"/>
    </xf>
    <xf numFmtId="167" fontId="29" fillId="2" borderId="0" xfId="22" applyNumberFormat="1" applyFont="1" applyFill="1" applyBorder="1" applyAlignment="1">
      <alignment vertical="center"/>
    </xf>
    <xf numFmtId="167" fontId="27" fillId="2" borderId="14" xfId="22" applyNumberFormat="1" applyFont="1" applyFill="1" applyBorder="1" applyAlignment="1">
      <alignment vertical="center"/>
    </xf>
    <xf numFmtId="167" fontId="29" fillId="2" borderId="14" xfId="22" applyNumberFormat="1" applyFont="1" applyFill="1" applyBorder="1" applyAlignment="1">
      <alignment vertical="center"/>
    </xf>
    <xf numFmtId="167" fontId="29" fillId="2" borderId="24" xfId="22" applyNumberFormat="1" applyFont="1" applyFill="1" applyBorder="1" applyAlignment="1">
      <alignment vertical="center"/>
    </xf>
    <xf numFmtId="167" fontId="27" fillId="2" borderId="24" xfId="22" applyNumberFormat="1" applyFont="1" applyFill="1" applyBorder="1" applyAlignment="1">
      <alignment vertical="center"/>
    </xf>
    <xf numFmtId="167" fontId="27" fillId="0" borderId="14" xfId="22" applyNumberFormat="1" applyFont="1" applyFill="1" applyBorder="1" applyAlignment="1">
      <alignment vertical="center"/>
    </xf>
    <xf numFmtId="167" fontId="29" fillId="14" borderId="0" xfId="22" applyNumberFormat="1" applyFont="1" applyFill="1" applyBorder="1" applyAlignment="1">
      <alignment vertical="center"/>
    </xf>
    <xf numFmtId="167" fontId="27" fillId="14" borderId="14" xfId="22" applyNumberFormat="1" applyFont="1" applyFill="1" applyBorder="1" applyAlignment="1">
      <alignment vertical="center"/>
    </xf>
    <xf numFmtId="167" fontId="29" fillId="14" borderId="14" xfId="22" applyNumberFormat="1" applyFont="1" applyFill="1" applyBorder="1" applyAlignment="1">
      <alignment vertical="center"/>
    </xf>
    <xf numFmtId="167" fontId="29" fillId="14" borderId="24" xfId="22" applyNumberFormat="1" applyFont="1" applyFill="1" applyBorder="1" applyAlignment="1">
      <alignment vertical="center"/>
    </xf>
    <xf numFmtId="167" fontId="27" fillId="14" borderId="24" xfId="22" applyNumberFormat="1" applyFont="1" applyFill="1" applyBorder="1" applyAlignment="1">
      <alignment vertical="center"/>
    </xf>
    <xf numFmtId="167" fontId="27" fillId="2" borderId="12" xfId="36" applyNumberFormat="1" applyFont="1" applyFill="1" applyBorder="1" applyAlignment="1">
      <alignment vertical="center"/>
    </xf>
    <xf numFmtId="167" fontId="29" fillId="8" borderId="13" xfId="36" applyNumberFormat="1" applyFont="1" applyFill="1" applyBorder="1" applyAlignment="1">
      <alignment vertical="center"/>
    </xf>
    <xf numFmtId="167" fontId="29" fillId="2" borderId="13" xfId="36" applyNumberFormat="1" applyFont="1" applyFill="1" applyBorder="1" applyAlignment="1">
      <alignment vertical="center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 applyProtection="1">
      <alignment horizontal="center" vertical="center"/>
      <protection hidden="1"/>
    </xf>
    <xf numFmtId="166" fontId="27" fillId="5" borderId="23" xfId="0" applyNumberFormat="1" applyFont="1" applyFill="1" applyBorder="1" applyAlignment="1" applyProtection="1">
      <alignment horizontal="center" vertical="center"/>
      <protection hidden="1"/>
    </xf>
    <xf numFmtId="166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38" fillId="2" borderId="22" xfId="36" applyFont="1" applyFill="1" applyBorder="1" applyAlignment="1">
      <alignment horizontal="center" wrapText="1"/>
    </xf>
    <xf numFmtId="165" fontId="38" fillId="2" borderId="22" xfId="36" applyNumberFormat="1" applyFont="1" applyFill="1" applyBorder="1" applyAlignment="1">
      <alignment horizontal="center" wrapText="1"/>
    </xf>
    <xf numFmtId="0" fontId="36" fillId="12" borderId="20" xfId="22" applyFont="1" applyFill="1" applyBorder="1" applyAlignment="1">
      <alignment horizontal="center" vertical="center"/>
    </xf>
    <xf numFmtId="0" fontId="36" fillId="12" borderId="18" xfId="22" applyFont="1" applyFill="1" applyBorder="1" applyAlignment="1">
      <alignment horizontal="center" vertical="center"/>
    </xf>
    <xf numFmtId="0" fontId="29" fillId="8" borderId="51" xfId="22" applyFont="1" applyFill="1" applyBorder="1" applyAlignment="1">
      <alignment horizontal="center" vertical="center"/>
    </xf>
    <xf numFmtId="0" fontId="29" fillId="8" borderId="52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>
      <alignment horizontal="center" vertical="center"/>
    </xf>
    <xf numFmtId="166" fontId="27" fillId="8" borderId="2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 applyProtection="1">
      <alignment horizontal="center" vertical="center"/>
      <protection hidden="1"/>
    </xf>
    <xf numFmtId="166" fontId="27" fillId="8" borderId="23" xfId="0" applyNumberFormat="1" applyFont="1" applyFill="1" applyBorder="1" applyAlignment="1" applyProtection="1">
      <alignment horizontal="center" vertical="center"/>
      <protection hidden="1"/>
    </xf>
    <xf numFmtId="166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40" fillId="2" borderId="22" xfId="22" applyFont="1" applyFill="1" applyBorder="1" applyAlignment="1">
      <alignment horizontal="center"/>
    </xf>
    <xf numFmtId="166" fontId="27" fillId="6" borderId="6" xfId="0" applyNumberFormat="1" applyFont="1" applyFill="1" applyBorder="1" applyAlignment="1">
      <alignment horizontal="center" vertical="center"/>
    </xf>
    <xf numFmtId="166" fontId="27" fillId="6" borderId="24" xfId="0" applyNumberFormat="1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 applyProtection="1">
      <alignment horizontal="center" vertical="center"/>
      <protection hidden="1"/>
    </xf>
    <xf numFmtId="166" fontId="27" fillId="6" borderId="23" xfId="0" applyNumberFormat="1" applyFont="1" applyFill="1" applyBorder="1" applyAlignment="1" applyProtection="1">
      <alignment horizontal="center" vertical="center"/>
      <protection hidden="1"/>
    </xf>
    <xf numFmtId="166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41" fillId="2" borderId="22" xfId="22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</cellXfs>
  <cellStyles count="40">
    <cellStyle name="1 indent" xfId="1"/>
    <cellStyle name="2 indents" xfId="2"/>
    <cellStyle name="3 indents" xfId="3"/>
    <cellStyle name="4 indents" xf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r-Latn-CS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 sz="1100"/>
              <a:t>Izvorni prihodi budžeta - I kvartal 2014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1081714785651793"/>
          <c:y val="0.17171296296296387"/>
          <c:w val="0.85862729658792991"/>
          <c:h val="0.74403579760863581"/>
        </c:manualLayout>
      </c:layout>
      <c:barChart>
        <c:barDir val="col"/>
        <c:grouping val="clustered"/>
        <c:ser>
          <c:idx val="0"/>
          <c:order val="0"/>
          <c:tx>
            <c:strRef>
              <c:f>'Cental Budget'!$O$20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C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Budget'!$P$20:$R$20</c:f>
              <c:numCache>
                <c:formatCode>0.00,,</c:formatCode>
                <c:ptCount val="3"/>
                <c:pt idx="0">
                  <c:v>93369945.780000001</c:v>
                </c:pt>
                <c:pt idx="1">
                  <c:v>32084642.32</c:v>
                </c:pt>
                <c:pt idx="2">
                  <c:v>83839022.069999993</c:v>
                </c:pt>
              </c:numCache>
            </c:numRef>
          </c:val>
        </c:ser>
        <c:ser>
          <c:idx val="1"/>
          <c:order val="1"/>
          <c:tx>
            <c:strRef>
              <c:f>'Cental Budget'!$O$21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C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Budget'!$P$21:$R$21</c:f>
              <c:numCache>
                <c:formatCode>0.00,,</c:formatCode>
                <c:ptCount val="3"/>
                <c:pt idx="0">
                  <c:v>96374023.880004466</c:v>
                </c:pt>
                <c:pt idx="1">
                  <c:v>29430727.240693208</c:v>
                </c:pt>
                <c:pt idx="2">
                  <c:v>72925649.610928908</c:v>
                </c:pt>
              </c:numCache>
            </c:numRef>
          </c:val>
        </c:ser>
        <c:ser>
          <c:idx val="2"/>
          <c:order val="2"/>
          <c:tx>
            <c:strRef>
              <c:f>'Cental Budget'!$O$22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C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Budget'!$P$22:$R$22</c:f>
              <c:numCache>
                <c:formatCode>0.00,,</c:formatCode>
                <c:ptCount val="3"/>
                <c:pt idx="0">
                  <c:v>98253466.519999996</c:v>
                </c:pt>
                <c:pt idx="1">
                  <c:v>27640146.18</c:v>
                </c:pt>
                <c:pt idx="2">
                  <c:v>75014333.820000008</c:v>
                </c:pt>
              </c:numCache>
            </c:numRef>
          </c:val>
        </c:ser>
        <c:dLbls/>
        <c:gapWidth val="219"/>
        <c:overlap val="-27"/>
        <c:axId val="96765056"/>
        <c:axId val="96766592"/>
      </c:barChart>
      <c:catAx>
        <c:axId val="967650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96766592"/>
        <c:crosses val="autoZero"/>
        <c:auto val="1"/>
        <c:lblAlgn val="ctr"/>
        <c:lblOffset val="100"/>
      </c:catAx>
      <c:valAx>
        <c:axId val="9676659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9676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304724409448826"/>
          <c:y val="0.19965223097112891"/>
          <c:w val="0.50834995625546864"/>
          <c:h val="7.8125546806649182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CS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r-Latn-C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/>
              <a:t>Pregled javne potrošnje - III kvartal 2014.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'Public Expenditure'!$Q$17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Expenditure'!$R$17:$T$17</c:f>
              <c:numCache>
                <c:formatCode>0.00,,</c:formatCode>
                <c:ptCount val="3"/>
                <c:pt idx="0">
                  <c:v>309970022.63999999</c:v>
                </c:pt>
                <c:pt idx="1">
                  <c:v>331594598.82000005</c:v>
                </c:pt>
                <c:pt idx="2">
                  <c:v>-21624576.180000067</c:v>
                </c:pt>
              </c:numCache>
            </c:numRef>
          </c:val>
        </c:ser>
        <c:ser>
          <c:idx val="1"/>
          <c:order val="1"/>
          <c:tx>
            <c:strRef>
              <c:f>'Public Expenditure'!$Q$18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Expenditure'!$R$18:$T$18</c:f>
              <c:numCache>
                <c:formatCode>0.00,,</c:formatCode>
                <c:ptCount val="3"/>
                <c:pt idx="0">
                  <c:v>300019227.61733276</c:v>
                </c:pt>
                <c:pt idx="1">
                  <c:v>427493332.18929535</c:v>
                </c:pt>
                <c:pt idx="2">
                  <c:v>-127474104.57196259</c:v>
                </c:pt>
              </c:numCache>
            </c:numRef>
          </c:val>
        </c:ser>
        <c:ser>
          <c:idx val="2"/>
          <c:order val="2"/>
          <c:tx>
            <c:strRef>
              <c:f>'Public Expenditure'!$Q$19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solidFill>
                <a:srgbClr val="7E0000"/>
              </a:solidFill>
            </a:ln>
            <a:effectLst/>
          </c:spPr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Expenditure'!$R$19:$T$19</c:f>
              <c:numCache>
                <c:formatCode>0.00,,</c:formatCode>
                <c:ptCount val="3"/>
                <c:pt idx="0">
                  <c:v>299932889.36000001</c:v>
                </c:pt>
                <c:pt idx="1">
                  <c:v>325083503.44999999</c:v>
                </c:pt>
                <c:pt idx="2">
                  <c:v>-25150614.089999974</c:v>
                </c:pt>
              </c:numCache>
            </c:numRef>
          </c:val>
        </c:ser>
        <c:dLbls/>
        <c:gapWidth val="219"/>
        <c:overlap val="-27"/>
        <c:axId val="110877312"/>
        <c:axId val="110756224"/>
      </c:barChart>
      <c:catAx>
        <c:axId val="1108773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10756224"/>
        <c:crosses val="autoZero"/>
        <c:auto val="1"/>
        <c:lblAlgn val="ctr"/>
        <c:lblOffset val="100"/>
      </c:catAx>
      <c:valAx>
        <c:axId val="1107562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CS"/>
          </a:p>
        </c:txPr>
        <c:crossAx val="11087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C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C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r-Latn-CS"/>
  <c:chart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spPr>
              <a:ln>
                <a:solidFill>
                  <a:schemeClr val="tx1"/>
                </a:solidFill>
                <a:prstDash val="solid"/>
              </a:ln>
            </c:spPr>
          </c:dPt>
          <c:dPt>
            <c:idx val="2"/>
            <c:spPr>
              <a:ln>
                <a:solidFill>
                  <a:schemeClr val="tx1"/>
                </a:solidFill>
                <a:prstDash val="solid"/>
              </a:ln>
            </c:spPr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</c:ser>
        <c:dLbls/>
        <c:marker val="1"/>
        <c:axId val="111314048"/>
        <c:axId val="111315584"/>
      </c:lineChart>
      <c:catAx>
        <c:axId val="11131404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800"/>
            </a:pPr>
            <a:endParaRPr lang="sr-Latn-CS"/>
          </a:p>
        </c:txPr>
        <c:crossAx val="111315584"/>
        <c:crosses val="autoZero"/>
        <c:auto val="1"/>
        <c:lblAlgn val="ctr"/>
        <c:lblOffset val="100"/>
      </c:catAx>
      <c:valAx>
        <c:axId val="111315584"/>
        <c:scaling>
          <c:orientation val="minMax"/>
          <c:max val="130000000"/>
          <c:min val="50000000"/>
        </c:scaling>
        <c:axPos val="l"/>
        <c:numFmt formatCode="#,##0.0,," sourceLinked="1"/>
        <c:tickLblPos val="nextTo"/>
        <c:txPr>
          <a:bodyPr/>
          <a:lstStyle/>
          <a:p>
            <a:pPr>
              <a:defRPr sz="800"/>
            </a:pPr>
            <a:endParaRPr lang="sr-Latn-CS"/>
          </a:p>
        </c:txPr>
        <c:crossAx val="111314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txPr>
        <a:bodyPr/>
        <a:lstStyle/>
        <a:p>
          <a:pPr>
            <a:defRPr sz="800"/>
          </a:pPr>
          <a:endParaRPr lang="sr-Latn-CS"/>
        </a:p>
      </c:txPr>
    </c:legend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r-Latn-CS"/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</c:ser>
        <c:dLbls/>
        <c:marker val="1"/>
        <c:axId val="111562112"/>
        <c:axId val="111576192"/>
      </c:lineChart>
      <c:catAx>
        <c:axId val="11156211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800"/>
            </a:pPr>
            <a:endParaRPr lang="sr-Latn-CS"/>
          </a:p>
        </c:txPr>
        <c:crossAx val="111576192"/>
        <c:crosses val="autoZero"/>
        <c:auto val="1"/>
        <c:lblAlgn val="ctr"/>
        <c:lblOffset val="100"/>
      </c:catAx>
      <c:valAx>
        <c:axId val="111576192"/>
        <c:scaling>
          <c:orientation val="minMax"/>
        </c:scaling>
        <c:axPos val="l"/>
        <c:numFmt formatCode="#,##0.0,," sourceLinked="1"/>
        <c:tickLblPos val="nextTo"/>
        <c:txPr>
          <a:bodyPr/>
          <a:lstStyle/>
          <a:p>
            <a:pPr>
              <a:defRPr sz="700"/>
            </a:pPr>
            <a:endParaRPr lang="sr-Latn-CS"/>
          </a:p>
        </c:txPr>
        <c:crossAx val="111562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txPr>
        <a:bodyPr/>
        <a:lstStyle/>
        <a:p>
          <a:pPr>
            <a:defRPr sz="800"/>
          </a:pPr>
          <a:endParaRPr lang="sr-Latn-CS"/>
        </a:p>
      </c:txPr>
    </c:legend>
    <c:plotVisOnly val="1"/>
    <c:dispBlanksAs val="gap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347381</xdr:colOff>
      <xdr:row>23</xdr:row>
      <xdr:rowOff>100853</xdr:rowOff>
    </xdr:from>
    <xdr:to>
      <xdr:col>23</xdr:col>
      <xdr:colOff>493058</xdr:colOff>
      <xdr:row>35</xdr:row>
      <xdr:rowOff>156882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458109</xdr:colOff>
      <xdr:row>21</xdr:row>
      <xdr:rowOff>95702</xdr:rowOff>
    </xdr:from>
    <xdr:to>
      <xdr:col>24</xdr:col>
      <xdr:colOff>529166</xdr:colOff>
      <xdr:row>42</xdr:row>
      <xdr:rowOff>120953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CC77"/>
  <sheetViews>
    <sheetView tabSelected="1" zoomScale="85" zoomScaleNormal="85" workbookViewId="0">
      <selection activeCell="P13" sqref="P13"/>
    </sheetView>
  </sheetViews>
  <sheetFormatPr defaultColWidth="9.08984375" defaultRowHeight="13"/>
  <cols>
    <col min="1" max="2" width="9.08984375" style="80" customWidth="1"/>
    <col min="3" max="3" width="57.36328125" style="80" customWidth="1"/>
    <col min="4" max="13" width="7.90625" style="80" customWidth="1"/>
    <col min="14" max="73" width="9.08984375" style="80" customWidth="1"/>
    <col min="74" max="74" width="9.08984375" style="80"/>
    <col min="75" max="75" width="15.453125" style="80" customWidth="1"/>
    <col min="76" max="76" width="12.6328125" style="80" customWidth="1"/>
    <col min="77" max="77" width="11.90625" style="80" customWidth="1"/>
    <col min="78" max="16384" width="9.08984375" style="80"/>
  </cols>
  <sheetData>
    <row r="1" spans="2:73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</row>
    <row r="2" spans="2:73" ht="15" hidden="1" customHeight="1">
      <c r="C2" s="81"/>
      <c r="D2" s="116"/>
      <c r="E2" s="116"/>
      <c r="F2" s="116"/>
      <c r="G2" s="123">
        <v>2014</v>
      </c>
      <c r="H2" s="123"/>
      <c r="I2" s="123"/>
      <c r="J2" s="124">
        <v>2017</v>
      </c>
      <c r="L2" s="123"/>
      <c r="M2" s="123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</row>
    <row r="3" spans="2:73" ht="15" hidden="1" customHeight="1">
      <c r="C3" s="81"/>
      <c r="D3" s="117"/>
      <c r="E3" s="117"/>
      <c r="F3" s="117"/>
      <c r="G3" s="118">
        <v>5.4037200000000007</v>
      </c>
      <c r="H3" s="118"/>
      <c r="I3" s="118"/>
      <c r="J3" s="119">
        <v>6.0799999999999965</v>
      </c>
      <c r="L3" s="118"/>
      <c r="M3" s="118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</row>
    <row r="4" spans="2:73" ht="15" hidden="1" customHeight="1">
      <c r="C4" s="81"/>
      <c r="D4" s="112"/>
      <c r="E4" s="112"/>
      <c r="F4" s="112"/>
      <c r="G4" s="110">
        <v>3.54</v>
      </c>
      <c r="H4" s="110"/>
      <c r="I4" s="110"/>
      <c r="J4" s="111">
        <v>4</v>
      </c>
      <c r="L4" s="110"/>
      <c r="M4" s="110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</row>
    <row r="5" spans="2:73" ht="15" hidden="1" customHeight="1">
      <c r="C5" s="81"/>
      <c r="D5" s="120"/>
      <c r="E5" s="120"/>
      <c r="F5" s="120"/>
      <c r="G5" s="121">
        <v>1.8</v>
      </c>
      <c r="H5" s="121"/>
      <c r="I5" s="121"/>
      <c r="J5" s="131">
        <v>2</v>
      </c>
      <c r="L5" s="121"/>
      <c r="M5" s="12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</row>
    <row r="6" spans="2:73" ht="15" hidden="1" customHeight="1">
      <c r="C6" s="81"/>
      <c r="D6" s="122"/>
      <c r="E6" s="122"/>
      <c r="F6" s="122"/>
      <c r="G6" s="130">
        <v>2.3E-2</v>
      </c>
      <c r="H6" s="130"/>
      <c r="I6" s="130"/>
      <c r="J6" s="130">
        <v>5.1999999999999998E-2</v>
      </c>
      <c r="L6" s="130"/>
      <c r="M6" s="130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</row>
    <row r="7" spans="2:73" ht="15" hidden="1" customHeight="1">
      <c r="C7" s="81"/>
      <c r="D7" s="113"/>
      <c r="E7" s="113"/>
      <c r="F7" s="113"/>
      <c r="G7" s="113"/>
      <c r="H7" s="113"/>
      <c r="I7" s="113"/>
      <c r="J7" s="114"/>
      <c r="L7" s="113"/>
      <c r="M7" s="113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</row>
    <row r="8" spans="2:73" ht="15" hidden="1" customHeight="1">
      <c r="C8" s="81"/>
      <c r="D8" s="109"/>
      <c r="E8" s="109"/>
      <c r="F8" s="109"/>
      <c r="G8" s="125">
        <f>+J16/F16*100-100</f>
        <v>0.59900742687477759</v>
      </c>
      <c r="H8" s="125"/>
      <c r="I8" s="125"/>
      <c r="J8" s="127" t="e">
        <f>+#REF!/#REF!*100-100</f>
        <v>#REF!</v>
      </c>
      <c r="L8" s="125"/>
      <c r="M8" s="125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</row>
    <row r="9" spans="2:73" ht="15" hidden="1" customHeight="1">
      <c r="C9" s="81"/>
      <c r="D9" s="115"/>
      <c r="E9" s="115"/>
      <c r="F9" s="115"/>
      <c r="G9" s="126" t="e">
        <f>+J16/#REF!*100-100</f>
        <v>#REF!</v>
      </c>
      <c r="H9" s="126"/>
      <c r="I9" s="126"/>
      <c r="J9" s="128" t="e">
        <f>+#REF!/#REF!*100-100</f>
        <v>#REF!</v>
      </c>
      <c r="L9" s="126"/>
      <c r="M9" s="126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</row>
    <row r="10" spans="2:73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</row>
    <row r="11" spans="2:73" ht="18.75" customHeight="1" thickTop="1" thickBot="1">
      <c r="C11" s="180" t="str">
        <f>IF(MasterSheet!$A$1=1,MasterSheet!B67,MasterSheet!B66)</f>
        <v>BDP (u mil. €)</v>
      </c>
      <c r="D11" s="309">
        <v>3580000000</v>
      </c>
      <c r="E11" s="310"/>
      <c r="F11" s="310"/>
      <c r="G11" s="311"/>
      <c r="H11" s="314"/>
      <c r="I11" s="319"/>
      <c r="J11" s="316">
        <v>3425000000</v>
      </c>
      <c r="K11" s="316">
        <v>0</v>
      </c>
      <c r="L11" s="314"/>
      <c r="M11" s="315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</row>
    <row r="12" spans="2:73" ht="19.5" customHeight="1" thickTop="1">
      <c r="C12" s="81"/>
      <c r="D12" s="244"/>
      <c r="E12" s="244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</row>
    <row r="13" spans="2:73" ht="17.25" customHeight="1" thickBot="1">
      <c r="B13" s="85"/>
      <c r="C13" s="86"/>
      <c r="D13" s="321"/>
      <c r="E13" s="321"/>
      <c r="F13" s="243"/>
      <c r="G13" s="243"/>
      <c r="H13" s="243"/>
      <c r="I13" s="243"/>
      <c r="J13" s="320"/>
      <c r="K13" s="320"/>
      <c r="L13" s="164"/>
      <c r="M13" s="164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</row>
    <row r="14" spans="2:73" ht="15.75" customHeight="1" thickTop="1">
      <c r="B14" s="87"/>
      <c r="C14" s="312" t="str">
        <f>IF(MasterSheet!$A$1=1,MasterSheet!B71,MasterSheet!B70)</f>
        <v>Budžet Crne Gore</v>
      </c>
      <c r="D14" s="307" t="s">
        <v>469</v>
      </c>
      <c r="E14" s="308"/>
      <c r="F14" s="307" t="s">
        <v>470</v>
      </c>
      <c r="G14" s="308"/>
      <c r="H14" s="307" t="s">
        <v>453</v>
      </c>
      <c r="I14" s="308"/>
      <c r="J14" s="307" t="s">
        <v>471</v>
      </c>
      <c r="K14" s="308"/>
      <c r="L14" s="317" t="str">
        <f>+H14</f>
        <v>Odstupanje</v>
      </c>
      <c r="M14" s="318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</row>
    <row r="15" spans="2:73" ht="15" customHeight="1" thickBot="1">
      <c r="C15" s="313" t="str">
        <f>IF(MasterSheet!$A$1=1,MasterSheet!B71,MasterSheet!B70)</f>
        <v>Budžet Crne Gore</v>
      </c>
      <c r="D15" s="88" t="str">
        <f>+F15</f>
        <v>mil. €</v>
      </c>
      <c r="E15" s="203" t="str">
        <f>+G15</f>
        <v>% BDP</v>
      </c>
      <c r="F15" s="88" t="s">
        <v>263</v>
      </c>
      <c r="G15" s="89" t="s">
        <v>150</v>
      </c>
      <c r="H15" s="202" t="s">
        <v>263</v>
      </c>
      <c r="I15" s="202" t="s">
        <v>442</v>
      </c>
      <c r="J15" s="88" t="s">
        <v>263</v>
      </c>
      <c r="K15" s="89" t="s">
        <v>150</v>
      </c>
      <c r="L15" s="204" t="s">
        <v>263</v>
      </c>
      <c r="M15" s="129" t="s">
        <v>442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</row>
    <row r="16" spans="2:73" ht="15" customHeight="1" thickTop="1" thickBot="1">
      <c r="B16" s="80">
        <v>7</v>
      </c>
      <c r="C16" s="90" t="str">
        <f>IF(MasterSheet!$A$1=1,MasterSheet!C72,MasterSheet!B72)</f>
        <v>Izvorni prihodi</v>
      </c>
      <c r="D16" s="165">
        <f>+D17+D25+SUM(D30:D34)</f>
        <v>258347583.84</v>
      </c>
      <c r="E16" s="252">
        <f>+D16/$D$11*100</f>
        <v>7.2164129564245814</v>
      </c>
      <c r="F16" s="165">
        <f>+F17+F25+SUM(F30:F34)</f>
        <v>252113355.45667139</v>
      </c>
      <c r="G16" s="252">
        <f>+F16/$D$11*100</f>
        <v>7.0422724987897034</v>
      </c>
      <c r="H16" s="165">
        <f>+D16-F16</f>
        <v>6234228.3833286166</v>
      </c>
      <c r="I16" s="255">
        <f>+IF(ISNUMBER(D16/F16*100-100),D16/F16*100-100,"...")</f>
        <v>2.4727878346770211</v>
      </c>
      <c r="J16" s="165">
        <f>+J17+J25+SUM(J30:J34)</f>
        <v>253623533.18000004</v>
      </c>
      <c r="K16" s="252">
        <f>+J16/$J$11*100</f>
        <v>7.4050666621897827</v>
      </c>
      <c r="L16" s="165">
        <f>+D16-J16</f>
        <v>4724050.6599999666</v>
      </c>
      <c r="M16" s="252">
        <f t="shared" ref="M16:M57" si="0">+IF(ISNUMBER(D16/J16*100-100),D16/J16*100-100,"...")</f>
        <v>1.8626231567585876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</row>
    <row r="17" spans="2:80" ht="15" customHeight="1" thickTop="1">
      <c r="B17" s="80">
        <v>711</v>
      </c>
      <c r="C17" s="93" t="str">
        <f>IF(MasterSheet!$A$1=1,MasterSheet!C73,MasterSheet!B73)</f>
        <v>Porezi</v>
      </c>
      <c r="D17" s="154">
        <f>+SUM(D18:D24)</f>
        <v>160603850.09</v>
      </c>
      <c r="E17" s="253">
        <f t="shared" ref="E17:E72" si="1">+D17/$D$11*100</f>
        <v>4.48614106396648</v>
      </c>
      <c r="F17" s="154">
        <f>+SUM(F18:F24)</f>
        <v>164132736.70924956</v>
      </c>
      <c r="G17" s="253">
        <f t="shared" ref="G17:G72" si="2">+F17/$D$11*100</f>
        <v>4.5847133159008253</v>
      </c>
      <c r="H17" s="209">
        <f t="shared" ref="H17:H65" si="3">+D17-F17</f>
        <v>-3528886.6192495525</v>
      </c>
      <c r="I17" s="266">
        <f t="shared" ref="I17:I65" si="4">+IF(ISNUMBER(D17/F17*100-100),D17/F17*100-100,"...")</f>
        <v>-2.1500199716408446</v>
      </c>
      <c r="J17" s="154">
        <f>+SUM(J18:J24)</f>
        <v>164263222.46000001</v>
      </c>
      <c r="K17" s="253">
        <f t="shared" ref="K17:K65" si="5">+J17/$J$11*100</f>
        <v>4.7960064951824819</v>
      </c>
      <c r="L17" s="209">
        <f t="shared" ref="L17:L35" si="6">+D17-J17</f>
        <v>-3659372.3700000048</v>
      </c>
      <c r="M17" s="266">
        <f t="shared" si="0"/>
        <v>-2.2277490452198521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</row>
    <row r="18" spans="2:80" ht="15" customHeight="1">
      <c r="B18" s="80">
        <v>7111</v>
      </c>
      <c r="C18" s="97" t="str">
        <f>IF(MasterSheet!$A$1=1,MasterSheet!C74,MasterSheet!B74)</f>
        <v>Porez na dohodak fizičkih lica</v>
      </c>
      <c r="D18" s="155">
        <v>17855684.559999995</v>
      </c>
      <c r="E18" s="254">
        <f t="shared" si="1"/>
        <v>0.49876213854748591</v>
      </c>
      <c r="F18" s="155">
        <v>19076797.135611743</v>
      </c>
      <c r="G18" s="254">
        <f t="shared" si="2"/>
        <v>0.532871428369043</v>
      </c>
      <c r="H18" s="210">
        <f t="shared" si="3"/>
        <v>-1221112.5756117478</v>
      </c>
      <c r="I18" s="267">
        <f t="shared" si="4"/>
        <v>-6.4010355980157101</v>
      </c>
      <c r="J18" s="156">
        <v>18480753.43</v>
      </c>
      <c r="K18" s="254">
        <f t="shared" si="5"/>
        <v>0.53958404175182484</v>
      </c>
      <c r="L18" s="210">
        <f t="shared" si="6"/>
        <v>-625068.87000000477</v>
      </c>
      <c r="M18" s="267">
        <f t="shared" si="0"/>
        <v>-3.3822694099977753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</row>
    <row r="19" spans="2:80" ht="15" customHeight="1">
      <c r="B19" s="80">
        <v>7112</v>
      </c>
      <c r="C19" s="97" t="str">
        <f>IF(MasterSheet!$A$1=1,MasterSheet!C75,MasterSheet!B75)</f>
        <v>Porez na dobit pravnih lica</v>
      </c>
      <c r="D19" s="156">
        <v>11124106.059999999</v>
      </c>
      <c r="E19" s="254">
        <f t="shared" si="1"/>
        <v>0.31072921955307259</v>
      </c>
      <c r="F19" s="156">
        <v>13831624.078903489</v>
      </c>
      <c r="G19" s="254">
        <f t="shared" si="2"/>
        <v>0.38635821449451091</v>
      </c>
      <c r="H19" s="210">
        <f t="shared" si="3"/>
        <v>-2707518.0189034902</v>
      </c>
      <c r="I19" s="267">
        <f t="shared" si="4"/>
        <v>-19.574838091740048</v>
      </c>
      <c r="J19" s="156">
        <v>14603148.550000001</v>
      </c>
      <c r="K19" s="254">
        <f t="shared" si="5"/>
        <v>0.42636930072992701</v>
      </c>
      <c r="L19" s="210">
        <f t="shared" si="6"/>
        <v>-3479042.4900000021</v>
      </c>
      <c r="M19" s="267">
        <f t="shared" si="0"/>
        <v>-23.823920424338922</v>
      </c>
      <c r="N19" s="138"/>
      <c r="O19" s="81"/>
      <c r="P19" s="81" t="s">
        <v>452</v>
      </c>
      <c r="Q19" s="81" t="s">
        <v>12</v>
      </c>
      <c r="R19" s="81" t="s">
        <v>19</v>
      </c>
      <c r="S19" s="138"/>
      <c r="T19" s="138"/>
      <c r="U19" s="138"/>
      <c r="V19" s="138"/>
      <c r="W19" s="138"/>
      <c r="X19" s="138"/>
      <c r="Y19" s="139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W19" s="81"/>
    </row>
    <row r="20" spans="2:80" ht="15" customHeight="1">
      <c r="B20" s="80">
        <v>7113</v>
      </c>
      <c r="C20" s="97" t="str">
        <f>IF(MasterSheet!$A$1=1,MasterSheet!C76,MasterSheet!B76)</f>
        <v>Porez na promet nepokretnosti</v>
      </c>
      <c r="D20" s="156">
        <v>329673.92000000004</v>
      </c>
      <c r="E20" s="254">
        <f t="shared" si="1"/>
        <v>9.2087687150838003E-3</v>
      </c>
      <c r="F20" s="156">
        <v>371613.12879633339</v>
      </c>
      <c r="G20" s="254">
        <f t="shared" si="2"/>
        <v>1.0380254994310988E-2</v>
      </c>
      <c r="H20" s="210">
        <f t="shared" si="3"/>
        <v>-41939.208796333347</v>
      </c>
      <c r="I20" s="267">
        <f t="shared" si="4"/>
        <v>-11.285717738815023</v>
      </c>
      <c r="J20" s="156">
        <v>357419.75</v>
      </c>
      <c r="K20" s="254">
        <f t="shared" si="5"/>
        <v>1.0435613138686132E-2</v>
      </c>
      <c r="L20" s="210">
        <f t="shared" si="6"/>
        <v>-27745.829999999958</v>
      </c>
      <c r="M20" s="267">
        <f t="shared" si="0"/>
        <v>-7.7628138903907598</v>
      </c>
      <c r="N20" s="138"/>
      <c r="O20" s="81" t="s">
        <v>446</v>
      </c>
      <c r="P20" s="212">
        <f>+D21</f>
        <v>93369945.780000001</v>
      </c>
      <c r="Q20" s="212">
        <f>+D22</f>
        <v>32084642.32</v>
      </c>
      <c r="R20" s="212">
        <f>+D25</f>
        <v>83839022.069999993</v>
      </c>
      <c r="S20" s="138"/>
      <c r="T20" s="138"/>
      <c r="U20" s="138"/>
      <c r="V20" s="138"/>
      <c r="W20" s="138"/>
      <c r="X20" s="138"/>
      <c r="Y20" s="139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</row>
    <row r="21" spans="2:80" ht="15" customHeight="1">
      <c r="B21" s="80">
        <v>7114</v>
      </c>
      <c r="C21" s="97" t="str">
        <f>IF(MasterSheet!$A$1=1,MasterSheet!C77,MasterSheet!B77)</f>
        <v>Porez na dodatu vrijednost</v>
      </c>
      <c r="D21" s="155">
        <v>93369945.780000001</v>
      </c>
      <c r="E21" s="254">
        <f t="shared" si="1"/>
        <v>2.6080990441340783</v>
      </c>
      <c r="F21" s="155">
        <v>96374023.880004466</v>
      </c>
      <c r="G21" s="254">
        <f t="shared" si="2"/>
        <v>2.6920118402235884</v>
      </c>
      <c r="H21" s="210">
        <f t="shared" si="3"/>
        <v>-3004078.1000044644</v>
      </c>
      <c r="I21" s="267">
        <f t="shared" si="4"/>
        <v>-3.117103529624174</v>
      </c>
      <c r="J21" s="156">
        <v>98253466.519999996</v>
      </c>
      <c r="K21" s="254">
        <f t="shared" si="5"/>
        <v>2.8687143509489048</v>
      </c>
      <c r="L21" s="210">
        <f t="shared" si="6"/>
        <v>-4883520.7399999946</v>
      </c>
      <c r="M21" s="267">
        <f t="shared" si="0"/>
        <v>-4.9703292036072213</v>
      </c>
      <c r="O21" s="81" t="s">
        <v>447</v>
      </c>
      <c r="P21" s="212">
        <f>+F21</f>
        <v>96374023.880004466</v>
      </c>
      <c r="Q21" s="212">
        <f>+F22</f>
        <v>29430727.240693208</v>
      </c>
      <c r="R21" s="212">
        <f>+F25</f>
        <v>72925649.610928908</v>
      </c>
    </row>
    <row r="22" spans="2:80" ht="15" customHeight="1">
      <c r="B22" s="80">
        <v>7115</v>
      </c>
      <c r="C22" s="97" t="str">
        <f>IF(MasterSheet!$A$1=1,MasterSheet!C78,MasterSheet!B78)</f>
        <v>Akcize</v>
      </c>
      <c r="D22" s="156">
        <v>32084642.32</v>
      </c>
      <c r="E22" s="254">
        <f t="shared" si="1"/>
        <v>0.89621905921787715</v>
      </c>
      <c r="F22" s="156">
        <v>29430727.240693208</v>
      </c>
      <c r="G22" s="254">
        <f t="shared" si="2"/>
        <v>0.82208735309198899</v>
      </c>
      <c r="H22" s="210">
        <f t="shared" si="3"/>
        <v>2653915.0793067925</v>
      </c>
      <c r="I22" s="267">
        <f t="shared" si="4"/>
        <v>9.0174974529249283</v>
      </c>
      <c r="J22" s="156">
        <v>27640146.18</v>
      </c>
      <c r="K22" s="254">
        <f t="shared" si="5"/>
        <v>0.80701156729927004</v>
      </c>
      <c r="L22" s="210">
        <f t="shared" si="6"/>
        <v>4444496.1400000006</v>
      </c>
      <c r="M22" s="267">
        <f t="shared" si="0"/>
        <v>16.07985757765627</v>
      </c>
      <c r="O22" s="137">
        <v>2013</v>
      </c>
      <c r="P22" s="213">
        <f>+J21</f>
        <v>98253466.519999996</v>
      </c>
      <c r="Q22" s="214">
        <f>+J22</f>
        <v>27640146.18</v>
      </c>
      <c r="R22" s="214">
        <f>+J25</f>
        <v>75014333.820000008</v>
      </c>
    </row>
    <row r="23" spans="2:80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6">
        <v>4590661.21</v>
      </c>
      <c r="E23" s="254">
        <f t="shared" si="1"/>
        <v>0.12823076005586592</v>
      </c>
      <c r="F23" s="156">
        <v>4061131.9317455152</v>
      </c>
      <c r="G23" s="254">
        <f t="shared" si="2"/>
        <v>0.11343943943423226</v>
      </c>
      <c r="H23" s="210">
        <f t="shared" si="3"/>
        <v>529529.27825448476</v>
      </c>
      <c r="I23" s="267">
        <f t="shared" si="4"/>
        <v>13.038957786995311</v>
      </c>
      <c r="J23" s="156">
        <v>3897133.5</v>
      </c>
      <c r="K23" s="254">
        <f t="shared" si="5"/>
        <v>0.1137849197080292</v>
      </c>
      <c r="L23" s="210">
        <f t="shared" si="6"/>
        <v>693527.71</v>
      </c>
      <c r="M23" s="267">
        <f t="shared" si="0"/>
        <v>17.795841738549626</v>
      </c>
      <c r="BX23" s="140"/>
      <c r="BY23" s="140"/>
      <c r="BZ23" s="81"/>
    </row>
    <row r="24" spans="2:80" ht="15" customHeight="1">
      <c r="B24" s="80">
        <v>7118</v>
      </c>
      <c r="C24" s="97" t="str">
        <f>IF(MasterSheet!$A$1=1,MasterSheet!C80,MasterSheet!B80)</f>
        <v>Ostali republički prihodi</v>
      </c>
      <c r="D24" s="156">
        <v>1249136.24</v>
      </c>
      <c r="E24" s="254">
        <f t="shared" si="1"/>
        <v>3.4892073743016762E-2</v>
      </c>
      <c r="F24" s="156">
        <v>986819.31349480606</v>
      </c>
      <c r="G24" s="254">
        <f t="shared" si="2"/>
        <v>2.7564785293151005E-2</v>
      </c>
      <c r="H24" s="210">
        <f t="shared" si="3"/>
        <v>262316.92650519393</v>
      </c>
      <c r="I24" s="267">
        <f t="shared" si="4"/>
        <v>26.582062482766219</v>
      </c>
      <c r="J24" s="156">
        <v>1031154.53</v>
      </c>
      <c r="K24" s="254">
        <f t="shared" si="5"/>
        <v>3.0106701605839416E-2</v>
      </c>
      <c r="L24" s="210">
        <f t="shared" si="6"/>
        <v>217981.70999999996</v>
      </c>
      <c r="M24" s="267">
        <f t="shared" si="0"/>
        <v>21.139577401652886</v>
      </c>
      <c r="BX24" s="140"/>
      <c r="BY24" s="140"/>
      <c r="BZ24" s="81"/>
    </row>
    <row r="25" spans="2:80" ht="15" customHeight="1">
      <c r="B25" s="80">
        <v>712</v>
      </c>
      <c r="C25" s="93" t="str">
        <f>IF(MasterSheet!$A$1=1,MasterSheet!C81,MasterSheet!B81)</f>
        <v>Doprinosi</v>
      </c>
      <c r="D25" s="154">
        <f>+SUM(D26:D29)</f>
        <v>83839022.069999993</v>
      </c>
      <c r="E25" s="253">
        <f t="shared" si="1"/>
        <v>2.3418721248603349</v>
      </c>
      <c r="F25" s="154">
        <f>+SUM(F26:F29)</f>
        <v>72925649.610928908</v>
      </c>
      <c r="G25" s="253">
        <f t="shared" si="2"/>
        <v>2.0370293187410309</v>
      </c>
      <c r="H25" s="209">
        <f t="shared" si="3"/>
        <v>10913372.459071085</v>
      </c>
      <c r="I25" s="266">
        <f t="shared" si="4"/>
        <v>14.96506718458572</v>
      </c>
      <c r="J25" s="154">
        <f>+SUM(J26:J29)</f>
        <v>75014333.820000008</v>
      </c>
      <c r="K25" s="253">
        <f t="shared" si="5"/>
        <v>2.1901995275912411</v>
      </c>
      <c r="L25" s="209">
        <f t="shared" si="6"/>
        <v>8824688.2499999851</v>
      </c>
      <c r="M25" s="266">
        <f t="shared" si="0"/>
        <v>11.764002692039071</v>
      </c>
      <c r="BX25" s="140"/>
      <c r="BY25" s="140"/>
      <c r="BZ25" s="81"/>
    </row>
    <row r="26" spans="2:80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56">
        <v>50560972.180000007</v>
      </c>
      <c r="E26" s="254">
        <f t="shared" si="1"/>
        <v>1.4123176586592181</v>
      </c>
      <c r="F26" s="156">
        <v>44256598.389912754</v>
      </c>
      <c r="G26" s="254">
        <f t="shared" si="2"/>
        <v>1.236217832120468</v>
      </c>
      <c r="H26" s="210">
        <f t="shared" si="3"/>
        <v>6304373.7900872529</v>
      </c>
      <c r="I26" s="267">
        <f t="shared" si="4"/>
        <v>14.245048240138104</v>
      </c>
      <c r="J26" s="156">
        <v>46630224.140000001</v>
      </c>
      <c r="K26" s="254">
        <f t="shared" si="5"/>
        <v>1.3614663982481752</v>
      </c>
      <c r="L26" s="210">
        <f t="shared" si="6"/>
        <v>3930748.0400000066</v>
      </c>
      <c r="M26" s="267">
        <f t="shared" si="0"/>
        <v>8.4296142952230895</v>
      </c>
      <c r="BX26" s="140"/>
      <c r="BY26" s="140"/>
      <c r="BZ26" s="81"/>
    </row>
    <row r="27" spans="2:80" ht="15" customHeight="1">
      <c r="B27" s="80">
        <v>7122</v>
      </c>
      <c r="C27" s="97" t="str">
        <f>IF(MasterSheet!$A$1=1,MasterSheet!C83,MasterSheet!B83)</f>
        <v>Doprinosi za zdravstveno osiguranje</v>
      </c>
      <c r="D27" s="156">
        <v>28782348.929999977</v>
      </c>
      <c r="E27" s="254">
        <f t="shared" si="1"/>
        <v>0.80397622709497152</v>
      </c>
      <c r="F27" s="156">
        <v>24813380.973626919</v>
      </c>
      <c r="G27" s="254">
        <f t="shared" si="2"/>
        <v>0.69311120038064022</v>
      </c>
      <c r="H27" s="210">
        <f t="shared" si="3"/>
        <v>3968967.9563730583</v>
      </c>
      <c r="I27" s="267">
        <f t="shared" si="4"/>
        <v>15.995272714312918</v>
      </c>
      <c r="J27" s="156">
        <v>24791584.289999999</v>
      </c>
      <c r="K27" s="254">
        <f t="shared" si="5"/>
        <v>0.72384187708029202</v>
      </c>
      <c r="L27" s="210">
        <f t="shared" si="6"/>
        <v>3990764.6399999782</v>
      </c>
      <c r="M27" s="267">
        <f t="shared" si="0"/>
        <v>16.097255396500444</v>
      </c>
      <c r="BX27" s="140"/>
      <c r="BY27" s="140"/>
      <c r="BZ27" s="81"/>
    </row>
    <row r="28" spans="2:80" ht="15" customHeight="1">
      <c r="B28" s="80">
        <v>7123</v>
      </c>
      <c r="C28" s="97" t="str">
        <f>IF(MasterSheet!$A$1=1,MasterSheet!C84,MasterSheet!B84)</f>
        <v>Doprinosi za osiguranje od nezaposlenosti</v>
      </c>
      <c r="D28" s="156">
        <v>2321055.3999999994</v>
      </c>
      <c r="E28" s="254">
        <f t="shared" si="1"/>
        <v>6.4833949720670372E-2</v>
      </c>
      <c r="F28" s="156">
        <v>2056985.3319162813</v>
      </c>
      <c r="G28" s="254">
        <f t="shared" si="2"/>
        <v>5.7457690835650312E-2</v>
      </c>
      <c r="H28" s="210">
        <f t="shared" si="3"/>
        <v>264070.06808371819</v>
      </c>
      <c r="I28" s="267">
        <f t="shared" si="4"/>
        <v>12.837722466290586</v>
      </c>
      <c r="J28" s="156">
        <v>1985917.72</v>
      </c>
      <c r="K28" s="254">
        <f t="shared" si="5"/>
        <v>5.7982999124087588E-2</v>
      </c>
      <c r="L28" s="210">
        <f t="shared" si="6"/>
        <v>335137.67999999947</v>
      </c>
      <c r="M28" s="267">
        <f t="shared" si="0"/>
        <v>16.875708224205766</v>
      </c>
      <c r="BX28" s="140"/>
      <c r="BY28" s="140"/>
      <c r="BZ28" s="81"/>
    </row>
    <row r="29" spans="2:80" ht="15" customHeight="1">
      <c r="B29" s="80">
        <v>7124</v>
      </c>
      <c r="C29" s="97" t="str">
        <f>IF(MasterSheet!$A$1=1,MasterSheet!C85,MasterSheet!B85)</f>
        <v>Ostali doprinosi</v>
      </c>
      <c r="D29" s="155">
        <v>2174645.5600000005</v>
      </c>
      <c r="E29" s="254">
        <f t="shared" si="1"/>
        <v>6.0744289385474874E-2</v>
      </c>
      <c r="F29" s="155">
        <v>1798684.9154729617</v>
      </c>
      <c r="G29" s="254">
        <f t="shared" si="2"/>
        <v>5.0242595404272679E-2</v>
      </c>
      <c r="H29" s="210">
        <f t="shared" si="3"/>
        <v>375960.64452703879</v>
      </c>
      <c r="I29" s="267">
        <f t="shared" si="4"/>
        <v>20.90197350813834</v>
      </c>
      <c r="J29" s="156">
        <v>1606607.67</v>
      </c>
      <c r="K29" s="254">
        <f t="shared" si="5"/>
        <v>4.6908253138686129E-2</v>
      </c>
      <c r="L29" s="210">
        <f t="shared" si="6"/>
        <v>568037.8900000006</v>
      </c>
      <c r="M29" s="267">
        <f t="shared" si="0"/>
        <v>35.356353676563771</v>
      </c>
      <c r="BX29" s="81"/>
      <c r="BY29" s="81"/>
      <c r="BZ29" s="81"/>
    </row>
    <row r="30" spans="2:80" ht="15" customHeight="1">
      <c r="B30" s="80">
        <v>713</v>
      </c>
      <c r="C30" s="93" t="str">
        <f>IF(MasterSheet!$A$1=1,MasterSheet!C86,MasterSheet!B86)</f>
        <v>Takse</v>
      </c>
      <c r="D30" s="154">
        <v>2520039.6800000002</v>
      </c>
      <c r="E30" s="253">
        <f t="shared" si="1"/>
        <v>7.0392169832402235E-2</v>
      </c>
      <c r="F30" s="154">
        <v>4940880.9603889957</v>
      </c>
      <c r="G30" s="253">
        <f t="shared" si="2"/>
        <v>0.13801343464773733</v>
      </c>
      <c r="H30" s="209">
        <f t="shared" si="3"/>
        <v>-2420841.2803889955</v>
      </c>
      <c r="I30" s="266">
        <f t="shared" si="4"/>
        <v>-48.996146634514389</v>
      </c>
      <c r="J30" s="154">
        <v>4573002.58</v>
      </c>
      <c r="K30" s="253">
        <f t="shared" si="5"/>
        <v>0.13351832350364964</v>
      </c>
      <c r="L30" s="209">
        <f t="shared" si="6"/>
        <v>-2052962.9</v>
      </c>
      <c r="M30" s="266">
        <f t="shared" si="0"/>
        <v>-44.89310609573284</v>
      </c>
      <c r="BX30" s="81"/>
      <c r="BY30" s="81"/>
      <c r="BZ30" s="81"/>
    </row>
    <row r="31" spans="2:80" ht="15" customHeight="1">
      <c r="B31" s="80">
        <v>714</v>
      </c>
      <c r="C31" s="93" t="str">
        <f>IF(MasterSheet!$A$1=1,MasterSheet!C91,MasterSheet!B91)</f>
        <v>Naknade</v>
      </c>
      <c r="D31" s="154">
        <v>3269862.15</v>
      </c>
      <c r="E31" s="253">
        <f t="shared" si="1"/>
        <v>9.1336931564245799E-2</v>
      </c>
      <c r="F31" s="154">
        <v>2679647.1972975191</v>
      </c>
      <c r="G31" s="253">
        <f t="shared" si="2"/>
        <v>7.4850480371439085E-2</v>
      </c>
      <c r="H31" s="209">
        <f t="shared" si="3"/>
        <v>590214.95270248083</v>
      </c>
      <c r="I31" s="266">
        <f t="shared" si="4"/>
        <v>22.025845540328021</v>
      </c>
      <c r="J31" s="154">
        <v>2893511.8800000004</v>
      </c>
      <c r="K31" s="253">
        <f t="shared" si="5"/>
        <v>8.4482098686131393E-2</v>
      </c>
      <c r="L31" s="209">
        <f t="shared" si="6"/>
        <v>376350.26999999955</v>
      </c>
      <c r="M31" s="266">
        <f t="shared" si="0"/>
        <v>13.006695172096542</v>
      </c>
      <c r="BX31" s="140"/>
      <c r="BY31" s="140"/>
      <c r="BZ31" s="140"/>
    </row>
    <row r="32" spans="2:80" ht="15" customHeight="1">
      <c r="B32" s="80">
        <v>715</v>
      </c>
      <c r="C32" s="93" t="str">
        <f>IF(MasterSheet!$A$1=1,MasterSheet!C98,MasterSheet!B98)</f>
        <v>Ostali prihodi</v>
      </c>
      <c r="D32" s="154">
        <v>4491575.4299999978</v>
      </c>
      <c r="E32" s="253">
        <f t="shared" si="1"/>
        <v>0.12546300083798875</v>
      </c>
      <c r="F32" s="154">
        <v>5899342.9296896569</v>
      </c>
      <c r="G32" s="253">
        <f t="shared" si="2"/>
        <v>0.16478611535445969</v>
      </c>
      <c r="H32" s="209">
        <f t="shared" si="3"/>
        <v>-1407767.4996896591</v>
      </c>
      <c r="I32" s="266">
        <f t="shared" si="4"/>
        <v>-23.863123681194722</v>
      </c>
      <c r="J32" s="154">
        <v>5285451.9700000007</v>
      </c>
      <c r="K32" s="253">
        <f t="shared" si="5"/>
        <v>0.15431976554744528</v>
      </c>
      <c r="L32" s="209">
        <f t="shared" si="6"/>
        <v>-793876.54000000283</v>
      </c>
      <c r="M32" s="266">
        <f t="shared" si="0"/>
        <v>-15.020031295450451</v>
      </c>
      <c r="BX32" s="81"/>
      <c r="BY32" s="81"/>
      <c r="BZ32" s="81"/>
      <c r="CA32" s="81"/>
      <c r="CB32" s="81"/>
    </row>
    <row r="33" spans="1:81">
      <c r="B33" s="80">
        <v>73</v>
      </c>
      <c r="C33" s="101" t="str">
        <f>IF(MasterSheet!$A$1=1,MasterSheet!C103,MasterSheet!B103)</f>
        <v>Primici od otplate kredita i sredstva prenijeta iz prethodne godine</v>
      </c>
      <c r="D33" s="154">
        <v>2798294.4299999997</v>
      </c>
      <c r="E33" s="253">
        <f t="shared" si="1"/>
        <v>7.8164648882681556E-2</v>
      </c>
      <c r="F33" s="154">
        <v>391256.93077411636</v>
      </c>
      <c r="G33" s="253">
        <f t="shared" si="2"/>
        <v>1.0928964546763028E-2</v>
      </c>
      <c r="H33" s="209">
        <f t="shared" si="3"/>
        <v>2407037.4992258833</v>
      </c>
      <c r="I33" s="266">
        <f t="shared" si="4"/>
        <v>615.20635416309949</v>
      </c>
      <c r="J33" s="154">
        <v>546163.78</v>
      </c>
      <c r="K33" s="253">
        <f t="shared" si="5"/>
        <v>1.5946387737226276E-2</v>
      </c>
      <c r="L33" s="209">
        <f t="shared" si="6"/>
        <v>2252130.6499999994</v>
      </c>
      <c r="M33" s="266">
        <f t="shared" si="0"/>
        <v>412.35444979526096</v>
      </c>
      <c r="BW33" s="100"/>
      <c r="BX33" s="100"/>
      <c r="BY33" s="99"/>
      <c r="BZ33" s="145"/>
      <c r="CA33" s="145"/>
      <c r="CB33" s="145"/>
      <c r="CC33" s="142"/>
    </row>
    <row r="34" spans="1:81" ht="13.5" customHeight="1" thickBot="1">
      <c r="B34" s="80">
        <v>74</v>
      </c>
      <c r="C34" s="93" t="s">
        <v>123</v>
      </c>
      <c r="D34" s="154">
        <v>824939.99000000011</v>
      </c>
      <c r="E34" s="253">
        <f t="shared" si="1"/>
        <v>2.3043016480446932E-2</v>
      </c>
      <c r="F34" s="154">
        <v>1143841.1183426389</v>
      </c>
      <c r="G34" s="253">
        <f t="shared" si="2"/>
        <v>3.1950869227448019E-2</v>
      </c>
      <c r="H34" s="209">
        <f t="shared" si="3"/>
        <v>-318901.12834263884</v>
      </c>
      <c r="I34" s="266">
        <f t="shared" si="4"/>
        <v>-27.879844781651883</v>
      </c>
      <c r="J34" s="154">
        <v>1047846.69</v>
      </c>
      <c r="K34" s="253">
        <f t="shared" si="5"/>
        <v>3.059406394160584E-2</v>
      </c>
      <c r="L34" s="209">
        <f t="shared" si="6"/>
        <v>-222906.69999999984</v>
      </c>
      <c r="M34" s="266">
        <f t="shared" si="0"/>
        <v>-21.272835246537809</v>
      </c>
      <c r="BX34" s="161"/>
      <c r="BY34" s="161"/>
      <c r="BZ34" s="145"/>
      <c r="CA34" s="145"/>
      <c r="CB34" s="145"/>
      <c r="CC34" s="142"/>
    </row>
    <row r="35" spans="1:81" ht="15" customHeight="1" thickTop="1" thickBot="1">
      <c r="B35" s="102"/>
      <c r="C35" s="90" t="s">
        <v>467</v>
      </c>
      <c r="D35" s="91">
        <f>+D37+D48+SUM(D54:D60)</f>
        <v>309848557.08000004</v>
      </c>
      <c r="E35" s="255">
        <f t="shared" si="1"/>
        <v>8.6549876279329627</v>
      </c>
      <c r="F35" s="91">
        <f>+F37+F48+SUM(F54:F60)</f>
        <v>391242204.03000003</v>
      </c>
      <c r="G35" s="260">
        <f t="shared" si="2"/>
        <v>10.928553185195531</v>
      </c>
      <c r="H35" s="91">
        <f t="shared" si="3"/>
        <v>-81393646.949999988</v>
      </c>
      <c r="I35" s="255">
        <f t="shared" si="4"/>
        <v>-20.803902572780416</v>
      </c>
      <c r="J35" s="91">
        <f>+J37+J48+SUM(J54:J59)</f>
        <v>306139517.36000001</v>
      </c>
      <c r="K35" s="255">
        <f t="shared" si="5"/>
        <v>8.9383800689051096</v>
      </c>
      <c r="L35" s="91">
        <f t="shared" si="6"/>
        <v>3709039.7200000286</v>
      </c>
      <c r="M35" s="255">
        <f t="shared" si="0"/>
        <v>1.2115520897089738</v>
      </c>
      <c r="BX35" s="81"/>
      <c r="BY35" s="81"/>
      <c r="BZ35" s="145"/>
      <c r="CA35" s="145"/>
      <c r="CB35" s="145"/>
      <c r="CC35" s="142"/>
    </row>
    <row r="36" spans="1:81" ht="13.5" customHeight="1" thickTop="1" thickBot="1">
      <c r="C36" s="90" t="s">
        <v>63</v>
      </c>
      <c r="D36" s="91">
        <f>+D35-D55</f>
        <v>293168366.93000007</v>
      </c>
      <c r="E36" s="255">
        <f t="shared" si="1"/>
        <v>8.1890605287709519</v>
      </c>
      <c r="F36" s="91">
        <f>+F35-F55</f>
        <v>320067934.78000003</v>
      </c>
      <c r="G36" s="260">
        <f t="shared" si="2"/>
        <v>8.9404451055865941</v>
      </c>
      <c r="H36" s="91">
        <f t="shared" si="3"/>
        <v>-26899567.849999964</v>
      </c>
      <c r="I36" s="255">
        <f t="shared" si="4"/>
        <v>-8.4043307457491778</v>
      </c>
      <c r="J36" s="162">
        <f>+J35-J55</f>
        <v>297571312.56999999</v>
      </c>
      <c r="K36" s="255">
        <f t="shared" si="5"/>
        <v>8.6882135056934295</v>
      </c>
      <c r="L36" s="91">
        <f t="shared" ref="L36:L72" si="7">+D36-J36</f>
        <v>-4402945.6399999261</v>
      </c>
      <c r="M36" s="255">
        <f t="shared" si="0"/>
        <v>-1.4796270520748465</v>
      </c>
      <c r="N36" s="220"/>
      <c r="BX36" s="161"/>
      <c r="BY36" s="161"/>
      <c r="BZ36" s="145"/>
      <c r="CA36" s="145"/>
      <c r="CB36" s="145"/>
      <c r="CC36" s="142"/>
    </row>
    <row r="37" spans="1:81" ht="13.5" customHeight="1" thickTop="1">
      <c r="A37" s="80">
        <v>41</v>
      </c>
      <c r="C37" s="93" t="s">
        <v>454</v>
      </c>
      <c r="D37" s="94">
        <f>+SUM(D38:D47)</f>
        <v>136203424.29000002</v>
      </c>
      <c r="E37" s="253">
        <f t="shared" si="1"/>
        <v>3.8045649243016766</v>
      </c>
      <c r="F37" s="94">
        <f>+SUM(F38:F47)</f>
        <v>157956588.51750001</v>
      </c>
      <c r="G37" s="261">
        <f t="shared" si="2"/>
        <v>4.4121952099860344</v>
      </c>
      <c r="H37" s="207">
        <f t="shared" si="3"/>
        <v>-21753164.227499992</v>
      </c>
      <c r="I37" s="266">
        <f t="shared" si="4"/>
        <v>-13.771609295733782</v>
      </c>
      <c r="J37" s="94">
        <f>+SUM(J38:J47)</f>
        <v>132839503.63000003</v>
      </c>
      <c r="K37" s="253">
        <f t="shared" si="5"/>
        <v>3.8785256534306574</v>
      </c>
      <c r="L37" s="207">
        <f t="shared" si="7"/>
        <v>3363920.6599999964</v>
      </c>
      <c r="M37" s="266">
        <f t="shared" si="0"/>
        <v>2.5323195044221052</v>
      </c>
      <c r="BX37" s="161"/>
      <c r="BY37" s="161"/>
      <c r="BZ37" s="145"/>
      <c r="CA37" s="145"/>
      <c r="CB37" s="145"/>
      <c r="CC37" s="142"/>
    </row>
    <row r="38" spans="1:81" ht="13.5" customHeight="1">
      <c r="B38" s="80">
        <v>411</v>
      </c>
      <c r="C38" s="93" t="s">
        <v>64</v>
      </c>
      <c r="D38" s="154">
        <v>91553820.850000024</v>
      </c>
      <c r="E38" s="253">
        <f t="shared" si="1"/>
        <v>2.557369297486034</v>
      </c>
      <c r="F38" s="154">
        <v>94840899.182500005</v>
      </c>
      <c r="G38" s="261">
        <f t="shared" si="2"/>
        <v>2.6491871280027937</v>
      </c>
      <c r="H38" s="209">
        <f t="shared" si="3"/>
        <v>-3287078.3324999809</v>
      </c>
      <c r="I38" s="266">
        <f t="shared" si="4"/>
        <v>-3.4658869336263223</v>
      </c>
      <c r="J38" s="154">
        <v>92688079.320000023</v>
      </c>
      <c r="K38" s="253">
        <f t="shared" si="5"/>
        <v>2.7062212940145991</v>
      </c>
      <c r="L38" s="209">
        <f t="shared" si="7"/>
        <v>-1134258.4699999988</v>
      </c>
      <c r="M38" s="266">
        <f t="shared" si="0"/>
        <v>-1.2237371605080369</v>
      </c>
      <c r="BX38" s="161"/>
      <c r="BY38" s="161"/>
      <c r="BZ38" s="145"/>
      <c r="CA38" s="145"/>
      <c r="CB38" s="145"/>
      <c r="CC38" s="142"/>
    </row>
    <row r="39" spans="1:81" ht="13.5" customHeight="1">
      <c r="B39" s="80">
        <v>412</v>
      </c>
      <c r="C39" s="93" t="s">
        <v>75</v>
      </c>
      <c r="D39" s="154">
        <v>2580695.6599999983</v>
      </c>
      <c r="E39" s="253">
        <f t="shared" si="1"/>
        <v>7.2086470949720621E-2</v>
      </c>
      <c r="F39" s="154">
        <v>2904901.2549999999</v>
      </c>
      <c r="G39" s="261">
        <f t="shared" si="2"/>
        <v>8.1142493156424578E-2</v>
      </c>
      <c r="H39" s="209">
        <f t="shared" si="3"/>
        <v>-324205.5950000016</v>
      </c>
      <c r="I39" s="266">
        <f t="shared" si="4"/>
        <v>-11.160640811523962</v>
      </c>
      <c r="J39" s="154">
        <v>2210999.2299999981</v>
      </c>
      <c r="K39" s="253">
        <f t="shared" si="5"/>
        <v>6.4554722043795559E-2</v>
      </c>
      <c r="L39" s="209">
        <f t="shared" si="7"/>
        <v>369696.43000000017</v>
      </c>
      <c r="M39" s="266">
        <f t="shared" si="0"/>
        <v>16.720785108550245</v>
      </c>
      <c r="BX39" s="161"/>
      <c r="BY39" s="161"/>
      <c r="BZ39" s="145"/>
      <c r="CA39" s="145"/>
      <c r="CB39" s="145"/>
      <c r="CC39" s="142"/>
    </row>
    <row r="40" spans="1:81" ht="13.5" customHeight="1">
      <c r="B40" s="80">
        <v>413</v>
      </c>
      <c r="C40" s="93" t="s">
        <v>429</v>
      </c>
      <c r="D40" s="154">
        <v>5420214.5399999991</v>
      </c>
      <c r="E40" s="253">
        <f t="shared" si="1"/>
        <v>0.15140264078212287</v>
      </c>
      <c r="F40" s="154">
        <v>7351520.5199999996</v>
      </c>
      <c r="G40" s="261">
        <f t="shared" si="2"/>
        <v>0.20534973519553071</v>
      </c>
      <c r="H40" s="209">
        <f t="shared" si="3"/>
        <v>-1931305.9800000004</v>
      </c>
      <c r="I40" s="266">
        <f t="shared" si="4"/>
        <v>-26.270837097520612</v>
      </c>
      <c r="J40" s="154">
        <v>5772182.9000000004</v>
      </c>
      <c r="K40" s="253">
        <f t="shared" si="5"/>
        <v>0.16853088759124091</v>
      </c>
      <c r="L40" s="209">
        <f t="shared" si="7"/>
        <v>-351968.36000000127</v>
      </c>
      <c r="M40" s="266">
        <f t="shared" si="0"/>
        <v>-6.0976647153713941</v>
      </c>
      <c r="BX40" s="161"/>
      <c r="BY40" s="161"/>
      <c r="BZ40" s="145"/>
      <c r="CA40" s="145"/>
      <c r="CB40" s="145"/>
      <c r="CC40" s="142"/>
    </row>
    <row r="41" spans="1:81" ht="13.5" customHeight="1">
      <c r="B41" s="80">
        <v>414</v>
      </c>
      <c r="C41" s="93" t="s">
        <v>430</v>
      </c>
      <c r="D41" s="154">
        <v>8303261.8800000148</v>
      </c>
      <c r="E41" s="253">
        <f t="shared" si="1"/>
        <v>0.23193468938547526</v>
      </c>
      <c r="F41" s="154">
        <v>10382643.380000001</v>
      </c>
      <c r="G41" s="261">
        <f t="shared" si="2"/>
        <v>0.29001797150837993</v>
      </c>
      <c r="H41" s="209">
        <f t="shared" si="3"/>
        <v>-2079381.499999986</v>
      </c>
      <c r="I41" s="266">
        <f t="shared" si="4"/>
        <v>-20.027476856283826</v>
      </c>
      <c r="J41" s="154">
        <v>8181965.0400000066</v>
      </c>
      <c r="K41" s="253">
        <f t="shared" si="5"/>
        <v>0.23888949021897829</v>
      </c>
      <c r="L41" s="209">
        <f t="shared" si="7"/>
        <v>121296.84000000823</v>
      </c>
      <c r="M41" s="266">
        <f t="shared" si="0"/>
        <v>1.4824903236204392</v>
      </c>
      <c r="BX41" s="161"/>
      <c r="BY41" s="161"/>
      <c r="BZ41" s="145"/>
      <c r="CA41" s="145"/>
      <c r="CB41" s="145"/>
      <c r="CC41" s="142"/>
    </row>
    <row r="42" spans="1:81" ht="13.5" customHeight="1">
      <c r="B42" s="80">
        <v>415</v>
      </c>
      <c r="C42" s="93" t="s">
        <v>431</v>
      </c>
      <c r="D42" s="154">
        <v>3577680.6699999995</v>
      </c>
      <c r="E42" s="253">
        <f t="shared" si="1"/>
        <v>9.9935214245810047E-2</v>
      </c>
      <c r="F42" s="154">
        <v>5202805.3325000005</v>
      </c>
      <c r="G42" s="261">
        <f t="shared" si="2"/>
        <v>0.14532975789106145</v>
      </c>
      <c r="H42" s="209">
        <f t="shared" si="3"/>
        <v>-1625124.662500001</v>
      </c>
      <c r="I42" s="266">
        <f t="shared" si="4"/>
        <v>-31.235546184064361</v>
      </c>
      <c r="J42" s="154">
        <v>2013981.9999999998</v>
      </c>
      <c r="K42" s="253">
        <f t="shared" si="5"/>
        <v>5.8802394160583929E-2</v>
      </c>
      <c r="L42" s="209">
        <f t="shared" si="7"/>
        <v>1563698.6699999997</v>
      </c>
      <c r="M42" s="266">
        <f t="shared" si="0"/>
        <v>77.642137318009787</v>
      </c>
      <c r="BX42" s="161"/>
      <c r="BY42" s="161"/>
      <c r="BZ42" s="145"/>
      <c r="CA42" s="145"/>
      <c r="CB42" s="145"/>
      <c r="CC42" s="142"/>
    </row>
    <row r="43" spans="1:81" ht="13.5" customHeight="1">
      <c r="B43" s="80">
        <v>416</v>
      </c>
      <c r="C43" s="93" t="s">
        <v>80</v>
      </c>
      <c r="D43" s="154">
        <v>10219393.17</v>
      </c>
      <c r="E43" s="253">
        <f t="shared" si="1"/>
        <v>0.28545790977653629</v>
      </c>
      <c r="F43" s="154">
        <v>18941470.9925</v>
      </c>
      <c r="G43" s="261">
        <f t="shared" si="2"/>
        <v>0.52909136850558658</v>
      </c>
      <c r="H43" s="209">
        <f t="shared" si="3"/>
        <v>-8722077.8224999998</v>
      </c>
      <c r="I43" s="266">
        <f t="shared" si="4"/>
        <v>-46.047520944669841</v>
      </c>
      <c r="J43" s="154">
        <v>8046523.7400000002</v>
      </c>
      <c r="K43" s="253">
        <f t="shared" si="5"/>
        <v>0.23493499970802922</v>
      </c>
      <c r="L43" s="209">
        <f t="shared" si="7"/>
        <v>2172869.4299999997</v>
      </c>
      <c r="M43" s="266">
        <f t="shared" si="0"/>
        <v>27.00382799094308</v>
      </c>
      <c r="BX43" s="161"/>
      <c r="BY43" s="161"/>
      <c r="BZ43" s="145"/>
      <c r="CA43" s="145"/>
      <c r="CB43" s="145"/>
      <c r="CC43" s="142"/>
    </row>
    <row r="44" spans="1:81" ht="13.5" customHeight="1">
      <c r="B44" s="80">
        <v>417</v>
      </c>
      <c r="C44" s="93" t="s">
        <v>82</v>
      </c>
      <c r="D44" s="154">
        <v>2458431.9300000002</v>
      </c>
      <c r="E44" s="253">
        <f t="shared" si="1"/>
        <v>6.8671282960893865E-2</v>
      </c>
      <c r="F44" s="154">
        <v>2081990.1224999996</v>
      </c>
      <c r="G44" s="261">
        <f t="shared" si="2"/>
        <v>5.8156148673184346E-2</v>
      </c>
      <c r="H44" s="209">
        <f t="shared" si="3"/>
        <v>376441.80750000058</v>
      </c>
      <c r="I44" s="266">
        <f t="shared" si="4"/>
        <v>18.08086423810596</v>
      </c>
      <c r="J44" s="154">
        <v>2108732.1100000003</v>
      </c>
      <c r="K44" s="253">
        <f t="shared" si="5"/>
        <v>6.1568820729927018E-2</v>
      </c>
      <c r="L44" s="209">
        <f t="shared" si="7"/>
        <v>349699.81999999983</v>
      </c>
      <c r="M44" s="266">
        <f t="shared" si="0"/>
        <v>16.583416088826937</v>
      </c>
      <c r="BX44" s="161"/>
      <c r="BY44" s="161"/>
      <c r="BZ44" s="145"/>
      <c r="CA44" s="145"/>
      <c r="CB44" s="145"/>
      <c r="CC44" s="142"/>
    </row>
    <row r="45" spans="1:81" ht="13.5" customHeight="1">
      <c r="B45" s="80">
        <v>418</v>
      </c>
      <c r="C45" s="93" t="s">
        <v>84</v>
      </c>
      <c r="D45" s="154">
        <v>4797293.7699999996</v>
      </c>
      <c r="E45" s="253">
        <f t="shared" si="1"/>
        <v>0.13400261927374299</v>
      </c>
      <c r="F45" s="154">
        <v>5312900</v>
      </c>
      <c r="G45" s="261">
        <f t="shared" si="2"/>
        <v>0.1484050279329609</v>
      </c>
      <c r="H45" s="209">
        <f t="shared" si="3"/>
        <v>-515606.23000000045</v>
      </c>
      <c r="I45" s="266">
        <f t="shared" si="4"/>
        <v>-9.7047983210675994</v>
      </c>
      <c r="J45" s="154">
        <v>6092924.5500000007</v>
      </c>
      <c r="K45" s="253">
        <f t="shared" si="5"/>
        <v>0.17789560729927009</v>
      </c>
      <c r="L45" s="209">
        <f t="shared" si="7"/>
        <v>-1295630.7800000012</v>
      </c>
      <c r="M45" s="266">
        <f t="shared" si="0"/>
        <v>-21.264513771141338</v>
      </c>
      <c r="BX45" s="161"/>
      <c r="BY45" s="161"/>
      <c r="BZ45" s="145"/>
      <c r="CA45" s="145"/>
      <c r="CB45" s="145"/>
      <c r="CC45" s="142"/>
    </row>
    <row r="46" spans="1:81" ht="13.5" customHeight="1">
      <c r="B46" s="80">
        <v>419</v>
      </c>
      <c r="C46" s="93" t="s">
        <v>86</v>
      </c>
      <c r="D46" s="154">
        <v>5300081.7699999986</v>
      </c>
      <c r="E46" s="253">
        <f t="shared" si="1"/>
        <v>0.14804697681564241</v>
      </c>
      <c r="F46" s="154">
        <v>7474988.4299999988</v>
      </c>
      <c r="G46" s="261">
        <f t="shared" si="2"/>
        <v>0.20879855949720666</v>
      </c>
      <c r="H46" s="209">
        <f t="shared" si="3"/>
        <v>-2174906.66</v>
      </c>
      <c r="I46" s="266">
        <f t="shared" si="4"/>
        <v>-29.09578630612009</v>
      </c>
      <c r="J46" s="154">
        <v>4918128.6700000018</v>
      </c>
      <c r="K46" s="253">
        <f>+J45/$J$11*100</f>
        <v>0.17789560729927009</v>
      </c>
      <c r="L46" s="209">
        <f t="shared" si="7"/>
        <v>381953.09999999683</v>
      </c>
      <c r="M46" s="266">
        <f t="shared" si="0"/>
        <v>7.7662282878011126</v>
      </c>
      <c r="BX46" s="161"/>
      <c r="BY46" s="161"/>
      <c r="BZ46" s="145"/>
      <c r="CA46" s="145"/>
      <c r="CB46" s="145"/>
      <c r="CC46" s="142"/>
    </row>
    <row r="47" spans="1:81" ht="13.5" customHeight="1">
      <c r="B47" s="80">
        <v>441</v>
      </c>
      <c r="C47" s="93" t="s">
        <v>130</v>
      </c>
      <c r="D47" s="154">
        <v>1992550.0500000026</v>
      </c>
      <c r="E47" s="256">
        <f t="shared" si="1"/>
        <v>5.5657822625698392E-2</v>
      </c>
      <c r="F47" s="154">
        <v>3462469.3024999998</v>
      </c>
      <c r="G47" s="261">
        <f t="shared" si="2"/>
        <v>9.6717019622905021E-2</v>
      </c>
      <c r="H47" s="209">
        <f t="shared" si="3"/>
        <v>-1469919.2524999972</v>
      </c>
      <c r="I47" s="268">
        <f t="shared" si="4"/>
        <v>-42.45291796345095</v>
      </c>
      <c r="J47" s="154">
        <v>805986.06999999983</v>
      </c>
      <c r="K47" s="256">
        <f>+J46/$J$11*100</f>
        <v>0.14359499766423361</v>
      </c>
      <c r="L47" s="209">
        <f t="shared" si="7"/>
        <v>1186563.9800000028</v>
      </c>
      <c r="M47" s="268">
        <f t="shared" si="0"/>
        <v>147.21891905650466</v>
      </c>
      <c r="BX47" s="161"/>
      <c r="BY47" s="161"/>
      <c r="BZ47" s="145"/>
      <c r="CA47" s="145"/>
      <c r="CB47" s="145"/>
      <c r="CC47" s="142"/>
    </row>
    <row r="48" spans="1:81" ht="13.5" customHeight="1">
      <c r="A48" s="80">
        <v>42</v>
      </c>
      <c r="B48" s="80" t="s">
        <v>428</v>
      </c>
      <c r="C48" s="93" t="s">
        <v>87</v>
      </c>
      <c r="D48" s="154">
        <f>+SUM(D49:D53)</f>
        <v>120719934.25000001</v>
      </c>
      <c r="E48" s="253">
        <f t="shared" si="1"/>
        <v>3.372065202513967</v>
      </c>
      <c r="F48" s="154">
        <f>+SUM(F49:F53)</f>
        <v>126211381.25</v>
      </c>
      <c r="G48" s="261">
        <f t="shared" si="2"/>
        <v>3.5254575768156422</v>
      </c>
      <c r="H48" s="207">
        <f t="shared" si="3"/>
        <v>-5491446.9999999851</v>
      </c>
      <c r="I48" s="266">
        <f t="shared" si="4"/>
        <v>-4.3509919197560265</v>
      </c>
      <c r="J48" s="154">
        <f>+SUM(J49:J53)</f>
        <v>122890971.77999997</v>
      </c>
      <c r="K48" s="253">
        <f t="shared" si="5"/>
        <v>3.588057570218977</v>
      </c>
      <c r="L48" s="207">
        <f t="shared" si="7"/>
        <v>-2171037.5299999565</v>
      </c>
      <c r="M48" s="266">
        <f t="shared" si="0"/>
        <v>-1.7666371243988124</v>
      </c>
      <c r="BX48" s="161"/>
      <c r="BY48" s="161"/>
      <c r="BZ48" s="145"/>
      <c r="CA48" s="145"/>
      <c r="CB48" s="145"/>
      <c r="CC48" s="142"/>
    </row>
    <row r="49" spans="1:81" ht="13.5" customHeight="1">
      <c r="B49" s="80">
        <v>421</v>
      </c>
      <c r="C49" s="97" t="s">
        <v>89</v>
      </c>
      <c r="D49" s="156">
        <v>15108426.169999998</v>
      </c>
      <c r="E49" s="254">
        <f t="shared" si="1"/>
        <v>0.42202307737430161</v>
      </c>
      <c r="F49" s="156">
        <v>15132656.25</v>
      </c>
      <c r="G49" s="262">
        <f t="shared" si="2"/>
        <v>0.42269989525139662</v>
      </c>
      <c r="H49" s="210">
        <f t="shared" si="3"/>
        <v>-24230.080000001937</v>
      </c>
      <c r="I49" s="267">
        <f t="shared" si="4"/>
        <v>-0.16011782465488977</v>
      </c>
      <c r="J49" s="156">
        <v>15391718.199999999</v>
      </c>
      <c r="K49" s="254">
        <f t="shared" si="5"/>
        <v>0.44939323211678828</v>
      </c>
      <c r="L49" s="210">
        <f t="shared" si="7"/>
        <v>-283292.03000000119</v>
      </c>
      <c r="M49" s="267">
        <f t="shared" si="0"/>
        <v>-1.840548445072244</v>
      </c>
      <c r="BX49" s="161"/>
      <c r="BY49" s="161"/>
      <c r="BZ49" s="145"/>
      <c r="CA49" s="145"/>
      <c r="CB49" s="145"/>
      <c r="CC49" s="142"/>
    </row>
    <row r="50" spans="1:81" ht="13.5" customHeight="1">
      <c r="B50" s="80">
        <v>422</v>
      </c>
      <c r="C50" s="97" t="s">
        <v>91</v>
      </c>
      <c r="D50" s="156">
        <v>2934225.42</v>
      </c>
      <c r="E50" s="254">
        <f t="shared" si="1"/>
        <v>8.1961603910614522E-2</v>
      </c>
      <c r="F50" s="156">
        <v>4860000</v>
      </c>
      <c r="G50" s="262">
        <f t="shared" si="2"/>
        <v>0.13575418994413407</v>
      </c>
      <c r="H50" s="210">
        <f t="shared" si="3"/>
        <v>-1925774.58</v>
      </c>
      <c r="I50" s="267">
        <f t="shared" si="4"/>
        <v>-39.624991358024694</v>
      </c>
      <c r="J50" s="156">
        <v>6349338.0499999998</v>
      </c>
      <c r="K50" s="254">
        <f t="shared" si="5"/>
        <v>0.18538213284671534</v>
      </c>
      <c r="L50" s="210">
        <f t="shared" si="7"/>
        <v>-3415112.63</v>
      </c>
      <c r="M50" s="267">
        <f t="shared" si="0"/>
        <v>-53.786908227386007</v>
      </c>
      <c r="BX50" s="161"/>
      <c r="BY50" s="161"/>
      <c r="BZ50" s="145"/>
      <c r="CA50" s="145"/>
      <c r="CB50" s="145"/>
      <c r="CC50" s="142"/>
    </row>
    <row r="51" spans="1:81" ht="13.5" customHeight="1">
      <c r="B51" s="80">
        <v>423</v>
      </c>
      <c r="C51" s="97" t="s">
        <v>93</v>
      </c>
      <c r="D51" s="156">
        <v>96402848.26000002</v>
      </c>
      <c r="E51" s="254">
        <f t="shared" si="1"/>
        <v>2.6928169905027941</v>
      </c>
      <c r="F51" s="156">
        <v>100613725</v>
      </c>
      <c r="G51" s="262">
        <f t="shared" si="2"/>
        <v>2.810439245810056</v>
      </c>
      <c r="H51" s="210">
        <f t="shared" si="3"/>
        <v>-4210876.7399999797</v>
      </c>
      <c r="I51" s="267">
        <f t="shared" si="4"/>
        <v>-4.1851911754583995</v>
      </c>
      <c r="J51" s="156">
        <v>96392658.899999976</v>
      </c>
      <c r="K51" s="254">
        <f t="shared" si="5"/>
        <v>2.8143842014598532</v>
      </c>
      <c r="L51" s="210">
        <f t="shared" si="7"/>
        <v>10189.360000044107</v>
      </c>
      <c r="M51" s="267">
        <f t="shared" si="0"/>
        <v>1.0570680502368646E-2</v>
      </c>
      <c r="BX51" s="161"/>
      <c r="BY51" s="161"/>
      <c r="BZ51" s="145"/>
      <c r="CA51" s="145"/>
      <c r="CB51" s="145"/>
      <c r="CC51" s="142"/>
    </row>
    <row r="52" spans="1:81" ht="13.5" customHeight="1">
      <c r="B52" s="80">
        <v>424</v>
      </c>
      <c r="C52" s="97" t="s">
        <v>95</v>
      </c>
      <c r="D52" s="156">
        <v>4373243.58</v>
      </c>
      <c r="E52" s="254">
        <f t="shared" si="1"/>
        <v>0.12215764189944134</v>
      </c>
      <c r="F52" s="156">
        <v>3750000</v>
      </c>
      <c r="G52" s="262">
        <f t="shared" si="2"/>
        <v>0.10474860335195531</v>
      </c>
      <c r="H52" s="210">
        <f t="shared" si="3"/>
        <v>623243.58000000007</v>
      </c>
      <c r="I52" s="267">
        <f t="shared" si="4"/>
        <v>16.619828799999993</v>
      </c>
      <c r="J52" s="156">
        <v>3198763.06</v>
      </c>
      <c r="K52" s="254">
        <f t="shared" si="5"/>
        <v>9.3394541897810227E-2</v>
      </c>
      <c r="L52" s="210">
        <f t="shared" si="7"/>
        <v>1174480.52</v>
      </c>
      <c r="M52" s="267">
        <f t="shared" si="0"/>
        <v>36.716708864332077</v>
      </c>
      <c r="BX52" s="161"/>
      <c r="BY52" s="161"/>
      <c r="BZ52" s="145"/>
      <c r="CA52" s="145"/>
      <c r="CB52" s="145"/>
      <c r="CC52" s="142"/>
    </row>
    <row r="53" spans="1:81" ht="13.5" customHeight="1">
      <c r="B53" s="80">
        <v>425</v>
      </c>
      <c r="C53" s="97" t="s">
        <v>432</v>
      </c>
      <c r="D53" s="156">
        <v>1901190.8199999998</v>
      </c>
      <c r="E53" s="254">
        <f t="shared" si="1"/>
        <v>5.3105888826815634E-2</v>
      </c>
      <c r="F53" s="156">
        <v>1854999.9999999998</v>
      </c>
      <c r="G53" s="262">
        <f t="shared" si="2"/>
        <v>5.1815642458100553E-2</v>
      </c>
      <c r="H53" s="210">
        <f t="shared" si="3"/>
        <v>46190.820000000065</v>
      </c>
      <c r="I53" s="267">
        <f t="shared" si="4"/>
        <v>2.490071159029668</v>
      </c>
      <c r="J53" s="156">
        <v>1558493.5699999998</v>
      </c>
      <c r="K53" s="254">
        <f t="shared" si="5"/>
        <v>4.5503461897810217E-2</v>
      </c>
      <c r="L53" s="210">
        <f t="shared" si="7"/>
        <v>342697.25</v>
      </c>
      <c r="M53" s="267">
        <f t="shared" si="0"/>
        <v>21.989006345403155</v>
      </c>
      <c r="BX53" s="161"/>
      <c r="BY53" s="161"/>
      <c r="BZ53" s="145"/>
      <c r="CA53" s="145"/>
      <c r="CB53" s="145"/>
      <c r="CC53" s="142"/>
    </row>
    <row r="54" spans="1:81" ht="13.5" customHeight="1" thickBot="1">
      <c r="A54" s="80">
        <v>43</v>
      </c>
      <c r="B54" s="80">
        <v>431</v>
      </c>
      <c r="C54" s="93" t="s">
        <v>433</v>
      </c>
      <c r="D54" s="154">
        <v>29630726.720000021</v>
      </c>
      <c r="E54" s="253">
        <f t="shared" si="1"/>
        <v>0.82767393072625761</v>
      </c>
      <c r="F54" s="154">
        <v>32073674.155000001</v>
      </c>
      <c r="G54" s="261">
        <f t="shared" si="2"/>
        <v>0.89591268589385487</v>
      </c>
      <c r="H54" s="207">
        <f t="shared" si="3"/>
        <v>-2442947.43499998</v>
      </c>
      <c r="I54" s="266">
        <f t="shared" si="4"/>
        <v>-7.6166747320376658</v>
      </c>
      <c r="J54" s="154">
        <v>20341128.82</v>
      </c>
      <c r="K54" s="253">
        <f t="shared" si="5"/>
        <v>0.59390157138686128</v>
      </c>
      <c r="L54" s="207">
        <f t="shared" si="7"/>
        <v>9289597.9000000209</v>
      </c>
      <c r="M54" s="266">
        <f t="shared" si="0"/>
        <v>45.669038243670201</v>
      </c>
      <c r="BX54" s="161"/>
      <c r="BY54" s="161"/>
      <c r="BZ54" s="145"/>
      <c r="CA54" s="145"/>
      <c r="CB54" s="145"/>
      <c r="CC54" s="142"/>
    </row>
    <row r="55" spans="1:81" ht="13.5" customHeight="1" thickTop="1" thickBot="1">
      <c r="B55" s="80">
        <v>44</v>
      </c>
      <c r="C55" s="90" t="s">
        <v>131</v>
      </c>
      <c r="D55" s="162">
        <v>16680190.149999997</v>
      </c>
      <c r="E55" s="255">
        <f t="shared" si="1"/>
        <v>0.46592709916201108</v>
      </c>
      <c r="F55" s="162">
        <v>71174269.25</v>
      </c>
      <c r="G55" s="260">
        <f t="shared" si="2"/>
        <v>1.9881080796089385</v>
      </c>
      <c r="H55" s="162">
        <f t="shared" si="3"/>
        <v>-54494079.100000001</v>
      </c>
      <c r="I55" s="255">
        <f t="shared" si="4"/>
        <v>-76.564297286410152</v>
      </c>
      <c r="J55" s="162">
        <v>8568204.790000001</v>
      </c>
      <c r="K55" s="255">
        <f t="shared" si="5"/>
        <v>0.25016656321167885</v>
      </c>
      <c r="L55" s="162">
        <f>+D55-J55</f>
        <v>8111985.3599999957</v>
      </c>
      <c r="M55" s="255">
        <f t="shared" si="0"/>
        <v>94.675437373620412</v>
      </c>
      <c r="BX55" s="161"/>
      <c r="BY55" s="161"/>
      <c r="BZ55" s="145"/>
      <c r="CA55" s="145"/>
      <c r="CB55" s="145"/>
      <c r="CC55" s="142"/>
    </row>
    <row r="56" spans="1:81" ht="13.5" customHeight="1" thickTop="1">
      <c r="B56" s="80">
        <v>451</v>
      </c>
      <c r="C56" s="93" t="s">
        <v>111</v>
      </c>
      <c r="D56" s="154">
        <v>316631.12</v>
      </c>
      <c r="E56" s="253">
        <f t="shared" si="1"/>
        <v>8.8444446927374298E-3</v>
      </c>
      <c r="F56" s="154">
        <v>562500</v>
      </c>
      <c r="G56" s="261">
        <f t="shared" si="2"/>
        <v>1.5712290502793297E-2</v>
      </c>
      <c r="H56" s="209">
        <f t="shared" si="3"/>
        <v>-245868.88</v>
      </c>
      <c r="I56" s="266">
        <f t="shared" si="4"/>
        <v>-43.710023111111106</v>
      </c>
      <c r="J56" s="154">
        <v>539845.79</v>
      </c>
      <c r="K56" s="253">
        <f t="shared" si="5"/>
        <v>1.5761920875912411E-2</v>
      </c>
      <c r="L56" s="154">
        <f t="shared" si="7"/>
        <v>-223214.67000000004</v>
      </c>
      <c r="M56" s="266">
        <f t="shared" si="0"/>
        <v>-41.347857876227955</v>
      </c>
      <c r="BX56" s="161"/>
      <c r="BY56" s="161"/>
      <c r="BZ56" s="145"/>
      <c r="CA56" s="145"/>
      <c r="CB56" s="145"/>
      <c r="CC56" s="142"/>
    </row>
    <row r="57" spans="1:81" ht="13.5" customHeight="1" thickBot="1">
      <c r="B57" s="80">
        <v>47</v>
      </c>
      <c r="C57" s="93" t="s">
        <v>118</v>
      </c>
      <c r="D57" s="154">
        <v>851726.67</v>
      </c>
      <c r="E57" s="253">
        <f t="shared" si="1"/>
        <v>2.3791247765363132E-2</v>
      </c>
      <c r="F57" s="154">
        <v>3263790.8574999999</v>
      </c>
      <c r="G57" s="261">
        <f t="shared" si="2"/>
        <v>9.1167342388268152E-2</v>
      </c>
      <c r="H57" s="209">
        <f t="shared" si="3"/>
        <v>-2412064.1875</v>
      </c>
      <c r="I57" s="266">
        <f t="shared" si="4"/>
        <v>-73.903760774291584</v>
      </c>
      <c r="J57" s="154">
        <v>4271466.6399999997</v>
      </c>
      <c r="K57" s="253">
        <f t="shared" si="5"/>
        <v>0.12471435445255473</v>
      </c>
      <c r="L57" s="154">
        <f t="shared" si="7"/>
        <v>-3419739.9699999997</v>
      </c>
      <c r="M57" s="266">
        <f t="shared" si="0"/>
        <v>-80.060088447746836</v>
      </c>
      <c r="BX57" s="161"/>
      <c r="BY57" s="161"/>
      <c r="BZ57" s="145"/>
      <c r="CA57" s="145"/>
      <c r="CB57" s="145"/>
      <c r="CC57" s="142"/>
    </row>
    <row r="58" spans="1:81" ht="13.5" customHeight="1" thickTop="1" thickBot="1">
      <c r="B58" s="80">
        <v>462</v>
      </c>
      <c r="C58" s="148" t="s">
        <v>113</v>
      </c>
      <c r="D58" s="163">
        <v>0</v>
      </c>
      <c r="E58" s="257">
        <f t="shared" si="1"/>
        <v>0</v>
      </c>
      <c r="F58" s="163">
        <v>0</v>
      </c>
      <c r="G58" s="263">
        <f t="shared" si="2"/>
        <v>0</v>
      </c>
      <c r="H58" s="211">
        <f t="shared" si="3"/>
        <v>0</v>
      </c>
      <c r="I58" s="269" t="str">
        <f t="shared" si="4"/>
        <v>...</v>
      </c>
      <c r="J58" s="163">
        <v>9682767.0700000003</v>
      </c>
      <c r="K58" s="257">
        <f t="shared" si="5"/>
        <v>0.28270852759124088</v>
      </c>
      <c r="L58" s="163">
        <f t="shared" si="7"/>
        <v>-9682767.0700000003</v>
      </c>
      <c r="M58" s="269">
        <f>+IF(ISNUMBER(D58/J58*100-100),D58/J58*100-100,"...")</f>
        <v>-100</v>
      </c>
      <c r="BX58" s="161"/>
      <c r="BY58" s="161"/>
      <c r="BZ58" s="145"/>
      <c r="CA58" s="145"/>
      <c r="CB58" s="145"/>
      <c r="CC58" s="142"/>
    </row>
    <row r="59" spans="1:81" ht="13.5" customHeight="1" thickTop="1" thickBot="1">
      <c r="B59" s="80" t="s">
        <v>456</v>
      </c>
      <c r="C59" s="217" t="s">
        <v>455</v>
      </c>
      <c r="D59" s="218">
        <v>5445923.8799999999</v>
      </c>
      <c r="E59" s="258">
        <f t="shared" si="1"/>
        <v>0.15212077877094971</v>
      </c>
      <c r="F59" s="218">
        <v>0</v>
      </c>
      <c r="G59" s="264">
        <f t="shared" si="2"/>
        <v>0</v>
      </c>
      <c r="H59" s="219">
        <f>+D59-F59</f>
        <v>5445923.8799999999</v>
      </c>
      <c r="I59" s="270" t="str">
        <f>+IF(ISNUMBER(D59/F59*100-100),D59/F59*100-100,"...")</f>
        <v>...</v>
      </c>
      <c r="J59" s="218">
        <v>7005628.839999998</v>
      </c>
      <c r="K59" s="258">
        <f>+J59/$J$11*100</f>
        <v>0.20454390773722622</v>
      </c>
      <c r="L59" s="219">
        <f>+D59-J59</f>
        <v>-1559704.9599999981</v>
      </c>
      <c r="M59" s="269">
        <f t="shared" ref="M59:M72" si="8">+IF(ISNUMBER(H59/J59*100-100),H59/J59*100-100,"...")</f>
        <v>-22.263596825092407</v>
      </c>
      <c r="BX59" s="161"/>
      <c r="BY59" s="161"/>
      <c r="BZ59" s="145"/>
      <c r="CA59" s="145"/>
      <c r="CB59" s="145"/>
      <c r="CC59" s="142"/>
    </row>
    <row r="60" spans="1:81" ht="13.5" customHeight="1" thickTop="1" thickBot="1">
      <c r="B60" s="80">
        <v>990</v>
      </c>
      <c r="C60" s="201" t="s">
        <v>152</v>
      </c>
      <c r="D60" s="154">
        <v>0</v>
      </c>
      <c r="E60" s="253">
        <f t="shared" si="1"/>
        <v>0</v>
      </c>
      <c r="F60" s="154">
        <v>0</v>
      </c>
      <c r="G60" s="261">
        <f t="shared" si="2"/>
        <v>0</v>
      </c>
      <c r="H60" s="209">
        <f t="shared" si="3"/>
        <v>0</v>
      </c>
      <c r="I60" s="271" t="str">
        <f t="shared" si="4"/>
        <v>...</v>
      </c>
      <c r="J60" s="154">
        <v>0</v>
      </c>
      <c r="K60" s="253">
        <f t="shared" si="5"/>
        <v>0</v>
      </c>
      <c r="L60" s="154">
        <f t="shared" si="7"/>
        <v>0</v>
      </c>
      <c r="M60" s="269" t="str">
        <f t="shared" si="8"/>
        <v>...</v>
      </c>
      <c r="BX60" s="161"/>
      <c r="BY60" s="161"/>
      <c r="BZ60" s="145"/>
      <c r="CA60" s="145"/>
      <c r="CB60" s="145"/>
      <c r="CC60" s="142"/>
    </row>
    <row r="61" spans="1:81" ht="13.5" customHeight="1" thickTop="1" thickBot="1">
      <c r="C61" s="90" t="s">
        <v>451</v>
      </c>
      <c r="D61" s="91">
        <f>+D16-D35</f>
        <v>-51500973.240000039</v>
      </c>
      <c r="E61" s="255">
        <f t="shared" si="1"/>
        <v>-1.4385746715083809</v>
      </c>
      <c r="F61" s="91">
        <f>+F16-F35</f>
        <v>-139128848.57332864</v>
      </c>
      <c r="G61" s="260">
        <f t="shared" si="2"/>
        <v>-3.8862806864058284</v>
      </c>
      <c r="H61" s="91">
        <f t="shared" si="3"/>
        <v>87627875.333328605</v>
      </c>
      <c r="I61" s="255">
        <f t="shared" si="4"/>
        <v>-62.983253460294279</v>
      </c>
      <c r="J61" s="91">
        <f>+J16-J35-J60</f>
        <v>-52515984.179999977</v>
      </c>
      <c r="K61" s="255">
        <f t="shared" si="5"/>
        <v>-1.5333134067153278</v>
      </c>
      <c r="L61" s="91">
        <f t="shared" si="7"/>
        <v>1015010.939999938</v>
      </c>
      <c r="M61" s="255">
        <f t="shared" si="8"/>
        <v>-266.85943661073105</v>
      </c>
      <c r="BX61" s="161"/>
      <c r="BY61" s="161"/>
      <c r="BZ61" s="145"/>
      <c r="CA61" s="145"/>
      <c r="CB61" s="145"/>
      <c r="CC61" s="142"/>
    </row>
    <row r="62" spans="1:81" ht="13.5" customHeight="1" thickTop="1" thickBot="1">
      <c r="C62" s="90" t="s">
        <v>458</v>
      </c>
      <c r="D62" s="91">
        <f>+D61+D43</f>
        <v>-41281580.070000038</v>
      </c>
      <c r="E62" s="255">
        <f t="shared" si="1"/>
        <v>-1.1531167617318447</v>
      </c>
      <c r="F62" s="91">
        <f>+F61+F43</f>
        <v>-120187377.58082864</v>
      </c>
      <c r="G62" s="260">
        <f t="shared" si="2"/>
        <v>-3.3571893179002417</v>
      </c>
      <c r="H62" s="91">
        <f t="shared" si="3"/>
        <v>78905797.510828599</v>
      </c>
      <c r="I62" s="255">
        <f t="shared" si="4"/>
        <v>-65.652316490359169</v>
      </c>
      <c r="J62" s="91">
        <f>+J61+J43</f>
        <v>-44469460.439999975</v>
      </c>
      <c r="K62" s="255">
        <f t="shared" si="5"/>
        <v>-1.2983784070072986</v>
      </c>
      <c r="L62" s="91">
        <f t="shared" si="7"/>
        <v>3187880.3699999377</v>
      </c>
      <c r="M62" s="255">
        <f t="shared" si="8"/>
        <v>-277.43817156785957</v>
      </c>
      <c r="BX62" s="161"/>
      <c r="BY62" s="161"/>
      <c r="BZ62" s="145"/>
      <c r="CA62" s="145"/>
      <c r="CB62" s="145"/>
      <c r="CC62" s="142"/>
    </row>
    <row r="63" spans="1:81" ht="13.5" customHeight="1" thickTop="1" thickBot="1">
      <c r="C63" s="90" t="s">
        <v>459</v>
      </c>
      <c r="D63" s="91">
        <f>+SUM(D64:D66)</f>
        <v>49792620.609999999</v>
      </c>
      <c r="E63" s="255">
        <f t="shared" si="1"/>
        <v>1.3908553243016759</v>
      </c>
      <c r="F63" s="91">
        <f>+SUM(F64:F66)</f>
        <v>99573021.092500001</v>
      </c>
      <c r="G63" s="260">
        <f t="shared" si="2"/>
        <v>2.7813693042597767</v>
      </c>
      <c r="H63" s="91">
        <f t="shared" si="3"/>
        <v>-49780400.482500002</v>
      </c>
      <c r="I63" s="255">
        <f t="shared" si="4"/>
        <v>-49.993863735695712</v>
      </c>
      <c r="J63" s="91">
        <f>+SUM(J64:J66)</f>
        <v>14316213.77</v>
      </c>
      <c r="K63" s="255">
        <f t="shared" si="5"/>
        <v>0.41799164291970803</v>
      </c>
      <c r="L63" s="91">
        <f t="shared" si="7"/>
        <v>35476406.840000004</v>
      </c>
      <c r="M63" s="255">
        <f t="shared" si="8"/>
        <v>-447.72043280616651</v>
      </c>
      <c r="BX63" s="161"/>
      <c r="BY63" s="161"/>
      <c r="BZ63" s="145"/>
      <c r="CA63" s="145"/>
      <c r="CB63" s="145"/>
      <c r="CC63" s="142"/>
    </row>
    <row r="64" spans="1:81" ht="13.5" customHeight="1" thickTop="1">
      <c r="B64" s="80">
        <v>4611</v>
      </c>
      <c r="C64" s="97" t="s">
        <v>460</v>
      </c>
      <c r="D64" s="156">
        <v>20230236.120000001</v>
      </c>
      <c r="E64" s="254">
        <f t="shared" si="1"/>
        <v>0.56509039441340791</v>
      </c>
      <c r="F64" s="156">
        <v>11677530.48</v>
      </c>
      <c r="G64" s="262">
        <f t="shared" si="2"/>
        <v>0.32618800223463684</v>
      </c>
      <c r="H64" s="210">
        <f t="shared" si="3"/>
        <v>8552705.6400000006</v>
      </c>
      <c r="I64" s="267">
        <f t="shared" si="4"/>
        <v>73.240704913150438</v>
      </c>
      <c r="J64" s="156">
        <v>7395676.1499999994</v>
      </c>
      <c r="K64" s="254">
        <f t="shared" si="5"/>
        <v>0.21593215036496352</v>
      </c>
      <c r="L64" s="210">
        <f t="shared" si="7"/>
        <v>12834559.970000003</v>
      </c>
      <c r="M64" s="267">
        <f t="shared" si="8"/>
        <v>15.644674895614543</v>
      </c>
      <c r="BX64" s="161"/>
      <c r="BY64" s="161"/>
      <c r="BZ64" s="145"/>
      <c r="CA64" s="145"/>
      <c r="CB64" s="145"/>
      <c r="CC64" s="142"/>
    </row>
    <row r="65" spans="2:81" ht="13.5" customHeight="1">
      <c r="B65" s="80">
        <v>4612</v>
      </c>
      <c r="C65" s="97" t="s">
        <v>461</v>
      </c>
      <c r="D65" s="156">
        <v>29562384.490000002</v>
      </c>
      <c r="E65" s="254">
        <f t="shared" si="1"/>
        <v>0.82576492988826811</v>
      </c>
      <c r="F65" s="156">
        <v>79442720.612499997</v>
      </c>
      <c r="G65" s="262">
        <f t="shared" si="2"/>
        <v>2.2190704081703911</v>
      </c>
      <c r="H65" s="210">
        <f t="shared" si="3"/>
        <v>-49880336.122499995</v>
      </c>
      <c r="I65" s="267">
        <f t="shared" si="4"/>
        <v>-62.787799483608723</v>
      </c>
      <c r="J65" s="156">
        <v>6920537.6199999992</v>
      </c>
      <c r="K65" s="254">
        <f t="shared" si="5"/>
        <v>0.20205949255474454</v>
      </c>
      <c r="L65" s="210">
        <f t="shared" si="7"/>
        <v>22641846.870000005</v>
      </c>
      <c r="M65" s="267">
        <f t="shared" si="8"/>
        <v>-820.75810957733074</v>
      </c>
      <c r="BX65" s="161"/>
      <c r="BY65" s="161"/>
      <c r="BZ65" s="145"/>
      <c r="CA65" s="145"/>
      <c r="CB65" s="145"/>
      <c r="CC65" s="142"/>
    </row>
    <row r="66" spans="2:81" ht="13.5" customHeight="1" thickBot="1">
      <c r="B66" s="80" t="s">
        <v>457</v>
      </c>
      <c r="C66" s="97" t="s">
        <v>455</v>
      </c>
      <c r="D66" s="156">
        <v>0</v>
      </c>
      <c r="E66" s="254">
        <f t="shared" si="1"/>
        <v>0</v>
      </c>
      <c r="F66" s="156">
        <v>8452770</v>
      </c>
      <c r="G66" s="262">
        <f t="shared" si="2"/>
        <v>0.23611089385474859</v>
      </c>
      <c r="H66" s="210"/>
      <c r="I66" s="267"/>
      <c r="J66" s="156">
        <v>0</v>
      </c>
      <c r="K66" s="254"/>
      <c r="L66" s="210"/>
      <c r="M66" s="267" t="str">
        <f t="shared" si="8"/>
        <v>...</v>
      </c>
      <c r="BX66" s="161"/>
      <c r="BY66" s="161"/>
      <c r="BZ66" s="145"/>
      <c r="CA66" s="145"/>
      <c r="CB66" s="145"/>
      <c r="CC66" s="142"/>
    </row>
    <row r="67" spans="2:81" ht="13.5" customHeight="1" thickTop="1" thickBot="1">
      <c r="C67" s="90" t="s">
        <v>141</v>
      </c>
      <c r="D67" s="91">
        <f>+D61-D63</f>
        <v>-101293593.85000004</v>
      </c>
      <c r="E67" s="255">
        <f t="shared" si="1"/>
        <v>-2.8294299958100568</v>
      </c>
      <c r="F67" s="91">
        <f>+F61-F63</f>
        <v>-238701869.66582865</v>
      </c>
      <c r="G67" s="260">
        <f t="shared" si="2"/>
        <v>-6.6676499906656046</v>
      </c>
      <c r="H67" s="91">
        <f t="shared" ref="H67:H72" si="9">+D67-F67</f>
        <v>137408275.81582862</v>
      </c>
      <c r="I67" s="255">
        <f t="shared" ref="I67:I72" si="10">+IF(ISNUMBER(D67/F67*100-100),D67/F67*100-100,"...")</f>
        <v>-57.564809194076993</v>
      </c>
      <c r="J67" s="91">
        <f>+J61-J63</f>
        <v>-66832197.949999973</v>
      </c>
      <c r="K67" s="255">
        <f t="shared" ref="K67:K72" si="11">+J67/$J$11*100</f>
        <v>-1.9513050496350357</v>
      </c>
      <c r="L67" s="91">
        <f t="shared" si="7"/>
        <v>-34461395.900000066</v>
      </c>
      <c r="M67" s="255">
        <f t="shared" si="8"/>
        <v>-305.60191050222477</v>
      </c>
      <c r="BX67" s="161"/>
      <c r="BY67" s="161"/>
      <c r="BZ67" s="145"/>
      <c r="CA67" s="145"/>
      <c r="CB67" s="145"/>
      <c r="CC67" s="142"/>
    </row>
    <row r="68" spans="2:81" ht="13.5" customHeight="1" thickTop="1" thickBot="1">
      <c r="C68" s="90" t="s">
        <v>121</v>
      </c>
      <c r="D68" s="91">
        <f>+SUM(D69:D72)</f>
        <v>101293593.85000002</v>
      </c>
      <c r="E68" s="255">
        <f t="shared" si="1"/>
        <v>2.8294299958100568</v>
      </c>
      <c r="F68" s="91">
        <f>+SUM(F69:F72)</f>
        <v>238701869.66582865</v>
      </c>
      <c r="G68" s="260">
        <f t="shared" si="2"/>
        <v>6.6676499906656046</v>
      </c>
      <c r="H68" s="91">
        <f t="shared" si="9"/>
        <v>-137408275.81582862</v>
      </c>
      <c r="I68" s="255">
        <f t="shared" si="10"/>
        <v>-57.564809194077</v>
      </c>
      <c r="J68" s="91">
        <f>+SUM(J69:J72)</f>
        <v>66832197.949999973</v>
      </c>
      <c r="K68" s="255">
        <f t="shared" si="11"/>
        <v>1.9513050496350357</v>
      </c>
      <c r="L68" s="91">
        <f t="shared" si="7"/>
        <v>34461395.900000051</v>
      </c>
      <c r="M68" s="255">
        <f t="shared" si="8"/>
        <v>-305.60191050222477</v>
      </c>
      <c r="BX68" s="161"/>
      <c r="BY68" s="161"/>
      <c r="BZ68" s="145"/>
      <c r="CA68" s="145"/>
      <c r="CB68" s="145"/>
      <c r="CC68" s="142"/>
    </row>
    <row r="69" spans="2:81" ht="13.5" customHeight="1" thickTop="1">
      <c r="B69" s="80">
        <v>7511</v>
      </c>
      <c r="C69" s="97" t="s">
        <v>462</v>
      </c>
      <c r="D69" s="156">
        <v>35395133.140000001</v>
      </c>
      <c r="E69" s="254">
        <f t="shared" si="1"/>
        <v>0.98869086983240217</v>
      </c>
      <c r="F69" s="156">
        <v>0</v>
      </c>
      <c r="G69" s="262">
        <f t="shared" si="2"/>
        <v>0</v>
      </c>
      <c r="H69" s="210">
        <f t="shared" si="9"/>
        <v>35395133.140000001</v>
      </c>
      <c r="I69" s="267" t="str">
        <f t="shared" si="10"/>
        <v>...</v>
      </c>
      <c r="J69" s="156">
        <v>77951610.030000001</v>
      </c>
      <c r="K69" s="254">
        <f t="shared" si="11"/>
        <v>2.2759594169343065</v>
      </c>
      <c r="L69" s="210">
        <f t="shared" si="7"/>
        <v>-42556476.890000001</v>
      </c>
      <c r="M69" s="267">
        <f t="shared" si="8"/>
        <v>-54.593454674793712</v>
      </c>
      <c r="O69" s="100"/>
      <c r="BX69" s="161"/>
      <c r="BY69" s="161"/>
      <c r="BZ69" s="145"/>
      <c r="CA69" s="145"/>
      <c r="CB69" s="145"/>
      <c r="CC69" s="142"/>
    </row>
    <row r="70" spans="2:81" ht="13.5" customHeight="1">
      <c r="B70" s="80">
        <v>7512</v>
      </c>
      <c r="C70" s="97" t="s">
        <v>463</v>
      </c>
      <c r="D70" s="156">
        <v>496890784.25</v>
      </c>
      <c r="E70" s="254">
        <f t="shared" si="1"/>
        <v>13.879630844972066</v>
      </c>
      <c r="F70" s="156">
        <v>158520409.70915428</v>
      </c>
      <c r="G70" s="262">
        <f t="shared" si="2"/>
        <v>4.4279444052836388</v>
      </c>
      <c r="H70" s="210">
        <f t="shared" si="9"/>
        <v>338370374.54084575</v>
      </c>
      <c r="I70" s="267">
        <f t="shared" si="10"/>
        <v>213.45539994608367</v>
      </c>
      <c r="J70" s="156">
        <v>713103.68</v>
      </c>
      <c r="K70" s="254">
        <f t="shared" si="11"/>
        <v>2.0820545401459854E-2</v>
      </c>
      <c r="L70" s="210">
        <f t="shared" si="7"/>
        <v>496177680.56999999</v>
      </c>
      <c r="M70" s="267">
        <f t="shared" si="8"/>
        <v>47350.37559487082</v>
      </c>
      <c r="O70" s="100"/>
      <c r="BX70" s="161"/>
      <c r="BY70" s="161"/>
      <c r="BZ70" s="145"/>
      <c r="CA70" s="145"/>
      <c r="CB70" s="145"/>
      <c r="CC70" s="142"/>
    </row>
    <row r="71" spans="2:81" ht="13.5" customHeight="1" thickBot="1">
      <c r="B71" s="80">
        <v>72</v>
      </c>
      <c r="C71" s="103" t="s">
        <v>402</v>
      </c>
      <c r="D71" s="156">
        <v>1449675.5500000003</v>
      </c>
      <c r="E71" s="259">
        <f t="shared" si="1"/>
        <v>4.0493730446927383E-2</v>
      </c>
      <c r="F71" s="156">
        <v>0</v>
      </c>
      <c r="G71" s="265">
        <f t="shared" si="2"/>
        <v>0</v>
      </c>
      <c r="H71" s="210">
        <f t="shared" si="9"/>
        <v>1449675.5500000003</v>
      </c>
      <c r="I71" s="267" t="str">
        <f t="shared" si="10"/>
        <v>...</v>
      </c>
      <c r="J71" s="156">
        <v>288223.71999999997</v>
      </c>
      <c r="K71" s="259">
        <f t="shared" si="11"/>
        <v>8.4152910948905105E-3</v>
      </c>
      <c r="L71" s="210">
        <f t="shared" si="7"/>
        <v>1161451.8300000003</v>
      </c>
      <c r="M71" s="267">
        <f t="shared" si="8"/>
        <v>402.96885696985674</v>
      </c>
      <c r="O71" s="100"/>
      <c r="BX71" s="161"/>
      <c r="BY71" s="161"/>
      <c r="BZ71" s="145"/>
      <c r="CA71" s="145"/>
      <c r="CB71" s="145"/>
      <c r="CC71" s="142"/>
    </row>
    <row r="72" spans="2:81" ht="13.5" customHeight="1" thickTop="1" thickBot="1">
      <c r="C72" s="148" t="s">
        <v>464</v>
      </c>
      <c r="D72" s="163">
        <f>-D67-SUM(D69:D71)</f>
        <v>-432441999.08999997</v>
      </c>
      <c r="E72" s="257">
        <f t="shared" si="1"/>
        <v>-12.079385449441341</v>
      </c>
      <c r="F72" s="163">
        <f>-F67-SUM(F69:F71)</f>
        <v>80181459.956674367</v>
      </c>
      <c r="G72" s="263">
        <f t="shared" si="2"/>
        <v>2.2397055853819658</v>
      </c>
      <c r="H72" s="208">
        <f t="shared" si="9"/>
        <v>-512623459.04667437</v>
      </c>
      <c r="I72" s="272">
        <f t="shared" si="10"/>
        <v>-639.32916577431706</v>
      </c>
      <c r="J72" s="163">
        <f>-J67-SUM(J69:J71)</f>
        <v>-12120739.480000034</v>
      </c>
      <c r="K72" s="257">
        <f t="shared" si="11"/>
        <v>-0.35389020379562142</v>
      </c>
      <c r="L72" s="208">
        <f t="shared" si="7"/>
        <v>-420321259.60999995</v>
      </c>
      <c r="M72" s="272">
        <f t="shared" si="8"/>
        <v>4129.3084501365174</v>
      </c>
      <c r="BX72" s="161"/>
      <c r="BY72" s="161"/>
      <c r="BZ72" s="145"/>
      <c r="CA72" s="145"/>
      <c r="CB72" s="145"/>
      <c r="CC72" s="142"/>
    </row>
    <row r="73" spans="2:81" s="189" customFormat="1" ht="13.5" thickTop="1">
      <c r="C73" s="190" t="str">
        <f>IF([1]MasterSheet!$A$1=1,[1]MasterSheet!C151,[1]MasterSheet!B151)</f>
        <v>Izvor: Ministarstvo finansija Crne Gore</v>
      </c>
      <c r="D73" s="195"/>
      <c r="E73" s="195"/>
      <c r="F73" s="194"/>
      <c r="G73" s="195"/>
      <c r="H73" s="195"/>
      <c r="I73" s="195"/>
      <c r="J73" s="194"/>
      <c r="K73" s="195"/>
      <c r="L73" s="195"/>
      <c r="M73" s="195"/>
    </row>
    <row r="74" spans="2:81" s="189" customFormat="1" ht="13.5" thickBot="1">
      <c r="C74" s="192"/>
      <c r="D74" s="191"/>
      <c r="E74" s="191"/>
      <c r="F74" s="196"/>
      <c r="G74" s="191"/>
      <c r="H74" s="191"/>
      <c r="I74" s="191"/>
      <c r="J74" s="196"/>
      <c r="K74" s="200"/>
      <c r="L74" s="191"/>
      <c r="M74" s="191"/>
    </row>
    <row r="75" spans="2:81" s="189" customFormat="1" ht="14" thickTop="1" thickBot="1">
      <c r="D75" s="163"/>
      <c r="E75" s="191"/>
      <c r="F75" s="199"/>
      <c r="G75" s="191"/>
      <c r="H75" s="191"/>
      <c r="I75" s="191"/>
      <c r="J75" s="199"/>
      <c r="K75" s="191"/>
      <c r="L75" s="191"/>
      <c r="M75" s="191"/>
    </row>
    <row r="76" spans="2:81" s="189" customFormat="1" ht="13.5" thickTop="1">
      <c r="F76" s="191"/>
      <c r="G76" s="191"/>
      <c r="H76" s="191"/>
      <c r="I76" s="191"/>
      <c r="J76" s="191"/>
      <c r="K76" s="191"/>
      <c r="L76" s="191"/>
      <c r="M76" s="191"/>
    </row>
    <row r="77" spans="2:81" s="189" customFormat="1">
      <c r="C77" s="193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F92"/>
  <sheetViews>
    <sheetView topLeftCell="B1" zoomScale="85" zoomScaleNormal="85" workbookViewId="0">
      <selection activeCell="G21" sqref="G21"/>
    </sheetView>
  </sheetViews>
  <sheetFormatPr defaultColWidth="9.08984375" defaultRowHeight="13"/>
  <cols>
    <col min="1" max="2" width="9.08984375" style="80" customWidth="1"/>
    <col min="3" max="3" width="55.90625" style="80" bestFit="1" customWidth="1"/>
    <col min="4" max="13" width="7.6328125" style="80" customWidth="1"/>
    <col min="14" max="14" width="6.90625" style="80" customWidth="1"/>
    <col min="15" max="76" width="9.08984375" style="80" customWidth="1"/>
    <col min="77" max="77" width="9.08984375" style="80"/>
    <col min="78" max="78" width="15.453125" style="80" customWidth="1"/>
    <col min="79" max="79" width="12.6328125" style="80" customWidth="1"/>
    <col min="80" max="80" width="11.90625" style="80" customWidth="1"/>
    <col min="81" max="16384" width="9.0898437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51" t="str">
        <f>+'Cental Budget'!C11</f>
        <v>BDP (u mil. €)</v>
      </c>
      <c r="D11" s="331">
        <f>+'Cental Budget'!D11:G11</f>
        <v>3580000000</v>
      </c>
      <c r="E11" s="332"/>
      <c r="F11" s="332"/>
      <c r="G11" s="333"/>
      <c r="H11" s="326"/>
      <c r="I11" s="327"/>
      <c r="J11" s="328">
        <f>+'Cental Budget'!J11:K11</f>
        <v>3425000000</v>
      </c>
      <c r="K11" s="329" t="e">
        <f>+'Cental Budget'!#REF!</f>
        <v>#REF!</v>
      </c>
      <c r="L11" s="326"/>
      <c r="M11" s="330"/>
      <c r="N11" s="20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34" t="s">
        <v>468</v>
      </c>
      <c r="E13" s="334"/>
      <c r="F13" s="86"/>
      <c r="G13" s="86"/>
      <c r="H13" s="86"/>
      <c r="I13" s="86"/>
      <c r="J13" s="334" t="s">
        <v>466</v>
      </c>
      <c r="K13" s="334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22" t="s">
        <v>259</v>
      </c>
      <c r="D14" s="324" t="s">
        <v>469</v>
      </c>
      <c r="E14" s="325"/>
      <c r="F14" s="324" t="s">
        <v>472</v>
      </c>
      <c r="G14" s="325"/>
      <c r="H14" s="324" t="str">
        <f>+'Cental Budget'!H14:I14</f>
        <v>Odstupanje</v>
      </c>
      <c r="I14" s="325"/>
      <c r="J14" s="324" t="s">
        <v>446</v>
      </c>
      <c r="K14" s="325"/>
      <c r="L14" s="324" t="str">
        <f>+H14</f>
        <v>Odstupanje</v>
      </c>
      <c r="M14" s="325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</row>
    <row r="15" spans="2:76" ht="15" customHeight="1" thickBot="1">
      <c r="C15" s="323" t="str">
        <f>IF(MasterSheet!$A$1=1,MasterSheet!B71,MasterSheet!B70)</f>
        <v>Budžet Crne Gore</v>
      </c>
      <c r="D15" s="152" t="str">
        <f>IF(MasterSheet!$A$1=1,MasterSheet!C71,MasterSheet!C70)</f>
        <v>mil. €</v>
      </c>
      <c r="E15" s="159" t="str">
        <f>IF(MasterSheet!$A$1=1,MasterSheet!D71,MasterSheet!D70)</f>
        <v>% BDP</v>
      </c>
      <c r="F15" s="152" t="str">
        <f>IF(MasterSheet!$A$1=1,MasterSheet!E71,MasterSheet!E70)</f>
        <v>mil. €</v>
      </c>
      <c r="G15" s="159" t="str">
        <f>IF(MasterSheet!$A$1=1,MasterSheet!F71,MasterSheet!F70)</f>
        <v>% BDP</v>
      </c>
      <c r="H15" s="152" t="str">
        <f>IF(MasterSheet!$A$1=1,MasterSheet!G71,MasterSheet!G70)</f>
        <v>mil. €</v>
      </c>
      <c r="I15" s="159" t="s">
        <v>442</v>
      </c>
      <c r="J15" s="152" t="str">
        <f>IF(MasterSheet!$A$1=1,MasterSheet!I71,MasterSheet!I70)</f>
        <v>mil. €</v>
      </c>
      <c r="K15" s="159" t="str">
        <f>IF(MasterSheet!$A$1=1,MasterSheet!J71,MasterSheet!J70)</f>
        <v>% BDP</v>
      </c>
      <c r="L15" s="152" t="str">
        <f>IF(MasterSheet!$A$1=1,MasterSheet!K71,MasterSheet!K70)</f>
        <v>mil. €</v>
      </c>
      <c r="M15" s="159" t="s">
        <v>442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</row>
    <row r="16" spans="2:76" ht="15" customHeight="1" thickTop="1" thickBot="1">
      <c r="B16" s="80">
        <v>7</v>
      </c>
      <c r="C16" s="153" t="str">
        <f>IF(MasterSheet!$A$1=1,MasterSheet!C72,MasterSheet!B72)</f>
        <v>Izvorni prihodi</v>
      </c>
      <c r="D16" s="221">
        <f>+D17+D21+D27+D33+D38+D39</f>
        <v>52917643.859999999</v>
      </c>
      <c r="E16" s="273">
        <f>+D16/$D$11*100</f>
        <v>1.4781464765363128</v>
      </c>
      <c r="F16" s="221">
        <f>+F17+F21+F27+F33+F38+F39</f>
        <v>47905872.16066137</v>
      </c>
      <c r="G16" s="273">
        <f t="shared" ref="G16:G75" si="0">+F16/$D$11*100</f>
        <v>1.3381528536497589</v>
      </c>
      <c r="H16" s="221">
        <f>+D16-F16</f>
        <v>5011771.6993386298</v>
      </c>
      <c r="I16" s="273">
        <f>+D16/F16*100-100</f>
        <v>10.46170641154535</v>
      </c>
      <c r="J16" s="221">
        <f>+J17+J21+J27+J33+J38+J39</f>
        <v>46805913.729999997</v>
      </c>
      <c r="K16" s="273">
        <f>+J16/$J$11*100</f>
        <v>1.3665960213138686</v>
      </c>
      <c r="L16" s="221">
        <f>+D16-J16</f>
        <v>6111730.1300000027</v>
      </c>
      <c r="M16" s="273">
        <f>+D16/J16*100-100</f>
        <v>13.057602433007773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</row>
    <row r="17" spans="2:83" ht="15" customHeight="1" thickTop="1">
      <c r="B17" s="80">
        <v>711</v>
      </c>
      <c r="C17" s="93" t="str">
        <f>IF(MasterSheet!$A$1=1,MasterSheet!C73,MasterSheet!B73)</f>
        <v>Porezi</v>
      </c>
      <c r="D17" s="222">
        <f>+SUM(D18:D20)</f>
        <v>18590613.34</v>
      </c>
      <c r="E17" s="274">
        <f t="shared" ref="E17:E75" si="1">+D17/$D$11*100</f>
        <v>0.51929087541899444</v>
      </c>
      <c r="F17" s="222">
        <f>+SUM(F18:F20)</f>
        <v>28253948.359875999</v>
      </c>
      <c r="G17" s="274">
        <f t="shared" si="0"/>
        <v>0.78921643463340774</v>
      </c>
      <c r="H17" s="223">
        <f t="shared" ref="H17:H75" si="2">+D17-F17</f>
        <v>-9663335.0198759995</v>
      </c>
      <c r="I17" s="283">
        <f t="shared" ref="I17:I74" si="3">+D17/F17*100-100</f>
        <v>-34.201715444483142</v>
      </c>
      <c r="J17" s="222">
        <f>+J18+J19+J20</f>
        <v>18100729.009999998</v>
      </c>
      <c r="K17" s="274">
        <f t="shared" ref="K17:K75" si="4">+J17/$J$11*100</f>
        <v>0.52848843824817515</v>
      </c>
      <c r="L17" s="223">
        <f t="shared" ref="L17:L75" si="5">+D17-J17</f>
        <v>489884.33000000194</v>
      </c>
      <c r="M17" s="283">
        <f t="shared" ref="M17:M75" si="6">+D17/J17*100-100</f>
        <v>2.7064342531693484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</row>
    <row r="18" spans="2:83" ht="15" customHeight="1">
      <c r="B18" s="80">
        <v>7111</v>
      </c>
      <c r="C18" s="97" t="str">
        <f>IF(MasterSheet!$A$1=1,MasterSheet!C74,MasterSheet!B74)</f>
        <v>Porez na dohodak fizičkih lica</v>
      </c>
      <c r="D18" s="224">
        <v>5433172.3599999994</v>
      </c>
      <c r="E18" s="275">
        <f t="shared" si="1"/>
        <v>0.15176459106145249</v>
      </c>
      <c r="F18" s="224">
        <v>7999243.4929050002</v>
      </c>
      <c r="G18" s="275">
        <f t="shared" si="0"/>
        <v>0.22344255566773744</v>
      </c>
      <c r="H18" s="225">
        <f>+D18-F18</f>
        <v>-2566071.1329050008</v>
      </c>
      <c r="I18" s="284">
        <f>+D18/F18*100-100</f>
        <v>-32.078922652885865</v>
      </c>
      <c r="J18" s="224">
        <v>5908941.2400000002</v>
      </c>
      <c r="K18" s="275">
        <f t="shared" si="4"/>
        <v>0.17252383182481754</v>
      </c>
      <c r="L18" s="225">
        <f>+D18-J18</f>
        <v>-475768.88000000082</v>
      </c>
      <c r="M18" s="284">
        <f>+D18/J18*100-100</f>
        <v>-8.0516772916834896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</row>
    <row r="19" spans="2:83" ht="15" customHeight="1">
      <c r="B19" s="80">
        <v>7113</v>
      </c>
      <c r="C19" s="97" t="str">
        <f>IF(MasterSheet!$A$1=1,MasterSheet!C76,MasterSheet!B76)</f>
        <v>Porez na promet nepokretnosti</v>
      </c>
      <c r="D19" s="224">
        <v>3033841.95</v>
      </c>
      <c r="E19" s="275">
        <f t="shared" si="1"/>
        <v>8.4744188547486041E-2</v>
      </c>
      <c r="F19" s="224">
        <v>3600000</v>
      </c>
      <c r="G19" s="275">
        <f t="shared" si="0"/>
        <v>0.1005586592178771</v>
      </c>
      <c r="H19" s="225">
        <f>+D19-F19</f>
        <v>-566158.04999999981</v>
      </c>
      <c r="I19" s="284">
        <f>+D19/F19*100-100</f>
        <v>-15.726612499999987</v>
      </c>
      <c r="J19" s="224">
        <v>3307628.07</v>
      </c>
      <c r="K19" s="275">
        <f t="shared" si="4"/>
        <v>9.6573082335766419E-2</v>
      </c>
      <c r="L19" s="225">
        <f>+D19-J19</f>
        <v>-273786.11999999965</v>
      </c>
      <c r="M19" s="284">
        <f>+D19/J19*100-100</f>
        <v>-8.2774155438824693</v>
      </c>
      <c r="O19" s="137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9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</row>
    <row r="20" spans="2:83" ht="15" customHeight="1">
      <c r="B20" s="80">
        <v>7117</v>
      </c>
      <c r="C20" s="97" t="s">
        <v>11</v>
      </c>
      <c r="D20" s="224">
        <v>10123599.030000001</v>
      </c>
      <c r="E20" s="275">
        <f t="shared" si="1"/>
        <v>0.28278209581005587</v>
      </c>
      <c r="F20" s="224">
        <v>16654704.866971001</v>
      </c>
      <c r="G20" s="275">
        <f t="shared" si="0"/>
        <v>0.46521521974779328</v>
      </c>
      <c r="H20" s="225">
        <f>+D20-F20</f>
        <v>-6531105.8369709998</v>
      </c>
      <c r="I20" s="284">
        <f>+D20/F20*100-100</f>
        <v>-39.214779782277908</v>
      </c>
      <c r="J20" s="224">
        <v>8884159.6999999993</v>
      </c>
      <c r="K20" s="275">
        <f t="shared" si="4"/>
        <v>0.2593915240875912</v>
      </c>
      <c r="L20" s="225">
        <f>+D20-J20</f>
        <v>1239439.3300000019</v>
      </c>
      <c r="M20" s="284">
        <f>+D20/J20*100-100</f>
        <v>13.951114926491044</v>
      </c>
      <c r="O20" s="137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9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</row>
    <row r="21" spans="2:83" ht="15" customHeight="1">
      <c r="B21" s="80">
        <v>713</v>
      </c>
      <c r="C21" s="93" t="str">
        <f>IF(MasterSheet!$A$1=1,MasterSheet!C86,MasterSheet!B86)</f>
        <v>Takse</v>
      </c>
      <c r="D21" s="94">
        <f>+SUM(D22:D26)</f>
        <v>1613743.3900000001</v>
      </c>
      <c r="E21" s="253">
        <f t="shared" si="1"/>
        <v>4.50766310055866E-2</v>
      </c>
      <c r="F21" s="94">
        <f>+SUM(F22:F26)</f>
        <v>1733987.8314</v>
      </c>
      <c r="G21" s="253">
        <f t="shared" si="0"/>
        <v>4.8435414284916205E-2</v>
      </c>
      <c r="H21" s="207">
        <f t="shared" si="2"/>
        <v>-120244.44139999989</v>
      </c>
      <c r="I21" s="266">
        <f t="shared" si="3"/>
        <v>-6.9345608557653975</v>
      </c>
      <c r="J21" s="94">
        <f>+SUM(J22:J26)</f>
        <v>1066252.46</v>
      </c>
      <c r="K21" s="256">
        <f t="shared" si="4"/>
        <v>3.1131458686131385E-2</v>
      </c>
      <c r="L21" s="207">
        <f t="shared" si="5"/>
        <v>547490.93000000017</v>
      </c>
      <c r="M21" s="266">
        <f t="shared" si="6"/>
        <v>51.34721377336848</v>
      </c>
      <c r="O21" s="81"/>
      <c r="CA21" s="81"/>
      <c r="CB21" s="81"/>
      <c r="CC21" s="81"/>
    </row>
    <row r="22" spans="2:83" ht="15" customHeight="1">
      <c r="B22" s="80">
        <v>7131</v>
      </c>
      <c r="C22" s="97" t="str">
        <f>IF(MasterSheet!$A$1=1,MasterSheet!C87,MasterSheet!B87)</f>
        <v>Administrativne takse</v>
      </c>
      <c r="D22" s="224">
        <v>261025.63</v>
      </c>
      <c r="E22" s="275">
        <f t="shared" si="1"/>
        <v>7.2912187150837998E-3</v>
      </c>
      <c r="F22" s="224">
        <v>477323.484</v>
      </c>
      <c r="G22" s="275">
        <f t="shared" si="0"/>
        <v>1.3333058212290503E-2</v>
      </c>
      <c r="H22" s="225">
        <f t="shared" si="2"/>
        <v>-216297.85399999999</v>
      </c>
      <c r="I22" s="284">
        <f t="shared" si="3"/>
        <v>-45.314731256759202</v>
      </c>
      <c r="J22" s="224">
        <v>321684.25</v>
      </c>
      <c r="K22" s="275">
        <f t="shared" si="4"/>
        <v>9.3922408759124082E-3</v>
      </c>
      <c r="L22" s="225">
        <f t="shared" si="5"/>
        <v>-60658.619999999995</v>
      </c>
      <c r="M22" s="284">
        <f t="shared" si="6"/>
        <v>-18.85657131177544</v>
      </c>
      <c r="O22" s="81"/>
      <c r="CA22" s="81"/>
      <c r="CB22" s="81"/>
      <c r="CC22" s="81"/>
    </row>
    <row r="23" spans="2:83" ht="15" hidden="1" customHeight="1">
      <c r="B23" s="80">
        <v>7133</v>
      </c>
      <c r="C23" s="97" t="str">
        <f>IF(MasterSheet!$A$1=1,MasterSheet!C89,MasterSheet!B89)</f>
        <v>Boravišne takse</v>
      </c>
      <c r="D23" s="224">
        <v>261025.63</v>
      </c>
      <c r="E23" s="275">
        <f t="shared" si="1"/>
        <v>7.2912187150837998E-3</v>
      </c>
      <c r="F23" s="224">
        <v>0</v>
      </c>
      <c r="G23" s="275">
        <f t="shared" si="0"/>
        <v>0</v>
      </c>
      <c r="H23" s="225">
        <f t="shared" si="2"/>
        <v>261025.63</v>
      </c>
      <c r="I23" s="284" t="e">
        <f t="shared" si="3"/>
        <v>#DIV/0!</v>
      </c>
      <c r="J23" s="224"/>
      <c r="K23" s="275">
        <f t="shared" si="4"/>
        <v>0</v>
      </c>
      <c r="L23" s="225">
        <f t="shared" si="5"/>
        <v>261025.63</v>
      </c>
      <c r="M23" s="284" t="e">
        <f t="shared" si="6"/>
        <v>#DIV/0!</v>
      </c>
      <c r="O23" s="81"/>
      <c r="CA23" s="140"/>
      <c r="CB23" s="140"/>
      <c r="CC23" s="140"/>
    </row>
    <row r="24" spans="2:83" ht="15" hidden="1" customHeight="1">
      <c r="B24" s="80">
        <v>7134</v>
      </c>
      <c r="C24" s="97" t="s">
        <v>435</v>
      </c>
      <c r="D24" s="224">
        <v>261025.63</v>
      </c>
      <c r="E24" s="275">
        <f t="shared" si="1"/>
        <v>7.2912187150837998E-3</v>
      </c>
      <c r="F24" s="224">
        <v>0</v>
      </c>
      <c r="G24" s="275">
        <f t="shared" si="0"/>
        <v>0</v>
      </c>
      <c r="H24" s="225">
        <f t="shared" si="2"/>
        <v>261025.63</v>
      </c>
      <c r="I24" s="284" t="e">
        <f t="shared" si="3"/>
        <v>#DIV/0!</v>
      </c>
      <c r="J24" s="224"/>
      <c r="K24" s="275">
        <f t="shared" si="4"/>
        <v>0</v>
      </c>
      <c r="L24" s="225">
        <f t="shared" si="5"/>
        <v>261025.63</v>
      </c>
      <c r="M24" s="284" t="e">
        <f t="shared" si="6"/>
        <v>#DIV/0!</v>
      </c>
      <c r="O24" s="81"/>
      <c r="CA24" s="140"/>
      <c r="CB24" s="140"/>
      <c r="CC24" s="140"/>
    </row>
    <row r="25" spans="2:83" ht="15" customHeight="1">
      <c r="B25" s="80">
        <v>7135</v>
      </c>
      <c r="C25" s="97" t="s">
        <v>36</v>
      </c>
      <c r="D25" s="224">
        <v>804137.95000000007</v>
      </c>
      <c r="E25" s="275">
        <f t="shared" si="1"/>
        <v>2.2461953910614528E-2</v>
      </c>
      <c r="F25" s="224">
        <v>1215551.55165</v>
      </c>
      <c r="G25" s="275">
        <f t="shared" si="0"/>
        <v>3.3953953956703913E-2</v>
      </c>
      <c r="H25" s="225">
        <f t="shared" si="2"/>
        <v>-411413.60164999997</v>
      </c>
      <c r="I25" s="284">
        <f t="shared" si="3"/>
        <v>-33.845837397150589</v>
      </c>
      <c r="J25" s="224">
        <v>727832.36</v>
      </c>
      <c r="K25" s="275">
        <f t="shared" si="4"/>
        <v>2.1250579854014601E-2</v>
      </c>
      <c r="L25" s="225">
        <f t="shared" si="5"/>
        <v>76305.590000000084</v>
      </c>
      <c r="M25" s="284">
        <f t="shared" si="6"/>
        <v>10.48395127691218</v>
      </c>
      <c r="O25" s="81"/>
      <c r="CA25" s="140"/>
      <c r="CB25" s="140"/>
      <c r="CC25" s="140"/>
    </row>
    <row r="26" spans="2:83" ht="15" customHeight="1">
      <c r="B26" s="80">
        <v>7136</v>
      </c>
      <c r="C26" s="97" t="s">
        <v>37</v>
      </c>
      <c r="D26" s="224">
        <v>26528.55</v>
      </c>
      <c r="E26" s="275">
        <f t="shared" si="1"/>
        <v>7.4102094972067038E-4</v>
      </c>
      <c r="F26" s="224">
        <v>41112.795749999997</v>
      </c>
      <c r="G26" s="275">
        <f t="shared" si="0"/>
        <v>1.1484021159217878E-3</v>
      </c>
      <c r="H26" s="225">
        <f t="shared" si="2"/>
        <v>-14584.245749999998</v>
      </c>
      <c r="I26" s="284">
        <f t="shared" si="3"/>
        <v>-35.473738732545328</v>
      </c>
      <c r="J26" s="224">
        <v>16735.849999999999</v>
      </c>
      <c r="K26" s="275">
        <f t="shared" si="4"/>
        <v>4.8863795620437956E-4</v>
      </c>
      <c r="L26" s="225">
        <f t="shared" si="5"/>
        <v>9792.7000000000007</v>
      </c>
      <c r="M26" s="284">
        <f t="shared" si="6"/>
        <v>58.513311245021924</v>
      </c>
      <c r="O26" s="81"/>
      <c r="CA26" s="140"/>
      <c r="CB26" s="140"/>
      <c r="CC26" s="140"/>
    </row>
    <row r="27" spans="2:83" ht="15" customHeight="1">
      <c r="B27" s="80">
        <v>714</v>
      </c>
      <c r="C27" s="93" t="str">
        <f>IF(MasterSheet!$A$1=1,MasterSheet!C91,MasterSheet!B91)</f>
        <v>Naknade</v>
      </c>
      <c r="D27" s="94">
        <f>+SUM(D28:D32)</f>
        <v>11080423.16</v>
      </c>
      <c r="E27" s="253">
        <f t="shared" si="1"/>
        <v>0.30950902681564246</v>
      </c>
      <c r="F27" s="94">
        <f>+SUM(F28:F32)</f>
        <v>13740952.488187</v>
      </c>
      <c r="G27" s="253">
        <f t="shared" si="0"/>
        <v>0.38382548849684361</v>
      </c>
      <c r="H27" s="207">
        <f t="shared" si="2"/>
        <v>-2660529.328187</v>
      </c>
      <c r="I27" s="266">
        <f t="shared" si="3"/>
        <v>-19.362044446876865</v>
      </c>
      <c r="J27" s="94">
        <f>+SUM(J28:J32)</f>
        <v>10661977.34</v>
      </c>
      <c r="K27" s="256">
        <f t="shared" si="4"/>
        <v>0.31129860846715329</v>
      </c>
      <c r="L27" s="207">
        <f t="shared" si="5"/>
        <v>418445.8200000003</v>
      </c>
      <c r="M27" s="266">
        <f t="shared" si="6"/>
        <v>3.9246549364735301</v>
      </c>
      <c r="O27" s="81"/>
      <c r="CA27" s="140"/>
      <c r="CB27" s="140"/>
      <c r="CC27" s="140"/>
    </row>
    <row r="28" spans="2:83" ht="15" customHeight="1">
      <c r="B28" s="80">
        <v>7141</v>
      </c>
      <c r="C28" s="97" t="str">
        <f>IF(MasterSheet!$A$1=1,MasterSheet!C92,MasterSheet!B92)</f>
        <v>Naknade za korišćenje dobara od opšteg interesa</v>
      </c>
      <c r="D28" s="226">
        <v>160973.63000000003</v>
      </c>
      <c r="E28" s="276">
        <f t="shared" si="1"/>
        <v>4.4964701117318441E-3</v>
      </c>
      <c r="F28" s="226">
        <v>2293943.4789000005</v>
      </c>
      <c r="G28" s="276">
        <f t="shared" si="0"/>
        <v>6.407663348882682E-2</v>
      </c>
      <c r="H28" s="227">
        <f t="shared" si="2"/>
        <v>-2132969.8489000006</v>
      </c>
      <c r="I28" s="285">
        <f t="shared" si="3"/>
        <v>-92.982667991576207</v>
      </c>
      <c r="J28" s="226">
        <v>255625.33</v>
      </c>
      <c r="K28" s="276">
        <f t="shared" si="4"/>
        <v>7.4635132846715326E-3</v>
      </c>
      <c r="L28" s="227">
        <f t="shared" si="5"/>
        <v>-94651.699999999953</v>
      </c>
      <c r="M28" s="285">
        <f t="shared" si="6"/>
        <v>-37.027512101402451</v>
      </c>
      <c r="O28" s="81"/>
      <c r="CA28" s="140"/>
      <c r="CB28" s="140"/>
      <c r="CC28" s="140"/>
    </row>
    <row r="29" spans="2:83" ht="15" customHeight="1">
      <c r="B29" s="80">
        <v>7142</v>
      </c>
      <c r="C29" s="97" t="str">
        <f>IF(MasterSheet!$A$1=1,MasterSheet!C93,MasterSheet!B93)</f>
        <v>Naknade za korišćenje prirodnih dobara</v>
      </c>
      <c r="D29" s="228">
        <v>1225434.26</v>
      </c>
      <c r="E29" s="254">
        <f t="shared" si="1"/>
        <v>3.4230007262569834E-2</v>
      </c>
      <c r="F29" s="156">
        <v>9361000</v>
      </c>
      <c r="G29" s="254">
        <f t="shared" si="0"/>
        <v>0.26148044692737432</v>
      </c>
      <c r="H29" s="229">
        <f t="shared" si="2"/>
        <v>-8135565.7400000002</v>
      </c>
      <c r="I29" s="267">
        <f t="shared" si="3"/>
        <v>-86.909152227326132</v>
      </c>
      <c r="J29" s="156">
        <v>1017724.13</v>
      </c>
      <c r="K29" s="304">
        <f t="shared" si="4"/>
        <v>2.971457313868613E-2</v>
      </c>
      <c r="L29" s="229">
        <f t="shared" si="5"/>
        <v>207710.13</v>
      </c>
      <c r="M29" s="267">
        <f t="shared" si="6"/>
        <v>20.409276333066799</v>
      </c>
      <c r="O29" s="81"/>
      <c r="CA29" s="140"/>
      <c r="CB29" s="140"/>
      <c r="CC29" s="140"/>
    </row>
    <row r="30" spans="2:83" ht="15" customHeight="1">
      <c r="B30" s="80">
        <v>7146</v>
      </c>
      <c r="C30" s="97" t="s">
        <v>448</v>
      </c>
      <c r="D30" s="226">
        <v>8626151.5500000007</v>
      </c>
      <c r="E30" s="254">
        <f t="shared" si="1"/>
        <v>0.24095395391061455</v>
      </c>
      <c r="F30" s="226">
        <v>602864.91315000004</v>
      </c>
      <c r="G30" s="254">
        <f t="shared" si="0"/>
        <v>1.683980204329609E-2</v>
      </c>
      <c r="H30" s="227">
        <f t="shared" si="2"/>
        <v>8023286.6368500004</v>
      </c>
      <c r="I30" s="267">
        <f t="shared" si="3"/>
        <v>1330.85977668329</v>
      </c>
      <c r="J30" s="226">
        <v>8271655.9100000001</v>
      </c>
      <c r="K30" s="304">
        <f t="shared" si="4"/>
        <v>0.24150820175182483</v>
      </c>
      <c r="L30" s="227">
        <f t="shared" si="5"/>
        <v>354495.6400000006</v>
      </c>
      <c r="M30" s="267">
        <f t="shared" si="6"/>
        <v>4.2856671488405738</v>
      </c>
      <c r="O30" s="81"/>
      <c r="CA30" s="140"/>
      <c r="CB30" s="140"/>
      <c r="CC30" s="140"/>
    </row>
    <row r="31" spans="2:83" ht="26">
      <c r="B31" s="158">
        <v>7147</v>
      </c>
      <c r="C31" s="157" t="s">
        <v>436</v>
      </c>
      <c r="D31" s="226">
        <v>434070.36</v>
      </c>
      <c r="E31" s="254">
        <f t="shared" si="1"/>
        <v>1.2124870391061452E-2</v>
      </c>
      <c r="F31" s="226">
        <v>0</v>
      </c>
      <c r="G31" s="254">
        <f t="shared" si="0"/>
        <v>0</v>
      </c>
      <c r="H31" s="227">
        <f t="shared" si="2"/>
        <v>434070.36</v>
      </c>
      <c r="I31" s="267"/>
      <c r="J31" s="226">
        <v>293343.59999999998</v>
      </c>
      <c r="K31" s="304">
        <f t="shared" si="4"/>
        <v>8.5647766423357658E-3</v>
      </c>
      <c r="L31" s="229">
        <f t="shared" si="5"/>
        <v>140726.76</v>
      </c>
      <c r="M31" s="267">
        <f t="shared" si="6"/>
        <v>47.973352750835545</v>
      </c>
      <c r="O31" s="81"/>
      <c r="CA31" s="140"/>
      <c r="CB31" s="140"/>
      <c r="CC31" s="140"/>
    </row>
    <row r="32" spans="2:83" ht="15" customHeight="1">
      <c r="B32" s="80">
        <v>7149</v>
      </c>
      <c r="C32" s="97" t="str">
        <f>IF(MasterSheet!$A$1=1,MasterSheet!C97,MasterSheet!B97)</f>
        <v>Ostale naknade</v>
      </c>
      <c r="D32" s="224">
        <v>633793.3600000001</v>
      </c>
      <c r="E32" s="275">
        <f t="shared" si="1"/>
        <v>1.7703725139664808E-2</v>
      </c>
      <c r="F32" s="224">
        <v>1483144.096137</v>
      </c>
      <c r="G32" s="275">
        <f t="shared" si="0"/>
        <v>4.1428606037346369E-2</v>
      </c>
      <c r="H32" s="225">
        <f t="shared" si="2"/>
        <v>-849350.73613699991</v>
      </c>
      <c r="I32" s="284">
        <f t="shared" si="3"/>
        <v>-57.266906051085698</v>
      </c>
      <c r="J32" s="224">
        <v>823628.37</v>
      </c>
      <c r="K32" s="275">
        <f t="shared" si="4"/>
        <v>2.4047543649635034E-2</v>
      </c>
      <c r="L32" s="225">
        <f t="shared" si="5"/>
        <v>-189835.00999999989</v>
      </c>
      <c r="M32" s="284">
        <f t="shared" si="6"/>
        <v>-23.048624466396163</v>
      </c>
      <c r="O32" s="81"/>
      <c r="CA32" s="81"/>
      <c r="CB32" s="81"/>
      <c r="CC32" s="81"/>
      <c r="CD32" s="81"/>
      <c r="CE32" s="81"/>
    </row>
    <row r="33" spans="1:84" ht="15" customHeight="1">
      <c r="B33" s="80">
        <v>715</v>
      </c>
      <c r="C33" s="93" t="str">
        <f>IF(MasterSheet!$A$1=1,MasterSheet!C98,MasterSheet!B98)</f>
        <v>Ostali prihodi</v>
      </c>
      <c r="D33" s="230">
        <f>+SUM(D34:D37)</f>
        <v>2603283.91</v>
      </c>
      <c r="E33" s="277">
        <f t="shared" si="1"/>
        <v>7.2717427653631289E-2</v>
      </c>
      <c r="F33" s="230">
        <f>+SUM(F34:F37)</f>
        <v>3426983.4811983686</v>
      </c>
      <c r="G33" s="277">
        <f t="shared" si="0"/>
        <v>9.5725795564200231E-2</v>
      </c>
      <c r="H33" s="231">
        <f t="shared" si="2"/>
        <v>-823699.57119836845</v>
      </c>
      <c r="I33" s="286">
        <f t="shared" si="3"/>
        <v>-24.035702994119262</v>
      </c>
      <c r="J33" s="230">
        <f>+SUM(J34:J37)</f>
        <v>2278306.2199999997</v>
      </c>
      <c r="K33" s="277">
        <f t="shared" si="4"/>
        <v>6.6519889635036494E-2</v>
      </c>
      <c r="L33" s="231">
        <f t="shared" si="5"/>
        <v>324977.69000000041</v>
      </c>
      <c r="M33" s="286">
        <f t="shared" si="6"/>
        <v>14.264003984503915</v>
      </c>
      <c r="O33" s="81"/>
      <c r="CA33" s="81"/>
      <c r="CB33" s="81"/>
      <c r="CC33" s="81"/>
      <c r="CD33" s="81"/>
      <c r="CE33" s="81"/>
    </row>
    <row r="34" spans="1:84" ht="15" customHeight="1">
      <c r="B34" s="80">
        <v>7151</v>
      </c>
      <c r="C34" s="97" t="str">
        <f>IF(MasterSheet!$A$1=1,MasterSheet!C99,MasterSheet!B99)</f>
        <v>Prihodi od kapitala</v>
      </c>
      <c r="D34" s="224">
        <v>454528.89</v>
      </c>
      <c r="E34" s="275">
        <f t="shared" si="1"/>
        <v>1.2696337709497206E-2</v>
      </c>
      <c r="F34" s="224">
        <v>637342.91600000008</v>
      </c>
      <c r="G34" s="275">
        <f t="shared" si="0"/>
        <v>1.7802874748603353E-2</v>
      </c>
      <c r="H34" s="225">
        <f t="shared" si="2"/>
        <v>-182814.02600000007</v>
      </c>
      <c r="I34" s="284">
        <f t="shared" si="3"/>
        <v>-28.683777823616708</v>
      </c>
      <c r="J34" s="224">
        <v>351675.86</v>
      </c>
      <c r="K34" s="275">
        <f t="shared" si="4"/>
        <v>1.0267908321167883E-2</v>
      </c>
      <c r="L34" s="225">
        <f t="shared" si="5"/>
        <v>102853.03000000003</v>
      </c>
      <c r="M34" s="284">
        <f t="shared" si="6"/>
        <v>29.246542540622499</v>
      </c>
      <c r="O34" s="81"/>
      <c r="CA34" s="141"/>
      <c r="CB34" s="141"/>
      <c r="CC34" s="141"/>
      <c r="CD34" s="141"/>
      <c r="CE34" s="141"/>
      <c r="CF34" s="142"/>
    </row>
    <row r="35" spans="1:84" ht="15" customHeight="1">
      <c r="B35" s="80">
        <v>7152</v>
      </c>
      <c r="C35" s="97" t="str">
        <f>IF(MasterSheet!$A$1=1,MasterSheet!C100,MasterSheet!B100)</f>
        <v>Novčane kazne i oduzete imovinske koristi</v>
      </c>
      <c r="D35" s="224">
        <v>112894.34999999999</v>
      </c>
      <c r="E35" s="275">
        <f t="shared" si="1"/>
        <v>3.1534734636871503E-3</v>
      </c>
      <c r="F35" s="224">
        <v>191102.41043600001</v>
      </c>
      <c r="G35" s="275">
        <f t="shared" si="0"/>
        <v>5.3380561574301677E-3</v>
      </c>
      <c r="H35" s="225">
        <f t="shared" si="2"/>
        <v>-78208.060436000014</v>
      </c>
      <c r="I35" s="284">
        <f t="shared" si="3"/>
        <v>-40.924685490658334</v>
      </c>
      <c r="J35" s="224">
        <v>143261.87</v>
      </c>
      <c r="K35" s="275">
        <f t="shared" si="4"/>
        <v>4.1828283211678835E-3</v>
      </c>
      <c r="L35" s="225">
        <f t="shared" si="5"/>
        <v>-30367.520000000004</v>
      </c>
      <c r="M35" s="284">
        <f t="shared" si="6"/>
        <v>-21.197210395201466</v>
      </c>
      <c r="O35" s="81"/>
      <c r="CA35" s="141"/>
      <c r="CB35" s="141"/>
      <c r="CC35" s="143"/>
      <c r="CD35" s="143"/>
      <c r="CE35" s="144"/>
      <c r="CF35" s="142"/>
    </row>
    <row r="36" spans="1:84" ht="15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224">
        <v>530960.03999999992</v>
      </c>
      <c r="E36" s="275">
        <f t="shared" si="1"/>
        <v>1.4831286033519551E-2</v>
      </c>
      <c r="F36" s="224">
        <v>1099613.2727623682</v>
      </c>
      <c r="G36" s="275">
        <f t="shared" si="0"/>
        <v>3.0715454546434869E-2</v>
      </c>
      <c r="H36" s="225">
        <f t="shared" si="2"/>
        <v>-568653.23276236828</v>
      </c>
      <c r="I36" s="284">
        <f t="shared" si="3"/>
        <v>-51.713929510312219</v>
      </c>
      <c r="J36" s="224">
        <v>432990</v>
      </c>
      <c r="K36" s="275">
        <f t="shared" si="4"/>
        <v>1.2642043795620436E-2</v>
      </c>
      <c r="L36" s="225">
        <f t="shared" si="5"/>
        <v>97970.039999999921</v>
      </c>
      <c r="M36" s="284">
        <f t="shared" si="6"/>
        <v>22.626397838287232</v>
      </c>
      <c r="O36" s="81"/>
      <c r="CA36" s="81"/>
      <c r="CB36" s="81"/>
      <c r="CC36" s="145"/>
      <c r="CD36" s="145"/>
      <c r="CE36" s="145"/>
      <c r="CF36" s="142"/>
    </row>
    <row r="37" spans="1:84" ht="15" customHeight="1">
      <c r="B37" s="80">
        <v>7154</v>
      </c>
      <c r="C37" s="97" t="str">
        <f>IF(MasterSheet!$A$1=1,MasterSheet!C102,MasterSheet!B102)</f>
        <v>Ostali prihodi</v>
      </c>
      <c r="D37" s="224">
        <v>1504900.6300000006</v>
      </c>
      <c r="E37" s="275">
        <f t="shared" si="1"/>
        <v>4.2036330446927388E-2</v>
      </c>
      <c r="F37" s="224">
        <v>1498924.8820000002</v>
      </c>
      <c r="G37" s="275">
        <f t="shared" si="0"/>
        <v>4.1869410111731849E-2</v>
      </c>
      <c r="H37" s="225">
        <f t="shared" si="2"/>
        <v>5975.7480000003707</v>
      </c>
      <c r="I37" s="284">
        <f t="shared" si="3"/>
        <v>0.39866894410525333</v>
      </c>
      <c r="J37" s="224">
        <v>1350378.49</v>
      </c>
      <c r="K37" s="275">
        <f t="shared" si="4"/>
        <v>3.9427109197080291E-2</v>
      </c>
      <c r="L37" s="225">
        <f t="shared" si="5"/>
        <v>154522.1400000006</v>
      </c>
      <c r="M37" s="284">
        <f t="shared" si="6"/>
        <v>11.442876285744205</v>
      </c>
      <c r="O37" s="81"/>
      <c r="BZ37" s="100"/>
      <c r="CA37" s="100"/>
      <c r="CB37" s="99"/>
      <c r="CC37" s="145"/>
      <c r="CD37" s="145"/>
      <c r="CE37" s="145"/>
      <c r="CF37" s="142"/>
    </row>
    <row r="38" spans="1:84">
      <c r="B38" s="80">
        <v>73</v>
      </c>
      <c r="C38" s="101" t="str">
        <f>IF(MasterSheet!$A$1=1,MasterSheet!C103,MasterSheet!B103)</f>
        <v>Primici od otplate kredita i sredstva prenijeta iz prethodne godine</v>
      </c>
      <c r="D38" s="230">
        <v>18558994.789999999</v>
      </c>
      <c r="E38" s="277">
        <f t="shared" si="1"/>
        <v>0.51840767569832402</v>
      </c>
      <c r="F38" s="230">
        <v>0</v>
      </c>
      <c r="G38" s="277">
        <f t="shared" si="0"/>
        <v>0</v>
      </c>
      <c r="H38" s="231">
        <f t="shared" si="2"/>
        <v>18558994.789999999</v>
      </c>
      <c r="I38" s="286"/>
      <c r="J38" s="230">
        <v>13797783.43</v>
      </c>
      <c r="K38" s="277">
        <f t="shared" si="4"/>
        <v>0.40285499065693431</v>
      </c>
      <c r="L38" s="231">
        <f t="shared" si="5"/>
        <v>4761211.3599999994</v>
      </c>
      <c r="M38" s="286">
        <f t="shared" si="6"/>
        <v>34.507074155460913</v>
      </c>
      <c r="O38" s="81"/>
      <c r="BZ38" s="100"/>
      <c r="CA38" s="100"/>
      <c r="CB38" s="99"/>
      <c r="CC38" s="145"/>
      <c r="CD38" s="145"/>
      <c r="CE38" s="145"/>
      <c r="CF38" s="142"/>
    </row>
    <row r="39" spans="1:84" ht="13.5" customHeight="1" thickBot="1">
      <c r="B39" s="80">
        <v>74</v>
      </c>
      <c r="C39" s="93" t="s">
        <v>123</v>
      </c>
      <c r="D39" s="230">
        <v>470585.26999999996</v>
      </c>
      <c r="E39" s="277">
        <f t="shared" si="1"/>
        <v>1.3144839944134078E-2</v>
      </c>
      <c r="F39" s="230">
        <v>750000</v>
      </c>
      <c r="G39" s="277">
        <f t="shared" si="0"/>
        <v>2.094972067039106E-2</v>
      </c>
      <c r="H39" s="231">
        <f t="shared" si="2"/>
        <v>-279414.73000000004</v>
      </c>
      <c r="I39" s="286">
        <f t="shared" si="3"/>
        <v>-37.255297333333338</v>
      </c>
      <c r="J39" s="230">
        <v>900865.27</v>
      </c>
      <c r="K39" s="277">
        <f t="shared" si="4"/>
        <v>2.6302635620437956E-2</v>
      </c>
      <c r="L39" s="231">
        <f t="shared" si="5"/>
        <v>-430280.00000000006</v>
      </c>
      <c r="M39" s="286">
        <f t="shared" si="6"/>
        <v>-47.762969039754424</v>
      </c>
      <c r="O39" s="81"/>
      <c r="CA39" s="146"/>
      <c r="CB39" s="146"/>
      <c r="CC39" s="145"/>
      <c r="CD39" s="145"/>
      <c r="CE39" s="145"/>
      <c r="CF39" s="142"/>
    </row>
    <row r="40" spans="1:84" ht="15" customHeight="1" thickTop="1" thickBot="1">
      <c r="B40" s="102"/>
      <c r="C40" s="153" t="str">
        <f>IF(MasterSheet!$A$1=1,MasterSheet!C104,MasterSheet!B104)</f>
        <v>Izdaci</v>
      </c>
      <c r="D40" s="232">
        <f>+D42+D52+D55+D58+D59+D60+D61</f>
        <v>23222871.970000006</v>
      </c>
      <c r="E40" s="278">
        <f t="shared" si="1"/>
        <v>0.64868357458100578</v>
      </c>
      <c r="F40" s="232">
        <f>+F42+F52+F55+F58+F59+F60+F61</f>
        <v>36610852.088850759</v>
      </c>
      <c r="G40" s="278">
        <f t="shared" si="0"/>
        <v>1.0226494996885687</v>
      </c>
      <c r="H40" s="232">
        <f t="shared" si="2"/>
        <v>-13387980.118850753</v>
      </c>
      <c r="I40" s="278">
        <f t="shared" si="3"/>
        <v>-36.568337951707619</v>
      </c>
      <c r="J40" s="232">
        <f>+J42+J52+J55+J58+J59+J60+J61</f>
        <v>24146283.569999997</v>
      </c>
      <c r="K40" s="305">
        <f t="shared" si="4"/>
        <v>0.70500098014598533</v>
      </c>
      <c r="L40" s="232">
        <f t="shared" si="5"/>
        <v>-923411.59999999031</v>
      </c>
      <c r="M40" s="278">
        <f t="shared" si="6"/>
        <v>-3.8242390276044915</v>
      </c>
      <c r="O40" s="81"/>
      <c r="CA40" s="81"/>
      <c r="CB40" s="81"/>
      <c r="CC40" s="145"/>
      <c r="CD40" s="145"/>
      <c r="CE40" s="145"/>
      <c r="CF40" s="142"/>
    </row>
    <row r="41" spans="1:84" ht="13.5" customHeight="1" thickTop="1" thickBot="1">
      <c r="C41" s="153" t="str">
        <f>IF(MasterSheet!$A$1=1,MasterSheet!C105,MasterSheet!B105)</f>
        <v>Tekuća budžetska potrošnja</v>
      </c>
      <c r="D41" s="232">
        <f>+D40-D58</f>
        <v>17029071.140000008</v>
      </c>
      <c r="E41" s="278">
        <f t="shared" si="1"/>
        <v>0.47567237821229075</v>
      </c>
      <c r="F41" s="232">
        <f>+F40-F58</f>
        <v>26610852.088850759</v>
      </c>
      <c r="G41" s="278">
        <f t="shared" si="0"/>
        <v>0.74331989075002125</v>
      </c>
      <c r="H41" s="232">
        <f t="shared" si="2"/>
        <v>-9581780.9488507509</v>
      </c>
      <c r="I41" s="278">
        <f t="shared" si="3"/>
        <v>-36.007042979526624</v>
      </c>
      <c r="J41" s="232">
        <f>+J40-J58</f>
        <v>17040855.979999997</v>
      </c>
      <c r="K41" s="305">
        <f t="shared" si="4"/>
        <v>0.49754324029197072</v>
      </c>
      <c r="L41" s="232">
        <f t="shared" si="5"/>
        <v>-11784.839999988675</v>
      </c>
      <c r="M41" s="278">
        <f t="shared" si="6"/>
        <v>-6.9156385182878921E-2</v>
      </c>
      <c r="O41" s="81"/>
      <c r="CA41" s="146"/>
      <c r="CB41" s="146"/>
      <c r="CC41" s="145"/>
      <c r="CD41" s="145"/>
      <c r="CE41" s="145"/>
      <c r="CF41" s="142"/>
    </row>
    <row r="42" spans="1:84" ht="13.5" customHeight="1" thickTop="1">
      <c r="A42" s="80">
        <v>41</v>
      </c>
      <c r="C42" s="93" t="str">
        <f>+'Cental Budget'!C37</f>
        <v>Tekući budžetski izdaci</v>
      </c>
      <c r="D42" s="94">
        <f>+SUM(D43:D51)</f>
        <v>10446229.980000002</v>
      </c>
      <c r="E42" s="253">
        <f t="shared" si="1"/>
        <v>0.29179413351955313</v>
      </c>
      <c r="F42" s="94">
        <f>+SUM(F43:F51)</f>
        <v>15953894.769485002</v>
      </c>
      <c r="G42" s="253">
        <f t="shared" si="0"/>
        <v>0.4456395187006984</v>
      </c>
      <c r="H42" s="207">
        <f t="shared" si="2"/>
        <v>-5507664.7894850001</v>
      </c>
      <c r="I42" s="266">
        <f t="shared" si="3"/>
        <v>-34.522383838330839</v>
      </c>
      <c r="J42" s="94">
        <f>+SUM(J43:J51)</f>
        <v>9724610.6499999985</v>
      </c>
      <c r="K42" s="256">
        <f t="shared" si="4"/>
        <v>0.28393023795620431</v>
      </c>
      <c r="L42" s="207">
        <f t="shared" si="5"/>
        <v>721619.3300000038</v>
      </c>
      <c r="M42" s="266">
        <f t="shared" si="6"/>
        <v>7.42054726890278</v>
      </c>
      <c r="O42" s="81"/>
      <c r="CA42" s="146"/>
      <c r="CB42" s="146"/>
      <c r="CC42" s="145"/>
      <c r="CD42" s="145"/>
      <c r="CE42" s="145"/>
      <c r="CF42" s="142"/>
    </row>
    <row r="43" spans="1:84" ht="13.5" customHeight="1">
      <c r="B43" s="80">
        <v>411</v>
      </c>
      <c r="C43" s="93" t="str">
        <f>+'Cental Budget'!C38</f>
        <v>Bruto zarade i doprinosi na teret poslodavca</v>
      </c>
      <c r="D43" s="230">
        <v>5886752.5</v>
      </c>
      <c r="E43" s="277">
        <f t="shared" si="1"/>
        <v>0.16443442737430169</v>
      </c>
      <c r="F43" s="230">
        <v>9066357.7421000004</v>
      </c>
      <c r="G43" s="277">
        <f t="shared" si="0"/>
        <v>0.25325021625977656</v>
      </c>
      <c r="H43" s="231">
        <f t="shared" si="2"/>
        <v>-3179605.2421000004</v>
      </c>
      <c r="I43" s="286">
        <f t="shared" si="3"/>
        <v>-35.070370401725654</v>
      </c>
      <c r="J43" s="230">
        <v>5729864.1799999997</v>
      </c>
      <c r="K43" s="277">
        <f t="shared" si="4"/>
        <v>0.16729530452554742</v>
      </c>
      <c r="L43" s="231">
        <f t="shared" si="5"/>
        <v>156888.3200000003</v>
      </c>
      <c r="M43" s="286">
        <f t="shared" si="6"/>
        <v>2.7380809574442821</v>
      </c>
      <c r="O43" s="81"/>
      <c r="CA43" s="146"/>
      <c r="CB43" s="146"/>
      <c r="CC43" s="145"/>
      <c r="CD43" s="145"/>
      <c r="CE43" s="145"/>
      <c r="CF43" s="142"/>
    </row>
    <row r="44" spans="1:84" ht="13.5" customHeight="1">
      <c r="B44" s="80">
        <v>412</v>
      </c>
      <c r="C44" s="93" t="str">
        <f>+'Cental Budget'!C39</f>
        <v>Ostala lična primanja</v>
      </c>
      <c r="D44" s="230">
        <v>344078.69</v>
      </c>
      <c r="E44" s="277">
        <f t="shared" si="1"/>
        <v>9.6111365921787706E-3</v>
      </c>
      <c r="F44" s="230">
        <v>578196.58290000004</v>
      </c>
      <c r="G44" s="277">
        <f t="shared" si="0"/>
        <v>1.6150742539106144E-2</v>
      </c>
      <c r="H44" s="231">
        <f t="shared" si="2"/>
        <v>-234117.89290000004</v>
      </c>
      <c r="I44" s="286">
        <f t="shared" si="3"/>
        <v>-40.49105439637146</v>
      </c>
      <c r="J44" s="230">
        <v>395055.16</v>
      </c>
      <c r="K44" s="277">
        <f t="shared" si="4"/>
        <v>1.1534457226277372E-2</v>
      </c>
      <c r="L44" s="231">
        <f t="shared" si="5"/>
        <v>-50976.469999999972</v>
      </c>
      <c r="M44" s="286">
        <f t="shared" si="6"/>
        <v>-12.903633507786608</v>
      </c>
      <c r="O44" s="81"/>
      <c r="CA44" s="146"/>
      <c r="CB44" s="146"/>
      <c r="CC44" s="145"/>
      <c r="CD44" s="145"/>
      <c r="CE44" s="145"/>
      <c r="CF44" s="142"/>
    </row>
    <row r="45" spans="1:84" ht="13.5" customHeight="1">
      <c r="B45" s="80">
        <v>413</v>
      </c>
      <c r="C45" s="93" t="str">
        <f>+'Cental Budget'!C40</f>
        <v>Rashodi za materijal</v>
      </c>
      <c r="D45" s="230">
        <v>1294993.9600000002</v>
      </c>
      <c r="E45" s="277">
        <f t="shared" si="1"/>
        <v>3.617301564245811E-2</v>
      </c>
      <c r="F45" s="230">
        <v>1568250</v>
      </c>
      <c r="G45" s="277">
        <f t="shared" si="0"/>
        <v>4.3805865921787708E-2</v>
      </c>
      <c r="H45" s="231">
        <f t="shared" si="2"/>
        <v>-273256.0399999998</v>
      </c>
      <c r="I45" s="286">
        <f t="shared" si="3"/>
        <v>-17.424265263829099</v>
      </c>
      <c r="J45" s="230">
        <v>1011736.87</v>
      </c>
      <c r="K45" s="277">
        <f t="shared" si="4"/>
        <v>2.9539762627737227E-2</v>
      </c>
      <c r="L45" s="231">
        <f t="shared" si="5"/>
        <v>283257.0900000002</v>
      </c>
      <c r="M45" s="286">
        <f t="shared" si="6"/>
        <v>27.997110553063081</v>
      </c>
      <c r="O45" s="81"/>
      <c r="CA45" s="146"/>
      <c r="CB45" s="146"/>
      <c r="CC45" s="145"/>
      <c r="CD45" s="145"/>
      <c r="CE45" s="145"/>
      <c r="CF45" s="142"/>
    </row>
    <row r="46" spans="1:84" ht="13.5" customHeight="1">
      <c r="B46" s="80">
        <v>414</v>
      </c>
      <c r="C46" s="93" t="str">
        <f>+'Cental Budget'!C41</f>
        <v>Rashodi za usluge</v>
      </c>
      <c r="D46" s="94">
        <v>1144798.4900000002</v>
      </c>
      <c r="E46" s="253">
        <f t="shared" si="1"/>
        <v>3.1977611452513974E-2</v>
      </c>
      <c r="F46" s="154">
        <v>1960771.0359</v>
      </c>
      <c r="G46" s="253">
        <f t="shared" si="0"/>
        <v>5.4770140667597764E-2</v>
      </c>
      <c r="H46" s="207">
        <f t="shared" si="2"/>
        <v>-815972.54589999979</v>
      </c>
      <c r="I46" s="266"/>
      <c r="J46" s="154">
        <v>1000407.05</v>
      </c>
      <c r="K46" s="256">
        <f t="shared" si="4"/>
        <v>2.9208964963503652E-2</v>
      </c>
      <c r="L46" s="207">
        <f t="shared" si="5"/>
        <v>144391.44000000018</v>
      </c>
      <c r="M46" s="266">
        <f t="shared" si="6"/>
        <v>14.433268937878864</v>
      </c>
      <c r="O46" s="81"/>
      <c r="CA46" s="146"/>
      <c r="CB46" s="146"/>
      <c r="CC46" s="145"/>
      <c r="CD46" s="145"/>
      <c r="CE46" s="145"/>
      <c r="CF46" s="142"/>
    </row>
    <row r="47" spans="1:84" ht="13.5" customHeight="1">
      <c r="B47" s="80">
        <v>415</v>
      </c>
      <c r="C47" s="93" t="str">
        <f>+'Cental Budget'!C42</f>
        <v>Rashodi za tekuće održavanje</v>
      </c>
      <c r="D47" s="230">
        <v>598276.41</v>
      </c>
      <c r="E47" s="277">
        <f t="shared" si="1"/>
        <v>1.6711631564245811E-2</v>
      </c>
      <c r="F47" s="230">
        <v>1062754.9781549999</v>
      </c>
      <c r="G47" s="277">
        <f t="shared" si="0"/>
        <v>2.9685893244553074E-2</v>
      </c>
      <c r="H47" s="231">
        <f t="shared" si="2"/>
        <v>-464478.56815499987</v>
      </c>
      <c r="I47" s="286">
        <f t="shared" si="3"/>
        <v>-43.705141608591646</v>
      </c>
      <c r="J47" s="230">
        <v>402141.34</v>
      </c>
      <c r="K47" s="277">
        <f t="shared" si="4"/>
        <v>1.1741352992700731E-2</v>
      </c>
      <c r="L47" s="231">
        <f t="shared" si="5"/>
        <v>196135.07</v>
      </c>
      <c r="M47" s="286">
        <f t="shared" si="6"/>
        <v>48.772670325313982</v>
      </c>
      <c r="O47" s="81"/>
      <c r="CA47" s="146"/>
      <c r="CB47" s="146"/>
      <c r="CC47" s="145"/>
      <c r="CD47" s="145"/>
      <c r="CE47" s="145"/>
      <c r="CF47" s="142"/>
    </row>
    <row r="48" spans="1:84" ht="13.5" customHeight="1">
      <c r="B48" s="80">
        <v>416</v>
      </c>
      <c r="C48" s="93" t="str">
        <f>+'Cental Budget'!C43</f>
        <v>Kamate</v>
      </c>
      <c r="D48" s="230">
        <v>781686.97</v>
      </c>
      <c r="E48" s="277">
        <f t="shared" si="1"/>
        <v>2.1834831564245809E-2</v>
      </c>
      <c r="F48" s="230">
        <v>1033043.38870725</v>
      </c>
      <c r="G48" s="277">
        <f t="shared" si="0"/>
        <v>2.8855960578414802E-2</v>
      </c>
      <c r="H48" s="231">
        <f t="shared" si="2"/>
        <v>-251356.41870725004</v>
      </c>
      <c r="I48" s="286">
        <f t="shared" si="3"/>
        <v>-24.331641967313431</v>
      </c>
      <c r="J48" s="230">
        <v>842237.6</v>
      </c>
      <c r="K48" s="277">
        <f t="shared" si="4"/>
        <v>2.4590878832116789E-2</v>
      </c>
      <c r="L48" s="231">
        <f t="shared" si="5"/>
        <v>-60550.630000000005</v>
      </c>
      <c r="M48" s="286">
        <f t="shared" si="6"/>
        <v>-7.1892575206806271</v>
      </c>
      <c r="O48" s="81"/>
      <c r="CA48" s="146"/>
      <c r="CB48" s="146"/>
      <c r="CC48" s="145"/>
      <c r="CD48" s="145"/>
      <c r="CE48" s="145"/>
      <c r="CF48" s="142"/>
    </row>
    <row r="49" spans="1:84" ht="13.5" customHeight="1">
      <c r="B49" s="80">
        <v>417</v>
      </c>
      <c r="C49" s="93" t="str">
        <f>+'Cental Budget'!C44</f>
        <v>Renta</v>
      </c>
      <c r="D49" s="230">
        <v>60056.21</v>
      </c>
      <c r="E49" s="277">
        <f t="shared" si="1"/>
        <v>1.6775477653631285E-3</v>
      </c>
      <c r="F49" s="230">
        <v>116771.6758275</v>
      </c>
      <c r="G49" s="277">
        <f t="shared" si="0"/>
        <v>3.2617786543994417E-3</v>
      </c>
      <c r="H49" s="231">
        <f t="shared" si="2"/>
        <v>-56715.465827500004</v>
      </c>
      <c r="I49" s="286">
        <f t="shared" si="3"/>
        <v>-48.569540023800343</v>
      </c>
      <c r="J49" s="230">
        <v>52908.61</v>
      </c>
      <c r="K49" s="277">
        <f t="shared" si="4"/>
        <v>1.5447769343065695E-3</v>
      </c>
      <c r="L49" s="231">
        <f t="shared" si="5"/>
        <v>7147.5999999999985</v>
      </c>
      <c r="M49" s="286">
        <f t="shared" si="6"/>
        <v>13.50933241300423</v>
      </c>
      <c r="O49" s="81"/>
      <c r="CA49" s="146"/>
      <c r="CB49" s="146"/>
      <c r="CC49" s="145"/>
      <c r="CD49" s="145"/>
      <c r="CE49" s="145"/>
      <c r="CF49" s="142"/>
    </row>
    <row r="50" spans="1:84" ht="13.5" customHeight="1">
      <c r="B50" s="80">
        <v>418</v>
      </c>
      <c r="C50" s="93" t="str">
        <f>+'Cental Budget'!C45</f>
        <v>Subvencije</v>
      </c>
      <c r="D50" s="230">
        <v>57148.71</v>
      </c>
      <c r="E50" s="277">
        <f t="shared" si="1"/>
        <v>1.5963326815642456E-3</v>
      </c>
      <c r="F50" s="230">
        <v>145767.98244675001</v>
      </c>
      <c r="G50" s="277">
        <f t="shared" si="0"/>
        <v>4.0717313532611732E-3</v>
      </c>
      <c r="H50" s="231">
        <f t="shared" si="2"/>
        <v>-88619.272446750023</v>
      </c>
      <c r="I50" s="286">
        <f t="shared" si="3"/>
        <v>-60.794744469433269</v>
      </c>
      <c r="J50" s="230">
        <v>78708.22</v>
      </c>
      <c r="K50" s="277">
        <f t="shared" si="4"/>
        <v>2.298050218978102E-3</v>
      </c>
      <c r="L50" s="231">
        <f t="shared" si="5"/>
        <v>-21559.510000000002</v>
      </c>
      <c r="M50" s="286">
        <f t="shared" si="6"/>
        <v>-27.391687932975756</v>
      </c>
      <c r="O50" s="81"/>
      <c r="CA50" s="146"/>
      <c r="CB50" s="146"/>
      <c r="CC50" s="145"/>
      <c r="CD50" s="145"/>
      <c r="CE50" s="145"/>
      <c r="CF50" s="142"/>
    </row>
    <row r="51" spans="1:84" ht="13.5" customHeight="1">
      <c r="B51" s="80">
        <v>419</v>
      </c>
      <c r="C51" s="93" t="str">
        <f>+'Cental Budget'!C46</f>
        <v>Ostali izdaci</v>
      </c>
      <c r="D51" s="230">
        <v>278438.03999999998</v>
      </c>
      <c r="E51" s="277">
        <f t="shared" si="1"/>
        <v>7.7775988826815643E-3</v>
      </c>
      <c r="F51" s="230">
        <v>421981.38344849995</v>
      </c>
      <c r="G51" s="277">
        <f t="shared" si="0"/>
        <v>1.1787189481801675E-2</v>
      </c>
      <c r="H51" s="231">
        <f t="shared" si="2"/>
        <v>-143543.34344849997</v>
      </c>
      <c r="I51" s="286">
        <f t="shared" si="3"/>
        <v>-34.016510935966082</v>
      </c>
      <c r="J51" s="230">
        <v>211551.62</v>
      </c>
      <c r="K51" s="277">
        <f t="shared" si="4"/>
        <v>6.1766896350364964E-3</v>
      </c>
      <c r="L51" s="231">
        <f t="shared" si="5"/>
        <v>66886.419999999984</v>
      </c>
      <c r="M51" s="286">
        <f t="shared" si="6"/>
        <v>31.617068212476937</v>
      </c>
      <c r="O51" s="81"/>
      <c r="CA51" s="146"/>
      <c r="CB51" s="146"/>
      <c r="CC51" s="145"/>
      <c r="CD51" s="145"/>
      <c r="CE51" s="145"/>
      <c r="CF51" s="142"/>
    </row>
    <row r="52" spans="1:84" ht="13.5" customHeight="1">
      <c r="A52" s="80">
        <v>42</v>
      </c>
      <c r="B52" s="80" t="s">
        <v>428</v>
      </c>
      <c r="C52" s="93" t="str">
        <f>+'Cental Budget'!C48</f>
        <v>Transferi za socijalnu zaštitu</v>
      </c>
      <c r="D52" s="230">
        <f>+D53</f>
        <v>31829.22</v>
      </c>
      <c r="E52" s="277">
        <f t="shared" si="1"/>
        <v>8.8908435754189935E-4</v>
      </c>
      <c r="F52" s="230">
        <f>+F53</f>
        <v>154152.15438749999</v>
      </c>
      <c r="G52" s="277">
        <f t="shared" si="0"/>
        <v>4.3059261002094977E-3</v>
      </c>
      <c r="H52" s="231">
        <f t="shared" si="2"/>
        <v>-122322.93438749999</v>
      </c>
      <c r="I52" s="286">
        <f t="shared" si="3"/>
        <v>-79.352075793900809</v>
      </c>
      <c r="J52" s="230">
        <v>41301.39</v>
      </c>
      <c r="K52" s="277">
        <f t="shared" si="4"/>
        <v>1.2058800000000001E-3</v>
      </c>
      <c r="L52" s="231">
        <f t="shared" si="5"/>
        <v>-9472.1699999999983</v>
      </c>
      <c r="M52" s="286">
        <f t="shared" si="6"/>
        <v>-22.934264440010367</v>
      </c>
      <c r="O52" s="81"/>
      <c r="CA52" s="146"/>
      <c r="CB52" s="146"/>
      <c r="CC52" s="145"/>
      <c r="CD52" s="145"/>
      <c r="CE52" s="145"/>
      <c r="CF52" s="142"/>
    </row>
    <row r="53" spans="1:84" ht="13.5" customHeight="1">
      <c r="B53" s="80">
        <v>421</v>
      </c>
      <c r="C53" s="97" t="s">
        <v>89</v>
      </c>
      <c r="D53" s="224">
        <v>31829.22</v>
      </c>
      <c r="E53" s="275">
        <f>+D53/$D$11*100</f>
        <v>8.8908435754189935E-4</v>
      </c>
      <c r="F53" s="224">
        <v>154152.15438749999</v>
      </c>
      <c r="G53" s="275">
        <f t="shared" si="0"/>
        <v>4.3059261002094977E-3</v>
      </c>
      <c r="H53" s="225">
        <f>+D53-F53</f>
        <v>-122322.93438749999</v>
      </c>
      <c r="I53" s="284">
        <f>+D53/F53*100-100</f>
        <v>-79.352075793900809</v>
      </c>
      <c r="J53" s="224"/>
      <c r="K53" s="275">
        <f t="shared" si="4"/>
        <v>0</v>
      </c>
      <c r="L53" s="225">
        <f>+D53-J53</f>
        <v>31829.22</v>
      </c>
      <c r="M53" s="284" t="e">
        <f>+D53/J53*100-100</f>
        <v>#DIV/0!</v>
      </c>
      <c r="O53" s="81"/>
      <c r="CA53" s="146"/>
      <c r="CB53" s="146"/>
      <c r="CC53" s="145"/>
      <c r="CD53" s="145"/>
      <c r="CE53" s="145"/>
      <c r="CF53" s="142"/>
    </row>
    <row r="54" spans="1:84" ht="13.5" hidden="1" customHeight="1">
      <c r="B54" s="80">
        <v>422</v>
      </c>
      <c r="C54" s="97" t="s">
        <v>91</v>
      </c>
      <c r="D54" s="224"/>
      <c r="E54" s="275">
        <f t="shared" si="1"/>
        <v>0</v>
      </c>
      <c r="F54" s="224">
        <v>0</v>
      </c>
      <c r="G54" s="275">
        <f t="shared" si="0"/>
        <v>0</v>
      </c>
      <c r="H54" s="225">
        <f t="shared" si="2"/>
        <v>0</v>
      </c>
      <c r="I54" s="284" t="e">
        <f t="shared" si="3"/>
        <v>#DIV/0!</v>
      </c>
      <c r="J54" s="224"/>
      <c r="K54" s="275">
        <f t="shared" si="4"/>
        <v>0</v>
      </c>
      <c r="L54" s="225">
        <f t="shared" si="5"/>
        <v>0</v>
      </c>
      <c r="M54" s="284" t="e">
        <f t="shared" si="6"/>
        <v>#DIV/0!</v>
      </c>
      <c r="O54" s="81"/>
      <c r="CA54" s="146"/>
      <c r="CB54" s="146"/>
      <c r="CC54" s="145"/>
      <c r="CD54" s="145"/>
      <c r="CE54" s="145"/>
      <c r="CF54" s="142"/>
    </row>
    <row r="55" spans="1:84" ht="13.5" customHeight="1">
      <c r="A55" s="80">
        <v>43</v>
      </c>
      <c r="C55" s="93" t="str">
        <f>+'Cental Budget'!C54</f>
        <v xml:space="preserve">Transferi institucijama, pojedincima, nevladinom i javnom sektoru </v>
      </c>
      <c r="D55" s="94">
        <f>+SUM(D56:D57)</f>
        <v>5975191.0800000001</v>
      </c>
      <c r="E55" s="253">
        <f t="shared" si="1"/>
        <v>0.16690477877094972</v>
      </c>
      <c r="F55" s="94">
        <f>+SUM(F56:F57)</f>
        <v>9191700.883200001</v>
      </c>
      <c r="G55" s="253">
        <f t="shared" si="0"/>
        <v>0.25675142131843576</v>
      </c>
      <c r="H55" s="207">
        <f t="shared" si="2"/>
        <v>-3216509.8032000009</v>
      </c>
      <c r="I55" s="266">
        <f t="shared" si="3"/>
        <v>-34.993630059034345</v>
      </c>
      <c r="J55" s="154">
        <f>+J56+J57</f>
        <v>6216815.8099999996</v>
      </c>
      <c r="K55" s="256">
        <f t="shared" si="4"/>
        <v>0.1815128703649635</v>
      </c>
      <c r="L55" s="207">
        <f t="shared" si="5"/>
        <v>-241624.72999999952</v>
      </c>
      <c r="M55" s="266">
        <f t="shared" si="6"/>
        <v>-3.8866316356250508</v>
      </c>
      <c r="O55" s="81"/>
      <c r="CA55" s="146"/>
      <c r="CB55" s="146"/>
      <c r="CC55" s="145"/>
      <c r="CD55" s="145"/>
      <c r="CE55" s="145"/>
      <c r="CF55" s="142"/>
    </row>
    <row r="56" spans="1:84" ht="13.5" customHeight="1">
      <c r="A56" s="80" t="s">
        <v>428</v>
      </c>
      <c r="B56" s="80">
        <v>431</v>
      </c>
      <c r="C56" s="97" t="s">
        <v>433</v>
      </c>
      <c r="D56" s="224">
        <v>3138386.01</v>
      </c>
      <c r="E56" s="275">
        <f t="shared" si="1"/>
        <v>8.7664413687150833E-2</v>
      </c>
      <c r="F56" s="224">
        <v>5293057.9437250001</v>
      </c>
      <c r="G56" s="275">
        <f t="shared" si="0"/>
        <v>0.14785078055097764</v>
      </c>
      <c r="H56" s="224">
        <f t="shared" si="2"/>
        <v>-2154671.9337250004</v>
      </c>
      <c r="I56" s="275">
        <f t="shared" si="3"/>
        <v>-40.707507014530165</v>
      </c>
      <c r="J56" s="224">
        <v>3430689.78</v>
      </c>
      <c r="K56" s="275">
        <f t="shared" si="4"/>
        <v>0.10016612496350365</v>
      </c>
      <c r="L56" s="224">
        <f t="shared" si="5"/>
        <v>-292303.77</v>
      </c>
      <c r="M56" s="275">
        <f t="shared" si="6"/>
        <v>-8.5202623596004656</v>
      </c>
      <c r="O56" s="81"/>
      <c r="CA56" s="146"/>
      <c r="CB56" s="146"/>
      <c r="CC56" s="145"/>
      <c r="CD56" s="145"/>
      <c r="CE56" s="145"/>
      <c r="CF56" s="142"/>
    </row>
    <row r="57" spans="1:84" s="245" customFormat="1" ht="13.5" customHeight="1" thickBot="1">
      <c r="A57" s="245" t="s">
        <v>428</v>
      </c>
      <c r="B57" s="245">
        <v>432</v>
      </c>
      <c r="C57" s="246" t="s">
        <v>434</v>
      </c>
      <c r="D57" s="228">
        <v>2836805.07</v>
      </c>
      <c r="E57" s="254">
        <f t="shared" si="1"/>
        <v>7.9240365083798878E-2</v>
      </c>
      <c r="F57" s="156">
        <v>3898642.9394749999</v>
      </c>
      <c r="G57" s="254">
        <f t="shared" si="0"/>
        <v>0.10890064076745809</v>
      </c>
      <c r="H57" s="228">
        <f t="shared" si="2"/>
        <v>-1061837.8694750001</v>
      </c>
      <c r="I57" s="254">
        <f t="shared" si="3"/>
        <v>-27.236089222830699</v>
      </c>
      <c r="J57" s="156">
        <v>2786126.03</v>
      </c>
      <c r="K57" s="304">
        <f t="shared" si="4"/>
        <v>8.134674540145985E-2</v>
      </c>
      <c r="L57" s="228">
        <f t="shared" si="5"/>
        <v>50679.040000000037</v>
      </c>
      <c r="M57" s="254">
        <f t="shared" si="6"/>
        <v>1.8189787344257411</v>
      </c>
      <c r="N57" s="80"/>
      <c r="O57" s="247"/>
      <c r="CA57" s="248"/>
      <c r="CB57" s="248"/>
      <c r="CC57" s="249"/>
      <c r="CD57" s="249"/>
      <c r="CE57" s="249"/>
      <c r="CF57" s="250"/>
    </row>
    <row r="58" spans="1:84" ht="13.5" customHeight="1" thickTop="1" thickBot="1">
      <c r="B58" s="80">
        <v>44</v>
      </c>
      <c r="C58" s="153" t="str">
        <f>+'Cental Budget'!C55</f>
        <v>Kapitalni budžet</v>
      </c>
      <c r="D58" s="232">
        <v>6193800.8299999991</v>
      </c>
      <c r="E58" s="278">
        <f t="shared" si="1"/>
        <v>0.17301119636871506</v>
      </c>
      <c r="F58" s="233">
        <v>10000000</v>
      </c>
      <c r="G58" s="278">
        <f t="shared" si="0"/>
        <v>0.27932960893854747</v>
      </c>
      <c r="H58" s="232">
        <f t="shared" si="2"/>
        <v>-3806199.1700000009</v>
      </c>
      <c r="I58" s="278">
        <f t="shared" si="3"/>
        <v>-38.061991700000007</v>
      </c>
      <c r="J58" s="233">
        <v>7105427.5899999999</v>
      </c>
      <c r="K58" s="305">
        <f t="shared" si="4"/>
        <v>0.20745773985401458</v>
      </c>
      <c r="L58" s="232">
        <f t="shared" si="5"/>
        <v>-911626.76000000071</v>
      </c>
      <c r="M58" s="278">
        <f t="shared" si="6"/>
        <v>-12.830005632356333</v>
      </c>
      <c r="O58" s="81"/>
      <c r="CA58" s="146"/>
      <c r="CB58" s="146"/>
      <c r="CC58" s="145"/>
      <c r="CD58" s="145"/>
      <c r="CE58" s="145"/>
      <c r="CF58" s="142"/>
    </row>
    <row r="59" spans="1:84" ht="13.5" customHeight="1" thickTop="1">
      <c r="B59" s="80">
        <v>451</v>
      </c>
      <c r="C59" s="93" t="str">
        <f>+'Cental Budget'!C56</f>
        <v>Pozajmice i krediti</v>
      </c>
      <c r="D59" s="230">
        <v>245963.69</v>
      </c>
      <c r="E59" s="277">
        <f t="shared" si="1"/>
        <v>6.8704941340782125E-3</v>
      </c>
      <c r="F59" s="230">
        <v>561104.28177825001</v>
      </c>
      <c r="G59" s="277">
        <f t="shared" si="0"/>
        <v>1.5673303960286315E-2</v>
      </c>
      <c r="H59" s="231">
        <f t="shared" si="2"/>
        <v>-315140.59177825</v>
      </c>
      <c r="I59" s="286">
        <f t="shared" si="3"/>
        <v>-56.164353403169081</v>
      </c>
      <c r="J59" s="230">
        <v>685199.75</v>
      </c>
      <c r="K59" s="277">
        <f t="shared" si="4"/>
        <v>2.0005832116788323E-2</v>
      </c>
      <c r="L59" s="231">
        <f t="shared" si="5"/>
        <v>-439236.06</v>
      </c>
      <c r="M59" s="286">
        <f t="shared" si="6"/>
        <v>-64.103359640747101</v>
      </c>
      <c r="O59" s="81"/>
      <c r="CA59" s="146"/>
      <c r="CB59" s="146"/>
      <c r="CC59" s="145"/>
      <c r="CD59" s="145"/>
      <c r="CE59" s="145"/>
      <c r="CF59" s="142"/>
    </row>
    <row r="60" spans="1:84" ht="13.5" customHeight="1" thickBot="1">
      <c r="B60" s="80">
        <v>47</v>
      </c>
      <c r="C60" s="93" t="str">
        <f>+'Cental Budget'!C57</f>
        <v>Rezerve</v>
      </c>
      <c r="D60" s="234">
        <v>329857.17</v>
      </c>
      <c r="E60" s="279">
        <f t="shared" si="1"/>
        <v>9.2138874301675965E-3</v>
      </c>
      <c r="F60" s="234">
        <v>750000</v>
      </c>
      <c r="G60" s="279">
        <f t="shared" si="0"/>
        <v>2.094972067039106E-2</v>
      </c>
      <c r="H60" s="235">
        <f t="shared" si="2"/>
        <v>-420142.83</v>
      </c>
      <c r="I60" s="287">
        <f t="shared" si="3"/>
        <v>-56.019044000000001</v>
      </c>
      <c r="J60" s="234">
        <v>372928.38</v>
      </c>
      <c r="K60" s="279">
        <f t="shared" si="4"/>
        <v>1.0888419854014598E-2</v>
      </c>
      <c r="L60" s="235">
        <f t="shared" si="5"/>
        <v>-43071.210000000021</v>
      </c>
      <c r="M60" s="287">
        <f t="shared" si="6"/>
        <v>-11.549458906828164</v>
      </c>
      <c r="O60" s="81"/>
      <c r="CA60" s="146"/>
      <c r="CB60" s="146"/>
      <c r="CC60" s="145"/>
      <c r="CD60" s="145"/>
      <c r="CE60" s="145"/>
      <c r="CF60" s="142"/>
    </row>
    <row r="61" spans="1:84" ht="13.5" customHeight="1" thickTop="1" thickBot="1">
      <c r="B61" s="80">
        <v>462</v>
      </c>
      <c r="C61" s="197" t="s">
        <v>113</v>
      </c>
      <c r="D61" s="236">
        <v>0</v>
      </c>
      <c r="E61" s="280">
        <f t="shared" si="1"/>
        <v>0</v>
      </c>
      <c r="F61" s="236">
        <v>0</v>
      </c>
      <c r="G61" s="280">
        <f t="shared" si="0"/>
        <v>0</v>
      </c>
      <c r="H61" s="237">
        <f t="shared" si="2"/>
        <v>0</v>
      </c>
      <c r="I61" s="288"/>
      <c r="J61" s="236">
        <v>0</v>
      </c>
      <c r="K61" s="280">
        <f t="shared" si="4"/>
        <v>0</v>
      </c>
      <c r="L61" s="237">
        <f t="shared" si="5"/>
        <v>0</v>
      </c>
      <c r="M61" s="288" t="e">
        <f t="shared" si="6"/>
        <v>#DIV/0!</v>
      </c>
      <c r="O61" s="81"/>
      <c r="CA61" s="146"/>
      <c r="CB61" s="146"/>
      <c r="CC61" s="145"/>
      <c r="CD61" s="145"/>
      <c r="CE61" s="145"/>
      <c r="CF61" s="142"/>
    </row>
    <row r="62" spans="1:84" ht="13.5" customHeight="1" thickTop="1" thickBot="1">
      <c r="B62" s="80">
        <v>990</v>
      </c>
      <c r="C62" s="198" t="s">
        <v>152</v>
      </c>
      <c r="D62" s="238">
        <v>0</v>
      </c>
      <c r="E62" s="281">
        <f t="shared" si="1"/>
        <v>0</v>
      </c>
      <c r="F62" s="238">
        <v>140276.0704445625</v>
      </c>
      <c r="G62" s="281">
        <f t="shared" si="0"/>
        <v>3.9183259900715788E-3</v>
      </c>
      <c r="H62" s="239">
        <f t="shared" si="2"/>
        <v>-140276.0704445625</v>
      </c>
      <c r="I62" s="289"/>
      <c r="J62" s="238"/>
      <c r="K62" s="281">
        <f t="shared" si="4"/>
        <v>0</v>
      </c>
      <c r="L62" s="239">
        <f t="shared" si="5"/>
        <v>0</v>
      </c>
      <c r="M62" s="289"/>
      <c r="O62" s="81"/>
      <c r="CA62" s="146"/>
      <c r="CB62" s="146"/>
      <c r="CC62" s="145"/>
      <c r="CD62" s="145"/>
      <c r="CE62" s="145"/>
      <c r="CF62" s="142"/>
    </row>
    <row r="63" spans="1:84" ht="13.5" customHeight="1" thickTop="1" thickBot="1">
      <c r="C63" s="153" t="str">
        <f>+'Cental Budget'!C61</f>
        <v>Suficit / deficit</v>
      </c>
      <c r="D63" s="232">
        <f>+D16-D40+D75</f>
        <v>29876397.059999995</v>
      </c>
      <c r="E63" s="278">
        <f t="shared" si="1"/>
        <v>0.83453623072625682</v>
      </c>
      <c r="F63" s="232">
        <f>+F16-F40+F75</f>
        <v>11795020.071810611</v>
      </c>
      <c r="G63" s="278">
        <f t="shared" si="0"/>
        <v>0.32946983440811761</v>
      </c>
      <c r="H63" s="232">
        <f t="shared" si="2"/>
        <v>18081376.988189384</v>
      </c>
      <c r="I63" s="278">
        <f t="shared" si="3"/>
        <v>153.29670384709891</v>
      </c>
      <c r="J63" s="232">
        <f>+J16-J40+J75</f>
        <v>27365370.09</v>
      </c>
      <c r="K63" s="305">
        <f t="shared" si="4"/>
        <v>0.79898890773722631</v>
      </c>
      <c r="L63" s="232">
        <f t="shared" si="5"/>
        <v>2511026.9699999951</v>
      </c>
      <c r="M63" s="278">
        <f t="shared" si="6"/>
        <v>9.1759291460033552</v>
      </c>
      <c r="O63" s="81"/>
      <c r="CA63" s="146"/>
      <c r="CB63" s="146"/>
      <c r="CC63" s="145"/>
      <c r="CD63" s="145"/>
      <c r="CE63" s="145"/>
      <c r="CF63" s="142"/>
    </row>
    <row r="64" spans="1:84" ht="13.5" customHeight="1" thickTop="1" thickBot="1">
      <c r="C64" s="153" t="str">
        <f>+'Cental Budget'!C62</f>
        <v>Primarni bilans</v>
      </c>
      <c r="D64" s="232">
        <f>+D63+D48</f>
        <v>30658084.029999994</v>
      </c>
      <c r="E64" s="278">
        <f t="shared" si="1"/>
        <v>0.85637106229050264</v>
      </c>
      <c r="F64" s="232">
        <f>+F63+F48</f>
        <v>12828063.460517861</v>
      </c>
      <c r="G64" s="278">
        <f t="shared" si="0"/>
        <v>0.35832579498653244</v>
      </c>
      <c r="H64" s="232">
        <f t="shared" si="2"/>
        <v>17830020.569482133</v>
      </c>
      <c r="I64" s="278">
        <f t="shared" si="3"/>
        <v>138.99230093738831</v>
      </c>
      <c r="J64" s="232">
        <f>+J63+J48</f>
        <v>28207607.690000001</v>
      </c>
      <c r="K64" s="305">
        <f t="shared" si="4"/>
        <v>0.82357978656934316</v>
      </c>
      <c r="L64" s="232">
        <f t="shared" si="5"/>
        <v>2450476.3399999924</v>
      </c>
      <c r="M64" s="278">
        <f t="shared" si="6"/>
        <v>8.6872887872328164</v>
      </c>
      <c r="O64" s="81"/>
      <c r="CA64" s="146"/>
      <c r="CB64" s="146"/>
      <c r="CC64" s="145"/>
      <c r="CD64" s="145"/>
      <c r="CE64" s="145"/>
      <c r="CF64" s="142"/>
    </row>
    <row r="65" spans="2:84" ht="13.5" customHeight="1" thickTop="1" thickBot="1">
      <c r="C65" s="153" t="str">
        <f>+'Cental Budget'!C63</f>
        <v>Otplata dugova</v>
      </c>
      <c r="D65" s="232">
        <f>+SUM(D66:D68)</f>
        <v>17049248.260000002</v>
      </c>
      <c r="E65" s="278">
        <f t="shared" si="1"/>
        <v>0.47623598491620112</v>
      </c>
      <c r="F65" s="232">
        <f>+SUM(F66:F68)</f>
        <v>14375000</v>
      </c>
      <c r="G65" s="278">
        <f t="shared" si="0"/>
        <v>0.40153631284916202</v>
      </c>
      <c r="H65" s="232">
        <f t="shared" si="2"/>
        <v>2674248.2600000016</v>
      </c>
      <c r="I65" s="278">
        <f t="shared" si="3"/>
        <v>18.603466156521748</v>
      </c>
      <c r="J65" s="232">
        <f>+SUM(J66:J68)</f>
        <v>13283644.73</v>
      </c>
      <c r="K65" s="305">
        <f t="shared" si="4"/>
        <v>0.38784364175182484</v>
      </c>
      <c r="L65" s="232">
        <f t="shared" si="5"/>
        <v>3765603.5300000012</v>
      </c>
      <c r="M65" s="278">
        <f t="shared" si="6"/>
        <v>28.347668177963982</v>
      </c>
      <c r="O65" s="81"/>
      <c r="CA65" s="146"/>
      <c r="CB65" s="146"/>
      <c r="CC65" s="145"/>
      <c r="CD65" s="145"/>
      <c r="CE65" s="145"/>
      <c r="CF65" s="142"/>
    </row>
    <row r="66" spans="2:84" ht="13.5" customHeight="1" thickTop="1">
      <c r="B66" s="80">
        <v>4611</v>
      </c>
      <c r="C66" s="97" t="str">
        <f>+'Cental Budget'!C64</f>
        <v>Otplata hartija od vrijednosti i kredita rezidentima</v>
      </c>
      <c r="D66" s="240">
        <v>3202928.4100000006</v>
      </c>
      <c r="E66" s="282">
        <f t="shared" si="1"/>
        <v>8.9467274022346388E-2</v>
      </c>
      <c r="F66" s="240">
        <v>1125000</v>
      </c>
      <c r="G66" s="282">
        <f t="shared" si="0"/>
        <v>3.1424581005586594E-2</v>
      </c>
      <c r="H66" s="241">
        <f t="shared" si="2"/>
        <v>2077928.4100000006</v>
      </c>
      <c r="I66" s="290">
        <f t="shared" si="3"/>
        <v>184.70474755555563</v>
      </c>
      <c r="J66" s="240">
        <v>1511599.5</v>
      </c>
      <c r="K66" s="282">
        <f t="shared" si="4"/>
        <v>4.4134291970802916E-2</v>
      </c>
      <c r="L66" s="241">
        <f t="shared" si="5"/>
        <v>1691328.9100000006</v>
      </c>
      <c r="M66" s="290">
        <f t="shared" si="6"/>
        <v>111.89001517928529</v>
      </c>
      <c r="O66" s="81"/>
      <c r="CA66" s="146"/>
      <c r="CB66" s="146"/>
      <c r="CC66" s="145"/>
      <c r="CD66" s="145"/>
      <c r="CE66" s="145"/>
      <c r="CF66" s="142"/>
    </row>
    <row r="67" spans="2:84" ht="13.5" customHeight="1">
      <c r="B67" s="80">
        <v>4612</v>
      </c>
      <c r="C67" s="97" t="str">
        <f>+'Cental Budget'!C65</f>
        <v>Otplata hartija od vrijednosti i kredita nerezidentima</v>
      </c>
      <c r="D67" s="242">
        <v>2438507.0300000003</v>
      </c>
      <c r="E67" s="275">
        <f t="shared" si="1"/>
        <v>6.8114721508379897E-2</v>
      </c>
      <c r="F67" s="242">
        <v>2250000</v>
      </c>
      <c r="G67" s="275">
        <f t="shared" si="0"/>
        <v>6.2849162011173187E-2</v>
      </c>
      <c r="H67" s="225">
        <f t="shared" si="2"/>
        <v>188507.03000000026</v>
      </c>
      <c r="I67" s="284">
        <f t="shared" si="3"/>
        <v>8.3780902222222267</v>
      </c>
      <c r="J67" s="242">
        <v>711176.63</v>
      </c>
      <c r="K67" s="275">
        <f t="shared" si="4"/>
        <v>2.0764281167883213E-2</v>
      </c>
      <c r="L67" s="225">
        <f t="shared" si="5"/>
        <v>1727330.4000000004</v>
      </c>
      <c r="M67" s="284">
        <f t="shared" si="6"/>
        <v>242.88345920478298</v>
      </c>
      <c r="O67" s="81"/>
      <c r="CA67" s="146"/>
      <c r="CB67" s="146"/>
      <c r="CC67" s="145"/>
      <c r="CD67" s="145"/>
      <c r="CE67" s="145"/>
      <c r="CF67" s="142"/>
    </row>
    <row r="68" spans="2:84" ht="13.5" customHeight="1" thickBot="1">
      <c r="B68" s="80" t="s">
        <v>457</v>
      </c>
      <c r="C68" s="97" t="str">
        <f>+'Cental Budget'!C59</f>
        <v>Otplata obaveza iz prethodnih godina</v>
      </c>
      <c r="D68" s="242">
        <v>11407812.82</v>
      </c>
      <c r="E68" s="275">
        <f t="shared" si="1"/>
        <v>0.3186539893854749</v>
      </c>
      <c r="F68" s="242">
        <v>11000000</v>
      </c>
      <c r="G68" s="275">
        <f t="shared" si="0"/>
        <v>0.30726256983240219</v>
      </c>
      <c r="H68" s="225">
        <f t="shared" si="2"/>
        <v>407812.8200000003</v>
      </c>
      <c r="I68" s="284">
        <f t="shared" si="3"/>
        <v>3.7073892727272693</v>
      </c>
      <c r="J68" s="242">
        <v>11060868.6</v>
      </c>
      <c r="K68" s="275">
        <f t="shared" si="4"/>
        <v>0.32294506861313865</v>
      </c>
      <c r="L68" s="225">
        <f t="shared" si="5"/>
        <v>346944.22000000067</v>
      </c>
      <c r="M68" s="284">
        <f t="shared" si="6"/>
        <v>3.1366815079965704</v>
      </c>
      <c r="O68" s="81"/>
      <c r="CA68" s="146"/>
      <c r="CB68" s="146"/>
      <c r="CC68" s="145"/>
      <c r="CD68" s="145"/>
      <c r="CE68" s="145"/>
      <c r="CF68" s="142"/>
    </row>
    <row r="69" spans="2:84" ht="13.5" customHeight="1" thickTop="1" thickBot="1">
      <c r="C69" s="153" t="str">
        <f>+'Cental Budget'!C67</f>
        <v>Nedostajuća sredstva</v>
      </c>
      <c r="D69" s="232">
        <f>+D63-D65</f>
        <v>12827148.799999993</v>
      </c>
      <c r="E69" s="278">
        <f t="shared" si="1"/>
        <v>0.35830024581005565</v>
      </c>
      <c r="F69" s="232">
        <f>+F63-F65</f>
        <v>-2579979.9281893894</v>
      </c>
      <c r="G69" s="278">
        <f t="shared" si="0"/>
        <v>-7.2066478441044385E-2</v>
      </c>
      <c r="H69" s="232">
        <f t="shared" si="2"/>
        <v>15407128.728189383</v>
      </c>
      <c r="I69" s="278">
        <f t="shared" si="3"/>
        <v>-597.18017802572558</v>
      </c>
      <c r="J69" s="232">
        <f>+J63-J65</f>
        <v>14081725.359999999</v>
      </c>
      <c r="K69" s="305">
        <f t="shared" si="4"/>
        <v>0.41114526598540141</v>
      </c>
      <c r="L69" s="232">
        <f t="shared" si="5"/>
        <v>-1254576.5600000061</v>
      </c>
      <c r="M69" s="278">
        <f t="shared" si="6"/>
        <v>-8.9092531485076876</v>
      </c>
      <c r="O69" s="81"/>
      <c r="CA69" s="146"/>
      <c r="CB69" s="146"/>
      <c r="CC69" s="145"/>
      <c r="CD69" s="145"/>
      <c r="CE69" s="145"/>
      <c r="CF69" s="142"/>
    </row>
    <row r="70" spans="2:84" ht="13.5" customHeight="1" thickTop="1" thickBot="1">
      <c r="C70" s="153" t="str">
        <f>+'Cental Budget'!C68</f>
        <v>Finansiranje</v>
      </c>
      <c r="D70" s="232">
        <f>+SUM(D71:D74)</f>
        <v>-12827148.799999993</v>
      </c>
      <c r="E70" s="278">
        <f t="shared" si="1"/>
        <v>-0.35830024581005565</v>
      </c>
      <c r="F70" s="232">
        <f>+SUM(F71:F74)</f>
        <v>2579979.9281893894</v>
      </c>
      <c r="G70" s="278">
        <f t="shared" si="0"/>
        <v>7.2066478441044385E-2</v>
      </c>
      <c r="H70" s="232">
        <f t="shared" si="2"/>
        <v>-15407128.728189383</v>
      </c>
      <c r="I70" s="278">
        <f t="shared" si="3"/>
        <v>-597.18017802572558</v>
      </c>
      <c r="J70" s="232">
        <f>+SUM(J71:J74)</f>
        <v>-14081725.359999999</v>
      </c>
      <c r="K70" s="305">
        <f t="shared" si="4"/>
        <v>-0.41114526598540141</v>
      </c>
      <c r="L70" s="232">
        <f t="shared" si="5"/>
        <v>1254576.5600000061</v>
      </c>
      <c r="M70" s="278">
        <f t="shared" si="6"/>
        <v>-8.9092531485076876</v>
      </c>
      <c r="O70" s="81"/>
      <c r="CA70" s="146"/>
      <c r="CB70" s="146"/>
      <c r="CC70" s="145"/>
      <c r="CD70" s="145"/>
      <c r="CE70" s="145"/>
      <c r="CF70" s="142"/>
    </row>
    <row r="71" spans="2:84" ht="13.5" customHeight="1" thickTop="1">
      <c r="B71" s="80">
        <v>7511</v>
      </c>
      <c r="C71" s="97" t="str">
        <f>+'Cental Budget'!C69</f>
        <v>Pozajmice i krediti od domaćih izvora</v>
      </c>
      <c r="D71" s="240">
        <v>1684605</v>
      </c>
      <c r="E71" s="282">
        <f t="shared" si="1"/>
        <v>4.7056005586592176E-2</v>
      </c>
      <c r="F71" s="240">
        <v>1250000</v>
      </c>
      <c r="G71" s="282">
        <f t="shared" si="0"/>
        <v>3.4916201117318434E-2</v>
      </c>
      <c r="H71" s="241">
        <f t="shared" si="2"/>
        <v>434605</v>
      </c>
      <c r="I71" s="290">
        <f t="shared" si="3"/>
        <v>34.768400000000014</v>
      </c>
      <c r="J71" s="240">
        <v>607901.93000000005</v>
      </c>
      <c r="K71" s="282">
        <f t="shared" si="4"/>
        <v>1.7748961459854017E-2</v>
      </c>
      <c r="L71" s="241">
        <f t="shared" si="5"/>
        <v>1076703.0699999998</v>
      </c>
      <c r="M71" s="290">
        <f t="shared" si="6"/>
        <v>177.11788972277157</v>
      </c>
      <c r="O71" s="81"/>
      <c r="CA71" s="146"/>
      <c r="CB71" s="146"/>
      <c r="CC71" s="145"/>
      <c r="CD71" s="145"/>
      <c r="CE71" s="145"/>
      <c r="CF71" s="142"/>
    </row>
    <row r="72" spans="2:84" ht="13.5" customHeight="1">
      <c r="B72" s="80">
        <v>7512</v>
      </c>
      <c r="C72" s="97" t="str">
        <f>+'Cental Budget'!C70</f>
        <v>Pozajmice i krediti od inostranih izvora</v>
      </c>
      <c r="D72" s="242">
        <v>33485.85</v>
      </c>
      <c r="E72" s="275">
        <f t="shared" si="1"/>
        <v>9.35358938547486E-4</v>
      </c>
      <c r="F72" s="242">
        <v>750000</v>
      </c>
      <c r="G72" s="275">
        <f t="shared" si="0"/>
        <v>2.094972067039106E-2</v>
      </c>
      <c r="H72" s="225">
        <f t="shared" si="2"/>
        <v>-716514.15</v>
      </c>
      <c r="I72" s="291"/>
      <c r="J72" s="242">
        <v>0</v>
      </c>
      <c r="K72" s="275">
        <f t="shared" si="4"/>
        <v>0</v>
      </c>
      <c r="L72" s="225">
        <f t="shared" si="5"/>
        <v>33485.85</v>
      </c>
      <c r="M72" s="291" t="e">
        <f t="shared" si="6"/>
        <v>#DIV/0!</v>
      </c>
      <c r="O72" s="81"/>
      <c r="CA72" s="146"/>
      <c r="CB72" s="146"/>
      <c r="CC72" s="145"/>
      <c r="CD72" s="145"/>
      <c r="CE72" s="145"/>
      <c r="CF72" s="142"/>
    </row>
    <row r="73" spans="2:84" ht="13.5" customHeight="1" thickBot="1">
      <c r="B73" s="80">
        <v>72</v>
      </c>
      <c r="C73" s="103" t="str">
        <f>+'Cental Budget'!C71</f>
        <v>Primici od prodaje imovine</v>
      </c>
      <c r="D73" s="242">
        <v>450590.55000000005</v>
      </c>
      <c r="E73" s="275">
        <f t="shared" si="1"/>
        <v>1.2586328212290505E-2</v>
      </c>
      <c r="F73" s="242">
        <v>2500000</v>
      </c>
      <c r="G73" s="275">
        <f t="shared" si="0"/>
        <v>6.9832402234636867E-2</v>
      </c>
      <c r="H73" s="225">
        <f t="shared" si="2"/>
        <v>-2049409.45</v>
      </c>
      <c r="I73" s="284">
        <f t="shared" si="3"/>
        <v>-81.976377999999997</v>
      </c>
      <c r="J73" s="242">
        <v>589241.93000000005</v>
      </c>
      <c r="K73" s="275">
        <f t="shared" si="4"/>
        <v>1.7204143941605844E-2</v>
      </c>
      <c r="L73" s="225">
        <f t="shared" si="5"/>
        <v>-138651.38</v>
      </c>
      <c r="M73" s="284">
        <f t="shared" si="6"/>
        <v>-23.530467358288647</v>
      </c>
      <c r="O73" s="81"/>
      <c r="CA73" s="146"/>
      <c r="CB73" s="146"/>
      <c r="CC73" s="145"/>
      <c r="CD73" s="145"/>
      <c r="CE73" s="145"/>
      <c r="CF73" s="142"/>
    </row>
    <row r="74" spans="2:84" ht="13.5" customHeight="1" thickTop="1" thickBot="1">
      <c r="C74" s="148" t="str">
        <f>+'Cental Budget'!C72</f>
        <v>Povećanje / smanjenje depozita</v>
      </c>
      <c r="D74" s="149">
        <f>-D69-SUM(D71:D73)</f>
        <v>-14995830.199999994</v>
      </c>
      <c r="E74" s="257">
        <f t="shared" si="1"/>
        <v>-0.4188779385474859</v>
      </c>
      <c r="F74" s="149">
        <f>-F69-SUM(F71:F73)</f>
        <v>-1920020.0718106106</v>
      </c>
      <c r="G74" s="257">
        <f t="shared" si="0"/>
        <v>-5.3631845581301976E-2</v>
      </c>
      <c r="H74" s="208">
        <f t="shared" si="2"/>
        <v>-13075810.128189383</v>
      </c>
      <c r="I74" s="272">
        <f t="shared" si="3"/>
        <v>681.02465803176096</v>
      </c>
      <c r="J74" s="149">
        <f>-J69-SUM(J71:J73)</f>
        <v>-15278869.219999999</v>
      </c>
      <c r="K74" s="306">
        <f t="shared" si="4"/>
        <v>-0.44609837138686126</v>
      </c>
      <c r="L74" s="208">
        <f t="shared" si="5"/>
        <v>283039.02000000514</v>
      </c>
      <c r="M74" s="272">
        <f t="shared" si="6"/>
        <v>-1.8524866986197424</v>
      </c>
      <c r="O74" s="81"/>
      <c r="CA74" s="146"/>
      <c r="CB74" s="146"/>
      <c r="CC74" s="145"/>
      <c r="CD74" s="145"/>
      <c r="CE74" s="145"/>
      <c r="CF74" s="142"/>
    </row>
    <row r="75" spans="2:84" ht="13.5" customHeight="1" thickTop="1" thickBot="1">
      <c r="B75" s="80">
        <v>999</v>
      </c>
      <c r="C75" s="153" t="s">
        <v>465</v>
      </c>
      <c r="D75" s="233">
        <v>181625.16999999998</v>
      </c>
      <c r="E75" s="278">
        <f t="shared" si="1"/>
        <v>5.0733287709497201E-3</v>
      </c>
      <c r="F75" s="233">
        <v>500000</v>
      </c>
      <c r="G75" s="278">
        <f t="shared" si="0"/>
        <v>1.3966480446927373E-2</v>
      </c>
      <c r="H75" s="232">
        <f t="shared" si="2"/>
        <v>-318374.83</v>
      </c>
      <c r="I75" s="278"/>
      <c r="J75" s="233">
        <v>4705739.93</v>
      </c>
      <c r="K75" s="305">
        <f t="shared" si="4"/>
        <v>0.13739386656934305</v>
      </c>
      <c r="L75" s="232">
        <f t="shared" si="5"/>
        <v>-4524114.76</v>
      </c>
      <c r="M75" s="278">
        <f t="shared" si="6"/>
        <v>-96.140348325624529</v>
      </c>
      <c r="O75" s="81"/>
      <c r="P75" s="216"/>
      <c r="CA75" s="146"/>
      <c r="CB75" s="146"/>
      <c r="CC75" s="145"/>
      <c r="CD75" s="145"/>
      <c r="CE75" s="145"/>
      <c r="CF75" s="142"/>
    </row>
    <row r="76" spans="2:84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O76" s="81"/>
    </row>
    <row r="77" spans="2:84"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O77" s="81"/>
    </row>
    <row r="78" spans="2:84">
      <c r="D78" s="133"/>
      <c r="E78" s="134"/>
      <c r="F78" s="134"/>
      <c r="G78" s="134"/>
      <c r="H78" s="134"/>
      <c r="I78" s="134"/>
      <c r="J78" s="134"/>
      <c r="K78" s="134"/>
      <c r="L78" s="134"/>
      <c r="M78" s="134"/>
    </row>
    <row r="79" spans="2:84">
      <c r="D79" s="133"/>
      <c r="E79" s="134"/>
      <c r="F79" s="134"/>
      <c r="G79" s="134"/>
      <c r="H79" s="134"/>
      <c r="I79" s="134"/>
      <c r="J79" s="134"/>
      <c r="K79" s="134"/>
      <c r="L79" s="134"/>
      <c r="M79" s="134"/>
    </row>
    <row r="80" spans="2:84"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</row>
    <row r="81" spans="5:13">
      <c r="E81" s="134"/>
      <c r="F81" s="134"/>
      <c r="G81" s="134"/>
      <c r="H81" s="134"/>
      <c r="I81" s="134"/>
      <c r="J81" s="134"/>
      <c r="K81" s="134"/>
      <c r="L81" s="134"/>
      <c r="M81" s="134"/>
    </row>
    <row r="82" spans="5:13">
      <c r="E82" s="134"/>
      <c r="F82" s="134"/>
      <c r="G82" s="134"/>
      <c r="H82" s="134"/>
      <c r="I82" s="134"/>
      <c r="J82" s="134"/>
      <c r="K82" s="134"/>
      <c r="L82" s="134"/>
      <c r="M82" s="134"/>
    </row>
    <row r="83" spans="5:13">
      <c r="E83" s="134"/>
      <c r="F83" s="134"/>
      <c r="G83" s="134"/>
      <c r="H83" s="134"/>
      <c r="I83" s="134"/>
      <c r="J83" s="134"/>
      <c r="K83" s="134"/>
      <c r="L83" s="134"/>
      <c r="M83" s="134"/>
    </row>
    <row r="84" spans="5:13">
      <c r="E84" s="134"/>
      <c r="F84" s="134"/>
      <c r="G84" s="134"/>
      <c r="H84" s="134"/>
      <c r="I84" s="134"/>
      <c r="J84" s="134"/>
      <c r="K84" s="134"/>
      <c r="L84" s="134"/>
      <c r="M84" s="134"/>
    </row>
    <row r="85" spans="5:13">
      <c r="E85" s="134"/>
      <c r="F85" s="134"/>
      <c r="G85" s="134"/>
      <c r="H85" s="134"/>
      <c r="I85" s="134"/>
      <c r="J85" s="134"/>
      <c r="K85" s="134"/>
      <c r="L85" s="134"/>
      <c r="M85" s="134"/>
    </row>
    <row r="86" spans="5:13">
      <c r="E86" s="134"/>
      <c r="F86" s="134"/>
      <c r="G86" s="134"/>
      <c r="H86" s="134"/>
      <c r="I86" s="134"/>
      <c r="J86" s="134"/>
      <c r="K86" s="134"/>
      <c r="L86" s="134"/>
      <c r="M86" s="134"/>
    </row>
    <row r="87" spans="5:13">
      <c r="E87" s="134"/>
      <c r="F87" s="134"/>
      <c r="G87" s="134"/>
      <c r="H87" s="134"/>
      <c r="I87" s="134"/>
      <c r="J87" s="134"/>
      <c r="K87" s="134"/>
      <c r="L87" s="134"/>
      <c r="M87" s="134"/>
    </row>
    <row r="88" spans="5:13">
      <c r="E88" s="134"/>
      <c r="F88" s="134"/>
      <c r="G88" s="134"/>
      <c r="H88" s="134"/>
      <c r="I88" s="134"/>
      <c r="J88" s="134"/>
      <c r="K88" s="134"/>
      <c r="L88" s="134"/>
      <c r="M88" s="134"/>
    </row>
    <row r="89" spans="5:13">
      <c r="E89" s="134"/>
      <c r="F89" s="134"/>
      <c r="G89" s="134"/>
      <c r="H89" s="134"/>
      <c r="I89" s="134"/>
      <c r="J89" s="134"/>
      <c r="K89" s="134"/>
      <c r="L89" s="134"/>
      <c r="M89" s="134"/>
    </row>
    <row r="90" spans="5:13">
      <c r="E90" s="134"/>
      <c r="F90" s="134"/>
      <c r="G90" s="134"/>
      <c r="H90" s="134"/>
      <c r="I90" s="134"/>
      <c r="J90" s="134"/>
      <c r="K90" s="134"/>
      <c r="L90" s="134"/>
      <c r="M90" s="134"/>
    </row>
    <row r="91" spans="5:13">
      <c r="E91" s="134"/>
      <c r="F91" s="134"/>
      <c r="G91" s="134"/>
      <c r="H91" s="134"/>
      <c r="I91" s="134"/>
      <c r="J91" s="134"/>
      <c r="K91" s="134"/>
      <c r="L91" s="134"/>
      <c r="M91" s="134"/>
    </row>
    <row r="92" spans="5:13">
      <c r="E92" s="134"/>
      <c r="F92" s="134"/>
      <c r="G92" s="134"/>
      <c r="H92" s="134"/>
      <c r="I92" s="134"/>
      <c r="J92" s="134"/>
      <c r="K92" s="134"/>
      <c r="L92" s="134"/>
      <c r="M92" s="134"/>
    </row>
  </sheetData>
  <sheetProtection formatCells="0" formatColumns="0" formatRows="0" sort="0" autoFilter="0"/>
  <mergeCells count="12">
    <mergeCell ref="L14:M14"/>
    <mergeCell ref="H11:I11"/>
    <mergeCell ref="J11:K11"/>
    <mergeCell ref="L11:M11"/>
    <mergeCell ref="D11:G11"/>
    <mergeCell ref="D13:E13"/>
    <mergeCell ref="J13:K13"/>
    <mergeCell ref="C14:C15"/>
    <mergeCell ref="D14:E14"/>
    <mergeCell ref="F14:G14"/>
    <mergeCell ref="H14:I14"/>
    <mergeCell ref="J14:K14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CI82"/>
  <sheetViews>
    <sheetView topLeftCell="A43" zoomScale="90" zoomScaleNormal="90" workbookViewId="0">
      <selection activeCell="M64" sqref="M64"/>
    </sheetView>
  </sheetViews>
  <sheetFormatPr defaultColWidth="9.08984375" defaultRowHeight="13"/>
  <cols>
    <col min="1" max="2" width="9.08984375" style="80" customWidth="1"/>
    <col min="3" max="3" width="55.90625" style="80" bestFit="1" customWidth="1"/>
    <col min="4" max="13" width="9.453125" style="80" customWidth="1"/>
    <col min="14" max="14" width="15" style="80" customWidth="1"/>
    <col min="15" max="79" width="9.08984375" style="80" customWidth="1"/>
    <col min="80" max="80" width="9.08984375" style="80"/>
    <col min="81" max="81" width="15.453125" style="80" customWidth="1"/>
    <col min="82" max="82" width="12.6328125" style="80" customWidth="1"/>
    <col min="83" max="83" width="11.90625" style="80" customWidth="1"/>
    <col min="84" max="16384" width="9.08984375" style="80"/>
  </cols>
  <sheetData>
    <row r="1" spans="2:79" s="135" customFormat="1" ht="15" customHeight="1">
      <c r="C1" s="132"/>
      <c r="D1" s="108">
        <v>3</v>
      </c>
      <c r="E1" s="108">
        <v>4</v>
      </c>
      <c r="F1" s="108">
        <v>5</v>
      </c>
      <c r="G1" s="108">
        <v>6</v>
      </c>
      <c r="H1" s="108">
        <v>7</v>
      </c>
      <c r="I1" s="108">
        <v>8</v>
      </c>
      <c r="J1" s="108">
        <v>9</v>
      </c>
      <c r="K1" s="108">
        <v>10</v>
      </c>
      <c r="L1" s="108">
        <v>11</v>
      </c>
      <c r="M1" s="108">
        <v>12</v>
      </c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</row>
    <row r="2" spans="2:79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</row>
    <row r="3" spans="2:79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</row>
    <row r="4" spans="2:79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</row>
    <row r="5" spans="2:79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</row>
    <row r="6" spans="2:79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</row>
    <row r="7" spans="2:79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</row>
    <row r="8" spans="2:79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</row>
    <row r="9" spans="2:79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</row>
    <row r="10" spans="2:79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</row>
    <row r="11" spans="2:79" ht="18.75" customHeight="1" thickTop="1" thickBot="1">
      <c r="C11" s="167" t="str">
        <f>IF(MasterSheet!$A$1=1,MasterSheet!B67,MasterSheet!B66)</f>
        <v>BDP (u mil. €)</v>
      </c>
      <c r="D11" s="337">
        <f>+'Cental Budget'!D11:G11</f>
        <v>3580000000</v>
      </c>
      <c r="E11" s="338"/>
      <c r="F11" s="338"/>
      <c r="G11" s="339"/>
      <c r="H11" s="326"/>
      <c r="I11" s="327"/>
      <c r="J11" s="335">
        <f>+'Cental Budget'!J11:K11</f>
        <v>3425000000</v>
      </c>
      <c r="K11" s="336"/>
      <c r="L11" s="326"/>
      <c r="M11" s="330"/>
      <c r="N11" s="206"/>
      <c r="O11" s="81"/>
      <c r="P11" s="212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</row>
    <row r="12" spans="2:79" ht="19.5" customHeight="1" thickTop="1">
      <c r="C12" s="174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212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</row>
    <row r="13" spans="2:79" ht="27" customHeight="1" thickBot="1">
      <c r="B13" s="85"/>
      <c r="C13" s="175"/>
      <c r="D13" s="334" t="s">
        <v>468</v>
      </c>
      <c r="E13" s="334"/>
      <c r="F13" s="86"/>
      <c r="G13" s="86"/>
      <c r="H13" s="86"/>
      <c r="I13" s="86"/>
      <c r="J13" s="344"/>
      <c r="K13" s="344"/>
      <c r="L13" s="86"/>
      <c r="M13" s="86"/>
      <c r="N13" s="84"/>
      <c r="O13" s="136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</row>
    <row r="14" spans="2:79" ht="15.75" customHeight="1" thickTop="1">
      <c r="B14" s="87"/>
      <c r="C14" s="340" t="s">
        <v>235</v>
      </c>
      <c r="D14" s="342" t="s">
        <v>469</v>
      </c>
      <c r="E14" s="343"/>
      <c r="F14" s="342" t="s">
        <v>472</v>
      </c>
      <c r="G14" s="343"/>
      <c r="H14" s="342" t="str">
        <f>+'Cental Budget'!H14:I14</f>
        <v>Odstupanje</v>
      </c>
      <c r="I14" s="343"/>
      <c r="J14" s="342" t="s">
        <v>446</v>
      </c>
      <c r="K14" s="343"/>
      <c r="L14" s="342" t="str">
        <f>+H14</f>
        <v>Odstupanje</v>
      </c>
      <c r="M14" s="343"/>
      <c r="O14" s="99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</row>
    <row r="15" spans="2:79" ht="15" customHeight="1" thickBot="1">
      <c r="C15" s="341" t="str">
        <f>IF(MasterSheet!$A$1=1,MasterSheet!B71,MasterSheet!B70)</f>
        <v>Budžet Crne Gore</v>
      </c>
      <c r="D15" s="168" t="str">
        <f>IF(MasterSheet!$A$1=1,MasterSheet!C71,MasterSheet!C70)</f>
        <v>mil. €</v>
      </c>
      <c r="E15" s="169" t="str">
        <f>IF(MasterSheet!$A$1=1,MasterSheet!D71,MasterSheet!D70)</f>
        <v>% BDP</v>
      </c>
      <c r="F15" s="170" t="str">
        <f>IF(MasterSheet!$A$1=1,MasterSheet!E71,MasterSheet!E70)</f>
        <v>mil. €</v>
      </c>
      <c r="G15" s="171" t="str">
        <f>IF(MasterSheet!$A$1=1,MasterSheet!F71,MasterSheet!F70)</f>
        <v>% BDP</v>
      </c>
      <c r="H15" s="172" t="str">
        <f>IF(MasterSheet!$A$1=1,MasterSheet!G71,MasterSheet!G70)</f>
        <v>mil. €</v>
      </c>
      <c r="I15" s="171" t="s">
        <v>442</v>
      </c>
      <c r="J15" s="168" t="str">
        <f>IF(MasterSheet!$A$1=1,MasterSheet!I71,MasterSheet!I70)</f>
        <v>mil. €</v>
      </c>
      <c r="K15" s="170" t="str">
        <f>IF(MasterSheet!$A$1=1,MasterSheet!J71,MasterSheet!J70)</f>
        <v>% BDP</v>
      </c>
      <c r="L15" s="168" t="str">
        <f>IF(MasterSheet!$A$1=1,MasterSheet!K71,MasterSheet!K70)</f>
        <v>mil. €</v>
      </c>
      <c r="M15" s="169" t="s">
        <v>442</v>
      </c>
      <c r="O15" s="99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</row>
    <row r="16" spans="2:79" ht="15" customHeight="1" thickTop="1" thickBot="1">
      <c r="C16" s="178" t="str">
        <f>IF(MasterSheet!$A$1=1,MasterSheet!C72,MasterSheet!B72)</f>
        <v>Izvorni prihodi</v>
      </c>
      <c r="D16" s="176">
        <f>D17+D26+D31+D32+D33+D34+D35</f>
        <v>309970022.63999999</v>
      </c>
      <c r="E16" s="292">
        <f t="shared" ref="E16:E75" si="0">D16/D$11*100</f>
        <v>8.6583805206703897</v>
      </c>
      <c r="F16" s="176">
        <f>F17+F26+F31+F32+F33+F34+F35</f>
        <v>300019227.61733276</v>
      </c>
      <c r="G16" s="292">
        <f>F16/D$11*100</f>
        <v>8.3804253524394614</v>
      </c>
      <c r="H16" s="176">
        <f>+D16-F16</f>
        <v>9950795.0226672292</v>
      </c>
      <c r="I16" s="292">
        <f>+D16/F16*100-100</f>
        <v>3.3167190988703084</v>
      </c>
      <c r="J16" s="176">
        <f>J17+J26+J31+J32+J33+J34+J35</f>
        <v>299932889.36000001</v>
      </c>
      <c r="K16" s="292">
        <f t="shared" ref="K16:K75" si="1">J16/J$11*100</f>
        <v>8.7571646528467166</v>
      </c>
      <c r="L16" s="176">
        <f>+D16-J16</f>
        <v>10037133.279999971</v>
      </c>
      <c r="M16" s="292">
        <f>+D16/J16*100-100</f>
        <v>3.3464597035081027</v>
      </c>
      <c r="O16" s="99"/>
      <c r="P16" s="81"/>
      <c r="Q16" s="81"/>
      <c r="R16" s="81" t="s">
        <v>449</v>
      </c>
      <c r="S16" s="81" t="s">
        <v>450</v>
      </c>
      <c r="T16" s="81" t="s">
        <v>451</v>
      </c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</row>
    <row r="17" spans="2:84" ht="15" customHeight="1" thickTop="1">
      <c r="B17" s="80">
        <v>711</v>
      </c>
      <c r="C17" s="93" t="str">
        <f>IF(MasterSheet!$A$1=1,MasterSheet!C73,MasterSheet!B73)</f>
        <v>Porezi</v>
      </c>
      <c r="D17" s="154">
        <f>SUM(D18:D25)</f>
        <v>179194463.43000001</v>
      </c>
      <c r="E17" s="293">
        <f t="shared" si="0"/>
        <v>5.0054319393854749</v>
      </c>
      <c r="F17" s="154">
        <f>SUM(F18:F25)</f>
        <v>192386685.06912559</v>
      </c>
      <c r="G17" s="293">
        <f t="shared" ref="G17:G75" si="2">F17/D$11*100</f>
        <v>5.3739297505342343</v>
      </c>
      <c r="H17" s="209">
        <f t="shared" ref="H17:H75" si="3">+D17-F17</f>
        <v>-13192221.639125586</v>
      </c>
      <c r="I17" s="299">
        <f t="shared" ref="I17:I75" si="4">+D17/F17*100-100</f>
        <v>-6.8571385979157213</v>
      </c>
      <c r="J17" s="154">
        <f>SUM(J18:J25)</f>
        <v>182363951.47</v>
      </c>
      <c r="K17" s="293">
        <f t="shared" si="1"/>
        <v>5.3244949334306568</v>
      </c>
      <c r="L17" s="209">
        <f t="shared" ref="L17:L75" si="5">+D17-J17</f>
        <v>-3169488.0399999917</v>
      </c>
      <c r="M17" s="301">
        <f t="shared" ref="M17:M75" si="6">+D17/J17*100-100</f>
        <v>-1.7380014056787871</v>
      </c>
      <c r="N17" s="220"/>
      <c r="O17" s="99"/>
      <c r="P17" s="81"/>
      <c r="Q17" s="81" t="s">
        <v>446</v>
      </c>
      <c r="R17" s="212">
        <f>+D16</f>
        <v>309970022.63999999</v>
      </c>
      <c r="S17" s="212">
        <f>+D36</f>
        <v>331594598.82000005</v>
      </c>
      <c r="T17" s="212">
        <f>+D64</f>
        <v>-21624576.180000067</v>
      </c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</row>
    <row r="18" spans="2:84" ht="15" customHeight="1">
      <c r="B18" s="80">
        <v>7111</v>
      </c>
      <c r="C18" s="97" t="str">
        <f>IF(MasterSheet!$A$1=1,MasterSheet!C74,MasterSheet!B74)</f>
        <v>Porez na dohodak fizičkih lica</v>
      </c>
      <c r="D18" s="156">
        <f>+IF(ISNUMBER(VLOOKUP($B18,'Cental Budget'!$B$16:$K$75,'Public Expenditure'!D$1,FALSE)),VLOOKUP($B18,'Cental Budget'!$B$16:$K$75,'Public Expenditure'!D$1,FALSE),0)+IF(ISNUMBER(VLOOKUP('Public Expenditure'!$B18,'Local Government'!$B$16:$O$75,'Public Expenditure'!D$1,FALSE)),VLOOKUP('Public Expenditure'!$B18,'Local Government'!$B$16:$O$75,'Public Expenditure'!D$1,FALSE),0)</f>
        <v>23288856.919999994</v>
      </c>
      <c r="E18" s="294">
        <f t="shared" si="0"/>
        <v>0.65052672960893843</v>
      </c>
      <c r="F18" s="156">
        <f>+IF(ISNUMBER(VLOOKUP($B18,'Cental Budget'!$B$16:$K$75,'Public Expenditure'!F$1,FALSE)),VLOOKUP($B18,'Cental Budget'!$B$16:$K$75,'Public Expenditure'!F$1,FALSE),0)+IF(ISNUMBER(VLOOKUP('Public Expenditure'!$B18,'Local Government'!$B$16:$O$75,'Public Expenditure'!F$1,FALSE)),VLOOKUP('Public Expenditure'!$B18,'Local Government'!$B$16:$O$75,'Public Expenditure'!F$1,FALSE),0)</f>
        <v>27076040.628516741</v>
      </c>
      <c r="G18" s="294">
        <f t="shared" si="2"/>
        <v>0.75631398403678052</v>
      </c>
      <c r="H18" s="210">
        <f t="shared" si="3"/>
        <v>-3787183.7085167468</v>
      </c>
      <c r="I18" s="300">
        <f t="shared" si="4"/>
        <v>-13.987213863640207</v>
      </c>
      <c r="J18" s="156">
        <f>+IF(ISNUMBER(VLOOKUP($B18,'Cental Budget'!$B$16:$K$75,'Public Expenditure'!J$1,FALSE)),VLOOKUP($B18,'Cental Budget'!$B$16:$K$75,'Public Expenditure'!J$1,FALSE),0)+IF(ISNUMBER(VLOOKUP('Public Expenditure'!$B18,'Local Government'!$B$16:$O$75,'Public Expenditure'!J$1,FALSE)),VLOOKUP('Public Expenditure'!$B18,'Local Government'!$B$16:$O$75,'Public Expenditure'!J$1,FALSE),0)</f>
        <v>24389694.670000002</v>
      </c>
      <c r="K18" s="294">
        <f t="shared" si="1"/>
        <v>0.7121078735766424</v>
      </c>
      <c r="L18" s="210">
        <f t="shared" si="5"/>
        <v>-1100837.7500000075</v>
      </c>
      <c r="M18" s="300">
        <f t="shared" si="6"/>
        <v>-4.5135364132051592</v>
      </c>
      <c r="O18" s="99"/>
      <c r="P18" s="81"/>
      <c r="Q18" s="81" t="s">
        <v>447</v>
      </c>
      <c r="R18" s="212">
        <f>+F16</f>
        <v>300019227.61733276</v>
      </c>
      <c r="S18" s="212">
        <f>+F36</f>
        <v>427493332.18929535</v>
      </c>
      <c r="T18" s="212">
        <f>+F64</f>
        <v>-127474104.57196259</v>
      </c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</row>
    <row r="19" spans="2:84" ht="15" customHeight="1">
      <c r="B19" s="80">
        <v>7112</v>
      </c>
      <c r="C19" s="97" t="str">
        <f>IF(MasterSheet!$A$1=1,MasterSheet!C75,MasterSheet!B75)</f>
        <v>Porez na dobit pravnih lica</v>
      </c>
      <c r="D19" s="156">
        <f>+IF(ISNUMBER(VLOOKUP($B19,'Cental Budget'!$B$16:$K$75,'Public Expenditure'!D$1,FALSE)),VLOOKUP($B19,'Cental Budget'!$B$16:$K$75,'Public Expenditure'!D$1,FALSE),0)+IF(ISNUMBER(VLOOKUP('Public Expenditure'!$B19,'Local Government'!$B$16:$O$75,'Public Expenditure'!D$1,FALSE)),VLOOKUP('Public Expenditure'!$B19,'Local Government'!$B$16:$O$75,'Public Expenditure'!D$1,FALSE),0)</f>
        <v>11124106.059999999</v>
      </c>
      <c r="E19" s="294">
        <f t="shared" si="0"/>
        <v>0.31072921955307259</v>
      </c>
      <c r="F19" s="156">
        <f>+IF(ISNUMBER(VLOOKUP($B19,'Cental Budget'!$B$16:$K$75,'Public Expenditure'!F$1,FALSE)),VLOOKUP($B19,'Cental Budget'!$B$16:$K$75,'Public Expenditure'!F$1,FALSE),0)+IF(ISNUMBER(VLOOKUP('Public Expenditure'!$B19,'Local Government'!$B$16:$O$75,'Public Expenditure'!F$1,FALSE)),VLOOKUP('Public Expenditure'!$B19,'Local Government'!$B$16:$O$75,'Public Expenditure'!F$1,FALSE),0)</f>
        <v>13831624.078903489</v>
      </c>
      <c r="G19" s="294">
        <f t="shared" si="2"/>
        <v>0.38635821449451091</v>
      </c>
      <c r="H19" s="210">
        <f t="shared" si="3"/>
        <v>-2707518.0189034902</v>
      </c>
      <c r="I19" s="300">
        <f t="shared" si="4"/>
        <v>-19.574838091740048</v>
      </c>
      <c r="J19" s="156">
        <f>+IF(ISNUMBER(VLOOKUP($B19,'Cental Budget'!$B$16:$K$75,'Public Expenditure'!J$1,FALSE)),VLOOKUP($B19,'Cental Budget'!$B$16:$K$75,'Public Expenditure'!J$1,FALSE),0)+IF(ISNUMBER(VLOOKUP('Public Expenditure'!$B19,'Local Government'!$B$16:$O$75,'Public Expenditure'!J$1,FALSE)),VLOOKUP('Public Expenditure'!$B19,'Local Government'!$B$16:$O$75,'Public Expenditure'!J$1,FALSE),0)</f>
        <v>14603148.550000001</v>
      </c>
      <c r="K19" s="294">
        <f t="shared" si="1"/>
        <v>0.42636930072992701</v>
      </c>
      <c r="L19" s="210">
        <f t="shared" si="5"/>
        <v>-3479042.4900000021</v>
      </c>
      <c r="M19" s="300">
        <f t="shared" si="6"/>
        <v>-23.823920424338922</v>
      </c>
      <c r="O19" s="81"/>
      <c r="P19" s="137"/>
      <c r="Q19" s="137">
        <v>2013</v>
      </c>
      <c r="R19" s="213">
        <f>+J16</f>
        <v>299932889.36000001</v>
      </c>
      <c r="S19" s="214">
        <f>+J36</f>
        <v>325083503.44999999</v>
      </c>
      <c r="T19" s="214">
        <f>+J64</f>
        <v>-25150614.089999974</v>
      </c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9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C19" s="81"/>
    </row>
    <row r="20" spans="2:84" ht="15" customHeight="1">
      <c r="B20" s="80">
        <v>7113</v>
      </c>
      <c r="C20" s="97" t="str">
        <f>IF(MasterSheet!$A$1=1,MasterSheet!C76,MasterSheet!B76)</f>
        <v>Porez na promet nepokretnosti</v>
      </c>
      <c r="D20" s="156">
        <f>+IF(ISNUMBER(VLOOKUP($B20,'Cental Budget'!$B$16:$K$75,'Public Expenditure'!D$1,FALSE)),VLOOKUP($B20,'Cental Budget'!$B$16:$K$75,'Public Expenditure'!D$1,FALSE),0)+IF(ISNUMBER(VLOOKUP('Public Expenditure'!$B20,'Local Government'!$B$16:$O$75,'Public Expenditure'!D$1,FALSE)),VLOOKUP('Public Expenditure'!$B20,'Local Government'!$B$16:$O$75,'Public Expenditure'!D$1,FALSE),0)</f>
        <v>3363515.87</v>
      </c>
      <c r="E20" s="294">
        <f t="shared" si="0"/>
        <v>9.3952957262569831E-2</v>
      </c>
      <c r="F20" s="156">
        <f>+IF(ISNUMBER(VLOOKUP($B20,'Cental Budget'!$B$16:$K$75,'Public Expenditure'!F$1,FALSE)),VLOOKUP($B20,'Cental Budget'!$B$16:$K$75,'Public Expenditure'!F$1,FALSE),0)+IF(ISNUMBER(VLOOKUP('Public Expenditure'!$B20,'Local Government'!$B$16:$O$75,'Public Expenditure'!F$1,FALSE)),VLOOKUP('Public Expenditure'!$B20,'Local Government'!$B$16:$O$75,'Public Expenditure'!F$1,FALSE),0)</f>
        <v>3971613.1287963334</v>
      </c>
      <c r="G20" s="294">
        <f t="shared" si="2"/>
        <v>0.11093891421218807</v>
      </c>
      <c r="H20" s="210">
        <f t="shared" si="3"/>
        <v>-608097.25879633334</v>
      </c>
      <c r="I20" s="300">
        <f t="shared" si="4"/>
        <v>-15.311089954540165</v>
      </c>
      <c r="J20" s="156">
        <f>+IF(ISNUMBER(VLOOKUP($B20,'Cental Budget'!$B$16:$K$75,'Public Expenditure'!J$1,FALSE)),VLOOKUP($B20,'Cental Budget'!$B$16:$K$75,'Public Expenditure'!J$1,FALSE),0)+IF(ISNUMBER(VLOOKUP('Public Expenditure'!$B20,'Local Government'!$B$16:$O$75,'Public Expenditure'!J$1,FALSE)),VLOOKUP('Public Expenditure'!$B20,'Local Government'!$B$16:$O$75,'Public Expenditure'!J$1,FALSE),0)</f>
        <v>3665047.82</v>
      </c>
      <c r="K20" s="294">
        <f t="shared" si="1"/>
        <v>0.10700869547445255</v>
      </c>
      <c r="L20" s="210">
        <f t="shared" si="5"/>
        <v>-301531.94999999972</v>
      </c>
      <c r="M20" s="300">
        <f t="shared" si="6"/>
        <v>-8.227230988762372</v>
      </c>
      <c r="P20" s="137"/>
      <c r="Q20" s="137"/>
      <c r="R20" s="137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9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</row>
    <row r="21" spans="2:84" ht="15" customHeight="1">
      <c r="B21" s="80">
        <v>7114</v>
      </c>
      <c r="C21" s="97" t="str">
        <f>IF(MasterSheet!$A$1=1,MasterSheet!C77,MasterSheet!B77)</f>
        <v>Porez na dodatu vrijednost</v>
      </c>
      <c r="D21" s="156">
        <f>+IF(ISNUMBER(VLOOKUP($B21,'Cental Budget'!$B$16:$K$75,'Public Expenditure'!D$1,FALSE)),VLOOKUP($B21,'Cental Budget'!$B$16:$K$75,'Public Expenditure'!D$1,FALSE),0)+IF(ISNUMBER(VLOOKUP('Public Expenditure'!$B21,'Local Government'!$B$16:$O$75,'Public Expenditure'!D$1,FALSE)),VLOOKUP('Public Expenditure'!$B21,'Local Government'!$B$16:$O$75,'Public Expenditure'!D$1,FALSE),0)</f>
        <v>93369945.780000001</v>
      </c>
      <c r="E21" s="294">
        <f t="shared" si="0"/>
        <v>2.6080990441340783</v>
      </c>
      <c r="F21" s="156">
        <f>+IF(ISNUMBER(VLOOKUP($B21,'Cental Budget'!$B$16:$K$75,'Public Expenditure'!F$1,FALSE)),VLOOKUP($B21,'Cental Budget'!$B$16:$K$75,'Public Expenditure'!F$1,FALSE),0)+IF(ISNUMBER(VLOOKUP('Public Expenditure'!$B21,'Local Government'!$B$16:$O$75,'Public Expenditure'!F$1,FALSE)),VLOOKUP('Public Expenditure'!$B21,'Local Government'!$B$16:$O$75,'Public Expenditure'!F$1,FALSE),0)</f>
        <v>96374023.880004466</v>
      </c>
      <c r="G21" s="294">
        <f t="shared" si="2"/>
        <v>2.6920118402235884</v>
      </c>
      <c r="H21" s="210">
        <f t="shared" si="3"/>
        <v>-3004078.1000044644</v>
      </c>
      <c r="I21" s="300">
        <f t="shared" si="4"/>
        <v>-3.117103529624174</v>
      </c>
      <c r="J21" s="156">
        <f>+IF(ISNUMBER(VLOOKUP($B21,'Cental Budget'!$B$16:$K$75,'Public Expenditure'!J$1,FALSE)),VLOOKUP($B21,'Cental Budget'!$B$16:$K$75,'Public Expenditure'!J$1,FALSE),0)+IF(ISNUMBER(VLOOKUP('Public Expenditure'!$B21,'Local Government'!$B$16:$O$75,'Public Expenditure'!J$1,FALSE)),VLOOKUP('Public Expenditure'!$B21,'Local Government'!$B$16:$O$75,'Public Expenditure'!J$1,FALSE),0)</f>
        <v>98253466.519999996</v>
      </c>
      <c r="K21" s="294">
        <f t="shared" si="1"/>
        <v>2.8687143509489048</v>
      </c>
      <c r="L21" s="210">
        <f t="shared" si="5"/>
        <v>-4883520.7399999946</v>
      </c>
      <c r="M21" s="300">
        <f t="shared" si="6"/>
        <v>-4.9703292036072213</v>
      </c>
      <c r="P21" s="81"/>
      <c r="Q21" s="81"/>
      <c r="R21" s="81"/>
    </row>
    <row r="22" spans="2:84" ht="15" customHeight="1">
      <c r="B22" s="80">
        <v>7115</v>
      </c>
      <c r="C22" s="97" t="str">
        <f>IF(MasterSheet!$A$1=1,MasterSheet!C78,MasterSheet!B78)</f>
        <v>Akcize</v>
      </c>
      <c r="D22" s="156">
        <f>+IF(ISNUMBER(VLOOKUP($B22,'Cental Budget'!$B$16:$K$75,'Public Expenditure'!D$1,FALSE)),VLOOKUP($B22,'Cental Budget'!$B$16:$K$75,'Public Expenditure'!D$1,FALSE),0)+IF(ISNUMBER(VLOOKUP('Public Expenditure'!$B22,'Local Government'!$B$16:$O$75,'Public Expenditure'!D$1,FALSE)),VLOOKUP('Public Expenditure'!$B22,'Local Government'!$B$16:$O$75,'Public Expenditure'!D$1,FALSE),0)</f>
        <v>32084642.32</v>
      </c>
      <c r="E22" s="294">
        <f t="shared" si="0"/>
        <v>0.89621905921787715</v>
      </c>
      <c r="F22" s="156">
        <f>+IF(ISNUMBER(VLOOKUP($B22,'Cental Budget'!$B$16:$K$75,'Public Expenditure'!F$1,FALSE)),VLOOKUP($B22,'Cental Budget'!$B$16:$K$75,'Public Expenditure'!F$1,FALSE),0)+IF(ISNUMBER(VLOOKUP('Public Expenditure'!$B22,'Local Government'!$B$16:$O$75,'Public Expenditure'!F$1,FALSE)),VLOOKUP('Public Expenditure'!$B22,'Local Government'!$B$16:$O$75,'Public Expenditure'!F$1,FALSE),0)</f>
        <v>29430727.240693208</v>
      </c>
      <c r="G22" s="294">
        <f t="shared" si="2"/>
        <v>0.82208735309198899</v>
      </c>
      <c r="H22" s="210">
        <f t="shared" si="3"/>
        <v>2653915.0793067925</v>
      </c>
      <c r="I22" s="300">
        <f t="shared" si="4"/>
        <v>9.0174974529249283</v>
      </c>
      <c r="J22" s="156">
        <f>+IF(ISNUMBER(VLOOKUP($B22,'Cental Budget'!$B$16:$K$75,'Public Expenditure'!J$1,FALSE)),VLOOKUP($B22,'Cental Budget'!$B$16:$K$75,'Public Expenditure'!J$1,FALSE),0)+IF(ISNUMBER(VLOOKUP('Public Expenditure'!$B22,'Local Government'!$B$16:$O$75,'Public Expenditure'!J$1,FALSE)),VLOOKUP('Public Expenditure'!$B22,'Local Government'!$B$16:$O$75,'Public Expenditure'!J$1,FALSE),0)</f>
        <v>27640146.18</v>
      </c>
      <c r="K22" s="294">
        <f t="shared" si="1"/>
        <v>0.80701156729927004</v>
      </c>
      <c r="L22" s="210">
        <f t="shared" si="5"/>
        <v>4444496.1400000006</v>
      </c>
      <c r="M22" s="300">
        <f t="shared" si="6"/>
        <v>16.07985757765627</v>
      </c>
      <c r="P22" s="81"/>
      <c r="Q22" s="81"/>
      <c r="R22" s="81"/>
    </row>
    <row r="23" spans="2:84" ht="15" customHeight="1">
      <c r="B23" s="80">
        <v>7116</v>
      </c>
      <c r="C23" s="97" t="str">
        <f>IF(MasterSheet!$A$1=1,MasterSheet!C79,MasterSheet!B79)</f>
        <v>Porez na međunarodnu trgovinu i transakcije</v>
      </c>
      <c r="D23" s="156">
        <f>+IF(ISNUMBER(VLOOKUP($B23,'Cental Budget'!$B$16:$K$75,'Public Expenditure'!D$1,FALSE)),VLOOKUP($B23,'Cental Budget'!$B$16:$K$75,'Public Expenditure'!D$1,FALSE),0)+IF(ISNUMBER(VLOOKUP('Public Expenditure'!$B23,'Local Government'!$B$16:$O$75,'Public Expenditure'!D$1,FALSE)),VLOOKUP('Public Expenditure'!$B23,'Local Government'!$B$16:$O$75,'Public Expenditure'!D$1,FALSE),0)</f>
        <v>4590661.21</v>
      </c>
      <c r="E23" s="294">
        <f t="shared" si="0"/>
        <v>0.12823076005586592</v>
      </c>
      <c r="F23" s="156">
        <f>+IF(ISNUMBER(VLOOKUP($B23,'Cental Budget'!$B$16:$K$75,'Public Expenditure'!F$1,FALSE)),VLOOKUP($B23,'Cental Budget'!$B$16:$K$75,'Public Expenditure'!F$1,FALSE),0)+IF(ISNUMBER(VLOOKUP('Public Expenditure'!$B23,'Local Government'!$B$16:$O$75,'Public Expenditure'!F$1,FALSE)),VLOOKUP('Public Expenditure'!$B23,'Local Government'!$B$16:$O$75,'Public Expenditure'!F$1,FALSE),0)</f>
        <v>4061131.9317455152</v>
      </c>
      <c r="G23" s="294">
        <f t="shared" si="2"/>
        <v>0.11343943943423226</v>
      </c>
      <c r="H23" s="210">
        <f t="shared" si="3"/>
        <v>529529.27825448476</v>
      </c>
      <c r="I23" s="300">
        <f t="shared" si="4"/>
        <v>13.038957786995311</v>
      </c>
      <c r="J23" s="156">
        <f>+IF(ISNUMBER(VLOOKUP($B23,'Cental Budget'!$B$16:$K$75,'Public Expenditure'!J$1,FALSE)),VLOOKUP($B23,'Cental Budget'!$B$16:$K$75,'Public Expenditure'!J$1,FALSE),0)+IF(ISNUMBER(VLOOKUP('Public Expenditure'!$B23,'Local Government'!$B$16:$O$75,'Public Expenditure'!J$1,FALSE)),VLOOKUP('Public Expenditure'!$B23,'Local Government'!$B$16:$O$75,'Public Expenditure'!J$1,FALSE),0)</f>
        <v>3897133.5</v>
      </c>
      <c r="K23" s="294">
        <f t="shared" si="1"/>
        <v>0.1137849197080292</v>
      </c>
      <c r="L23" s="210">
        <f t="shared" si="5"/>
        <v>693527.71</v>
      </c>
      <c r="M23" s="300">
        <f t="shared" si="6"/>
        <v>17.795841738549626</v>
      </c>
      <c r="O23" s="81"/>
      <c r="P23" s="81"/>
      <c r="Q23" s="81"/>
      <c r="R23" s="81"/>
      <c r="CD23" s="140"/>
      <c r="CE23" s="140"/>
      <c r="CF23" s="81"/>
    </row>
    <row r="24" spans="2:84" ht="15" customHeight="1">
      <c r="B24" s="80">
        <v>7117</v>
      </c>
      <c r="C24" s="97" t="s">
        <v>11</v>
      </c>
      <c r="D24" s="156">
        <f>+IF(ISNUMBER(VLOOKUP($B24,'Cental Budget'!$B$16:$K$75,'Public Expenditure'!D$1,FALSE)),VLOOKUP($B24,'Cental Budget'!$B$16:$K$75,'Public Expenditure'!D$1,FALSE),0)+IF(ISNUMBER(VLOOKUP('Public Expenditure'!$B24,'Local Government'!$B$16:$O$75,'Public Expenditure'!D$1,FALSE)),VLOOKUP('Public Expenditure'!$B24,'Local Government'!$B$16:$O$75,'Public Expenditure'!D$1,FALSE),0)</f>
        <v>10123599.030000001</v>
      </c>
      <c r="E24" s="294">
        <f t="shared" si="0"/>
        <v>0.28278209581005587</v>
      </c>
      <c r="F24" s="156">
        <f>+IF(ISNUMBER(VLOOKUP($B24,'Cental Budget'!$B$16:$K$75,'Public Expenditure'!F$1,FALSE)),VLOOKUP($B24,'Cental Budget'!$B$16:$K$75,'Public Expenditure'!F$1,FALSE),0)+IF(ISNUMBER(VLOOKUP('Public Expenditure'!$B24,'Local Government'!$B$16:$O$75,'Public Expenditure'!F$1,FALSE)),VLOOKUP('Public Expenditure'!$B24,'Local Government'!$B$16:$O$75,'Public Expenditure'!F$1,FALSE),0)</f>
        <v>16654704.866971001</v>
      </c>
      <c r="G24" s="294">
        <f t="shared" si="2"/>
        <v>0.46521521974779328</v>
      </c>
      <c r="H24" s="210">
        <f t="shared" si="3"/>
        <v>-6531105.8369709998</v>
      </c>
      <c r="I24" s="300">
        <f t="shared" si="4"/>
        <v>-39.214779782277908</v>
      </c>
      <c r="J24" s="156">
        <f>+IF(ISNUMBER(VLOOKUP($B24,'Cental Budget'!$B$16:$K$75,'Public Expenditure'!J$1,FALSE)),VLOOKUP($B24,'Cental Budget'!$B$16:$K$75,'Public Expenditure'!J$1,FALSE),0)+IF(ISNUMBER(VLOOKUP('Public Expenditure'!$B24,'Local Government'!$B$16:$O$75,'Public Expenditure'!J$1,FALSE)),VLOOKUP('Public Expenditure'!$B24,'Local Government'!$B$16:$O$75,'Public Expenditure'!J$1,FALSE),0)</f>
        <v>8884159.6999999993</v>
      </c>
      <c r="K24" s="294">
        <f t="shared" si="1"/>
        <v>0.2593915240875912</v>
      </c>
      <c r="L24" s="210">
        <f t="shared" si="5"/>
        <v>1239439.3300000019</v>
      </c>
      <c r="M24" s="300">
        <f t="shared" si="6"/>
        <v>13.951114926491044</v>
      </c>
      <c r="O24" s="81"/>
      <c r="P24" s="81"/>
      <c r="Q24" s="81"/>
      <c r="R24" s="81"/>
      <c r="CD24" s="140"/>
      <c r="CE24" s="140"/>
      <c r="CF24" s="81"/>
    </row>
    <row r="25" spans="2:84" ht="15" customHeight="1">
      <c r="B25" s="80">
        <v>7118</v>
      </c>
      <c r="C25" s="97" t="str">
        <f>IF(MasterSheet!$A$1=1,MasterSheet!C80,MasterSheet!B80)</f>
        <v>Ostali republički prihodi</v>
      </c>
      <c r="D25" s="156">
        <f>+IF(ISNUMBER(VLOOKUP($B25,'Cental Budget'!$B$16:$K$75,'Public Expenditure'!D$1,FALSE)),VLOOKUP($B25,'Cental Budget'!$B$16:$K$75,'Public Expenditure'!D$1,FALSE),0)+IF(ISNUMBER(VLOOKUP('Public Expenditure'!$B25,'Local Government'!$B$16:$O$75,'Public Expenditure'!D$1,FALSE)),VLOOKUP('Public Expenditure'!$B25,'Local Government'!$B$16:$O$75,'Public Expenditure'!D$1,FALSE),0)</f>
        <v>1249136.24</v>
      </c>
      <c r="E25" s="294">
        <f t="shared" si="0"/>
        <v>3.4892073743016762E-2</v>
      </c>
      <c r="F25" s="156">
        <f>+IF(ISNUMBER(VLOOKUP($B25,'Cental Budget'!$B$16:$K$75,'Public Expenditure'!F$1,FALSE)),VLOOKUP($B25,'Cental Budget'!$B$16:$K$75,'Public Expenditure'!F$1,FALSE),0)+IF(ISNUMBER(VLOOKUP('Public Expenditure'!$B25,'Local Government'!$B$16:$O$75,'Public Expenditure'!F$1,FALSE)),VLOOKUP('Public Expenditure'!$B25,'Local Government'!$B$16:$O$75,'Public Expenditure'!F$1,FALSE),0)</f>
        <v>986819.31349480606</v>
      </c>
      <c r="G25" s="294">
        <f t="shared" si="2"/>
        <v>2.7564785293151005E-2</v>
      </c>
      <c r="H25" s="210">
        <f t="shared" si="3"/>
        <v>262316.92650519393</v>
      </c>
      <c r="I25" s="300">
        <f t="shared" si="4"/>
        <v>26.582062482766219</v>
      </c>
      <c r="J25" s="156">
        <f>+IF(ISNUMBER(VLOOKUP($B25,'Cental Budget'!$B$16:$K$75,'Public Expenditure'!J$1,FALSE)),VLOOKUP($B25,'Cental Budget'!$B$16:$K$75,'Public Expenditure'!J$1,FALSE),0)+IF(ISNUMBER(VLOOKUP('Public Expenditure'!$B25,'Local Government'!$B$16:$O$75,'Public Expenditure'!J$1,FALSE)),VLOOKUP('Public Expenditure'!$B25,'Local Government'!$B$16:$O$75,'Public Expenditure'!J$1,FALSE),0)</f>
        <v>1031154.53</v>
      </c>
      <c r="K25" s="294">
        <f t="shared" si="1"/>
        <v>3.0106701605839416E-2</v>
      </c>
      <c r="L25" s="210">
        <f t="shared" si="5"/>
        <v>217981.70999999996</v>
      </c>
      <c r="M25" s="300">
        <f t="shared" si="6"/>
        <v>21.139577401652886</v>
      </c>
      <c r="O25" s="81"/>
      <c r="P25" s="81"/>
      <c r="Q25" s="81"/>
      <c r="R25" s="81"/>
      <c r="CD25" s="140"/>
      <c r="CE25" s="140"/>
      <c r="CF25" s="81"/>
    </row>
    <row r="26" spans="2:84" ht="15" customHeight="1">
      <c r="B26" s="80">
        <v>712</v>
      </c>
      <c r="C26" s="93" t="str">
        <f>IF(MasterSheet!$A$1=1,MasterSheet!C81,MasterSheet!B81)</f>
        <v>Doprinosi</v>
      </c>
      <c r="D26" s="154">
        <f>SUM(D27:D30)</f>
        <v>83839022.069999993</v>
      </c>
      <c r="E26" s="295">
        <f t="shared" si="0"/>
        <v>2.3418721248603349</v>
      </c>
      <c r="F26" s="154">
        <f>SUM(F27:F30)</f>
        <v>72925649.610928908</v>
      </c>
      <c r="G26" s="295">
        <f t="shared" si="2"/>
        <v>2.0370293187410309</v>
      </c>
      <c r="H26" s="209">
        <f t="shared" si="3"/>
        <v>10913372.459071085</v>
      </c>
      <c r="I26" s="301">
        <f t="shared" si="4"/>
        <v>14.96506718458572</v>
      </c>
      <c r="J26" s="154">
        <f>SUM(J27:J30)</f>
        <v>75014333.820000008</v>
      </c>
      <c r="K26" s="295">
        <f t="shared" si="1"/>
        <v>2.1901995275912411</v>
      </c>
      <c r="L26" s="209">
        <f t="shared" si="5"/>
        <v>8824688.2499999851</v>
      </c>
      <c r="M26" s="301">
        <f t="shared" si="6"/>
        <v>11.764002692039071</v>
      </c>
      <c r="O26" s="81"/>
      <c r="P26" s="81"/>
      <c r="Q26" s="81"/>
      <c r="R26" s="81"/>
      <c r="CD26" s="140"/>
      <c r="CE26" s="140"/>
      <c r="CF26" s="81"/>
    </row>
    <row r="27" spans="2:84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56">
        <f>+IF(ISNUMBER(VLOOKUP($B27,'Cental Budget'!$B$16:$K$75,'Public Expenditure'!D$1,FALSE)),VLOOKUP($B27,'Cental Budget'!$B$16:$K$75,'Public Expenditure'!D$1,FALSE),0)+IF(ISNUMBER(VLOOKUP('Public Expenditure'!$B27,'Local Government'!$B$16:$O$75,'Public Expenditure'!D$1,FALSE)),VLOOKUP('Public Expenditure'!$B27,'Local Government'!$B$16:$O$75,'Public Expenditure'!D$1,FALSE),0)</f>
        <v>50560972.180000007</v>
      </c>
      <c r="E27" s="294">
        <f t="shared" si="0"/>
        <v>1.4123176586592181</v>
      </c>
      <c r="F27" s="156">
        <f>+IF(ISNUMBER(VLOOKUP($B27,'Cental Budget'!$B$16:$K$75,'Public Expenditure'!F$1,FALSE)),VLOOKUP($B27,'Cental Budget'!$B$16:$K$75,'Public Expenditure'!F$1,FALSE),0)+IF(ISNUMBER(VLOOKUP('Public Expenditure'!$B27,'Local Government'!$B$16:$O$75,'Public Expenditure'!F$1,FALSE)),VLOOKUP('Public Expenditure'!$B27,'Local Government'!$B$16:$O$75,'Public Expenditure'!F$1,FALSE),0)</f>
        <v>44256598.389912754</v>
      </c>
      <c r="G27" s="294">
        <f t="shared" si="2"/>
        <v>1.236217832120468</v>
      </c>
      <c r="H27" s="210">
        <f t="shared" si="3"/>
        <v>6304373.7900872529</v>
      </c>
      <c r="I27" s="300">
        <f t="shared" si="4"/>
        <v>14.245048240138104</v>
      </c>
      <c r="J27" s="156">
        <f>+IF(ISNUMBER(VLOOKUP($B27,'Cental Budget'!$B$16:$K$75,'Public Expenditure'!J$1,FALSE)),VLOOKUP($B27,'Cental Budget'!$B$16:$K$75,'Public Expenditure'!J$1,FALSE),0)+IF(ISNUMBER(VLOOKUP('Public Expenditure'!$B27,'Local Government'!$B$16:$O$75,'Public Expenditure'!J$1,FALSE)),VLOOKUP('Public Expenditure'!$B27,'Local Government'!$B$16:$O$75,'Public Expenditure'!J$1,FALSE),0)</f>
        <v>46630224.140000001</v>
      </c>
      <c r="K27" s="294">
        <f t="shared" si="1"/>
        <v>1.3614663982481752</v>
      </c>
      <c r="L27" s="210">
        <f t="shared" si="5"/>
        <v>3930748.0400000066</v>
      </c>
      <c r="M27" s="300">
        <f t="shared" si="6"/>
        <v>8.4296142952230895</v>
      </c>
      <c r="O27" s="81"/>
      <c r="P27" s="81"/>
      <c r="Q27" s="81"/>
      <c r="R27" s="81"/>
      <c r="CD27" s="140"/>
      <c r="CE27" s="140"/>
      <c r="CF27" s="81"/>
    </row>
    <row r="28" spans="2:84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56">
        <f>+IF(ISNUMBER(VLOOKUP($B28,'Cental Budget'!$B$16:$K$75,'Public Expenditure'!D$1,FALSE)),VLOOKUP($B28,'Cental Budget'!$B$16:$K$75,'Public Expenditure'!D$1,FALSE),0)+IF(ISNUMBER(VLOOKUP('Public Expenditure'!$B28,'Local Government'!$B$16:$O$75,'Public Expenditure'!D$1,FALSE)),VLOOKUP('Public Expenditure'!$B28,'Local Government'!$B$16:$O$75,'Public Expenditure'!D$1,FALSE),0)</f>
        <v>28782348.929999977</v>
      </c>
      <c r="E28" s="294">
        <f t="shared" si="0"/>
        <v>0.80397622709497152</v>
      </c>
      <c r="F28" s="156">
        <f>+IF(ISNUMBER(VLOOKUP($B28,'Cental Budget'!$B$16:$K$75,'Public Expenditure'!F$1,FALSE)),VLOOKUP($B28,'Cental Budget'!$B$16:$K$75,'Public Expenditure'!F$1,FALSE),0)+IF(ISNUMBER(VLOOKUP('Public Expenditure'!$B28,'Local Government'!$B$16:$O$75,'Public Expenditure'!F$1,FALSE)),VLOOKUP('Public Expenditure'!$B28,'Local Government'!$B$16:$O$75,'Public Expenditure'!F$1,FALSE),0)</f>
        <v>24813380.973626919</v>
      </c>
      <c r="G28" s="294">
        <f t="shared" si="2"/>
        <v>0.69311120038064022</v>
      </c>
      <c r="H28" s="210">
        <f t="shared" si="3"/>
        <v>3968967.9563730583</v>
      </c>
      <c r="I28" s="300">
        <f t="shared" si="4"/>
        <v>15.995272714312918</v>
      </c>
      <c r="J28" s="156">
        <f>+IF(ISNUMBER(VLOOKUP($B28,'Cental Budget'!$B$16:$K$75,'Public Expenditure'!J$1,FALSE)),VLOOKUP($B28,'Cental Budget'!$B$16:$K$75,'Public Expenditure'!J$1,FALSE),0)+IF(ISNUMBER(VLOOKUP('Public Expenditure'!$B28,'Local Government'!$B$16:$O$75,'Public Expenditure'!J$1,FALSE)),VLOOKUP('Public Expenditure'!$B28,'Local Government'!$B$16:$O$75,'Public Expenditure'!J$1,FALSE),0)</f>
        <v>24791584.289999999</v>
      </c>
      <c r="K28" s="294">
        <f t="shared" si="1"/>
        <v>0.72384187708029202</v>
      </c>
      <c r="L28" s="210">
        <f t="shared" si="5"/>
        <v>3990764.6399999782</v>
      </c>
      <c r="M28" s="300">
        <f t="shared" si="6"/>
        <v>16.097255396500444</v>
      </c>
      <c r="O28" s="81"/>
      <c r="P28" s="81"/>
      <c r="Q28" s="81"/>
      <c r="R28" s="81"/>
      <c r="CD28" s="140"/>
      <c r="CE28" s="140"/>
      <c r="CF28" s="81"/>
    </row>
    <row r="29" spans="2:84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56">
        <f>+IF(ISNUMBER(VLOOKUP($B29,'Cental Budget'!$B$16:$K$75,'Public Expenditure'!D$1,FALSE)),VLOOKUP($B29,'Cental Budget'!$B$16:$K$75,'Public Expenditure'!D$1,FALSE),0)+IF(ISNUMBER(VLOOKUP('Public Expenditure'!$B29,'Local Government'!$B$16:$O$75,'Public Expenditure'!D$1,FALSE)),VLOOKUP('Public Expenditure'!$B29,'Local Government'!$B$16:$O$75,'Public Expenditure'!D$1,FALSE),0)</f>
        <v>2321055.3999999994</v>
      </c>
      <c r="E29" s="294">
        <f t="shared" si="0"/>
        <v>6.4833949720670372E-2</v>
      </c>
      <c r="F29" s="156">
        <f>+IF(ISNUMBER(VLOOKUP($B29,'Cental Budget'!$B$16:$K$75,'Public Expenditure'!F$1,FALSE)),VLOOKUP($B29,'Cental Budget'!$B$16:$K$75,'Public Expenditure'!F$1,FALSE),0)+IF(ISNUMBER(VLOOKUP('Public Expenditure'!$B29,'Local Government'!$B$16:$O$75,'Public Expenditure'!F$1,FALSE)),VLOOKUP('Public Expenditure'!$B29,'Local Government'!$B$16:$O$75,'Public Expenditure'!F$1,FALSE),0)</f>
        <v>2056985.3319162813</v>
      </c>
      <c r="G29" s="294">
        <f t="shared" si="2"/>
        <v>5.7457690835650312E-2</v>
      </c>
      <c r="H29" s="210">
        <f t="shared" si="3"/>
        <v>264070.06808371819</v>
      </c>
      <c r="I29" s="300">
        <f t="shared" si="4"/>
        <v>12.837722466290586</v>
      </c>
      <c r="J29" s="156">
        <f>+IF(ISNUMBER(VLOOKUP($B29,'Cental Budget'!$B$16:$K$75,'Public Expenditure'!J$1,FALSE)),VLOOKUP($B29,'Cental Budget'!$B$16:$K$75,'Public Expenditure'!J$1,FALSE),0)+IF(ISNUMBER(VLOOKUP('Public Expenditure'!$B29,'Local Government'!$B$16:$O$75,'Public Expenditure'!J$1,FALSE)),VLOOKUP('Public Expenditure'!$B29,'Local Government'!$B$16:$O$75,'Public Expenditure'!J$1,FALSE),0)</f>
        <v>1985917.72</v>
      </c>
      <c r="K29" s="294">
        <f t="shared" si="1"/>
        <v>5.7982999124087588E-2</v>
      </c>
      <c r="L29" s="210">
        <f t="shared" si="5"/>
        <v>335137.67999999947</v>
      </c>
      <c r="M29" s="300">
        <f t="shared" si="6"/>
        <v>16.875708224205766</v>
      </c>
      <c r="O29" s="81"/>
      <c r="P29" s="81"/>
      <c r="Q29" s="81"/>
      <c r="R29" s="81"/>
      <c r="CD29" s="140"/>
      <c r="CE29" s="140"/>
      <c r="CF29" s="81"/>
    </row>
    <row r="30" spans="2:84" ht="15" hidden="1" customHeight="1">
      <c r="B30" s="80">
        <v>7124</v>
      </c>
      <c r="C30" s="97" t="str">
        <f>IF(MasterSheet!$A$1=1,MasterSheet!C85,MasterSheet!B85)</f>
        <v>Ostali doprinosi</v>
      </c>
      <c r="D30" s="156">
        <f>+IF(ISNUMBER(VLOOKUP($B30,'Cental Budget'!$B$16:$K$75,'Public Expenditure'!D$1,FALSE)),VLOOKUP($B30,'Cental Budget'!$B$16:$K$75,'Public Expenditure'!D$1,FALSE),0)+IF(ISNUMBER(VLOOKUP('Public Expenditure'!$B30,'Local Government'!$B$16:$O$75,'Public Expenditure'!D$1,FALSE)),VLOOKUP('Public Expenditure'!$B30,'Local Government'!$B$16:$O$75,'Public Expenditure'!D$1,FALSE),0)</f>
        <v>2174645.5600000005</v>
      </c>
      <c r="E30" s="294">
        <f t="shared" si="0"/>
        <v>6.0744289385474874E-2</v>
      </c>
      <c r="F30" s="156">
        <f>+IF(ISNUMBER(VLOOKUP($B30,'Cental Budget'!$B$16:$K$75,'Public Expenditure'!F$1,FALSE)),VLOOKUP($B30,'Cental Budget'!$B$16:$K$75,'Public Expenditure'!F$1,FALSE),0)+IF(ISNUMBER(VLOOKUP('Public Expenditure'!$B30,'Local Government'!$B$16:$O$75,'Public Expenditure'!F$1,FALSE)),VLOOKUP('Public Expenditure'!$B30,'Local Government'!$B$16:$O$75,'Public Expenditure'!F$1,FALSE),0)</f>
        <v>1798684.9154729617</v>
      </c>
      <c r="G30" s="294">
        <f t="shared" si="2"/>
        <v>5.0242595404272679E-2</v>
      </c>
      <c r="H30" s="210">
        <f t="shared" si="3"/>
        <v>375960.64452703879</v>
      </c>
      <c r="I30" s="300">
        <f t="shared" si="4"/>
        <v>20.90197350813834</v>
      </c>
      <c r="J30" s="156">
        <f>+IF(ISNUMBER(VLOOKUP($B30,'Cental Budget'!$B$16:$K$75,'Public Expenditure'!J$1,FALSE)),VLOOKUP($B30,'Cental Budget'!$B$16:$K$75,'Public Expenditure'!J$1,FALSE),0)+IF(ISNUMBER(VLOOKUP('Public Expenditure'!$B30,'Local Government'!$B$16:$O$75,'Public Expenditure'!J$1,FALSE)),VLOOKUP('Public Expenditure'!$B30,'Local Government'!$B$16:$O$75,'Public Expenditure'!J$1,FALSE),0)</f>
        <v>1606607.67</v>
      </c>
      <c r="K30" s="294">
        <f t="shared" si="1"/>
        <v>4.6908253138686129E-2</v>
      </c>
      <c r="L30" s="210">
        <f t="shared" si="5"/>
        <v>568037.8900000006</v>
      </c>
      <c r="M30" s="300">
        <f t="shared" si="6"/>
        <v>35.356353676563771</v>
      </c>
      <c r="O30" s="81"/>
      <c r="P30" s="81"/>
      <c r="Q30" s="81"/>
      <c r="R30" s="81"/>
      <c r="CD30" s="81"/>
      <c r="CE30" s="81"/>
      <c r="CF30" s="81"/>
    </row>
    <row r="31" spans="2:84" ht="15" customHeight="1">
      <c r="B31" s="80">
        <v>713</v>
      </c>
      <c r="C31" s="93" t="str">
        <f>IF(MasterSheet!$A$1=1,MasterSheet!C86,MasterSheet!B86)</f>
        <v>Takse</v>
      </c>
      <c r="D31" s="154">
        <f>+IF(ISNUMBER(VLOOKUP($B31,'Cental Budget'!$B$16:$K$75,'Public Expenditure'!D$1,FALSE)),VLOOKUP($B31,'Cental Budget'!$B$16:$K$75,'Public Expenditure'!D$1,FALSE),0)+IF(ISNUMBER(VLOOKUP('Public Expenditure'!$B31,'Local Government'!$B$16:$O$75,'Public Expenditure'!D$1,FALSE)),VLOOKUP('Public Expenditure'!$B31,'Local Government'!$B$16:$O$75,'Public Expenditure'!D$1,FALSE),0)</f>
        <v>4133783.0700000003</v>
      </c>
      <c r="E31" s="295">
        <f t="shared" si="0"/>
        <v>0.11546880083798884</v>
      </c>
      <c r="F31" s="154">
        <f>+IF(ISNUMBER(VLOOKUP($B31,'Cental Budget'!$B$16:$K$75,'Public Expenditure'!F$1,FALSE)),VLOOKUP($B31,'Cental Budget'!$B$16:$K$75,'Public Expenditure'!F$1,FALSE),0)+IF(ISNUMBER(VLOOKUP('Public Expenditure'!$B31,'Local Government'!$B$16:$O$75,'Public Expenditure'!F$1,FALSE)),VLOOKUP('Public Expenditure'!$B31,'Local Government'!$B$16:$O$75,'Public Expenditure'!F$1,FALSE),0)</f>
        <v>6674868.7917889953</v>
      </c>
      <c r="G31" s="295">
        <f t="shared" si="2"/>
        <v>0.18644884893265348</v>
      </c>
      <c r="H31" s="209">
        <f t="shared" si="3"/>
        <v>-2541085.721788995</v>
      </c>
      <c r="I31" s="301">
        <f t="shared" si="4"/>
        <v>-38.069448270127481</v>
      </c>
      <c r="J31" s="154">
        <f>+IF(ISNUMBER(VLOOKUP($B31,'Cental Budget'!$B$16:$K$75,'Public Expenditure'!J$1,FALSE)),VLOOKUP($B31,'Cental Budget'!$B$16:$K$75,'Public Expenditure'!J$1,FALSE),0)+IF(ISNUMBER(VLOOKUP('Public Expenditure'!$B31,'Local Government'!$B$16:$O$75,'Public Expenditure'!J$1,FALSE)),VLOOKUP('Public Expenditure'!$B31,'Local Government'!$B$16:$O$75,'Public Expenditure'!J$1,FALSE),0)</f>
        <v>5639255.04</v>
      </c>
      <c r="K31" s="295">
        <f t="shared" si="1"/>
        <v>0.16464978218978102</v>
      </c>
      <c r="L31" s="209">
        <f t="shared" si="5"/>
        <v>-1505471.9699999997</v>
      </c>
      <c r="M31" s="301">
        <f t="shared" si="6"/>
        <v>-26.696291608048995</v>
      </c>
      <c r="O31" s="81"/>
      <c r="P31" s="81"/>
      <c r="Q31" s="81"/>
      <c r="R31" s="81"/>
      <c r="CD31" s="81"/>
      <c r="CE31" s="81"/>
      <c r="CF31" s="81"/>
    </row>
    <row r="32" spans="2:84" ht="15" customHeight="1">
      <c r="B32" s="80">
        <v>714</v>
      </c>
      <c r="C32" s="93" t="str">
        <f>IF(MasterSheet!$A$1=1,MasterSheet!C91,MasterSheet!B91)</f>
        <v>Naknade</v>
      </c>
      <c r="D32" s="154">
        <f>+IF(ISNUMBER(VLOOKUP($B32,'Cental Budget'!$B$16:$K$75,'Public Expenditure'!D$1,FALSE)),VLOOKUP($B32,'Cental Budget'!$B$16:$K$75,'Public Expenditure'!D$1,FALSE),0)+IF(ISNUMBER(VLOOKUP('Public Expenditure'!$B32,'Local Government'!$B$16:$O$75,'Public Expenditure'!D$1,FALSE)),VLOOKUP('Public Expenditure'!$B32,'Local Government'!$B$16:$O$75,'Public Expenditure'!D$1,FALSE),0)</f>
        <v>14350285.310000001</v>
      </c>
      <c r="E32" s="295">
        <f t="shared" si="0"/>
        <v>0.40084595837988835</v>
      </c>
      <c r="F32" s="154">
        <f>+IF(ISNUMBER(VLOOKUP($B32,'Cental Budget'!$B$16:$K$75,'Public Expenditure'!F$1,FALSE)),VLOOKUP($B32,'Cental Budget'!$B$16:$K$75,'Public Expenditure'!F$1,FALSE),0)+IF(ISNUMBER(VLOOKUP('Public Expenditure'!$B32,'Local Government'!$B$16:$O$75,'Public Expenditure'!F$1,FALSE)),VLOOKUP('Public Expenditure'!$B32,'Local Government'!$B$16:$O$75,'Public Expenditure'!F$1,FALSE),0)</f>
        <v>16420599.685484519</v>
      </c>
      <c r="G32" s="295">
        <f t="shared" si="2"/>
        <v>0.4586759688682826</v>
      </c>
      <c r="H32" s="209">
        <f t="shared" si="3"/>
        <v>-2070314.3754845187</v>
      </c>
      <c r="I32" s="301">
        <f t="shared" si="4"/>
        <v>-12.60803146741732</v>
      </c>
      <c r="J32" s="154">
        <f>+IF(ISNUMBER(VLOOKUP($B32,'Cental Budget'!$B$16:$K$75,'Public Expenditure'!J$1,FALSE)),VLOOKUP($B32,'Cental Budget'!$B$16:$K$75,'Public Expenditure'!J$1,FALSE),0)+IF(ISNUMBER(VLOOKUP('Public Expenditure'!$B32,'Local Government'!$B$16:$O$75,'Public Expenditure'!J$1,FALSE)),VLOOKUP('Public Expenditure'!$B32,'Local Government'!$B$16:$O$75,'Public Expenditure'!J$1,FALSE),0)</f>
        <v>13555489.220000001</v>
      </c>
      <c r="K32" s="295">
        <f t="shared" si="1"/>
        <v>0.39578070715328473</v>
      </c>
      <c r="L32" s="209">
        <f t="shared" si="5"/>
        <v>794796.08999999985</v>
      </c>
      <c r="M32" s="301">
        <f t="shared" si="6"/>
        <v>5.863278536840582</v>
      </c>
      <c r="O32" s="81"/>
      <c r="P32" s="81"/>
      <c r="Q32" s="81"/>
      <c r="R32" s="81"/>
      <c r="CD32" s="140"/>
      <c r="CE32" s="140"/>
      <c r="CF32" s="140"/>
    </row>
    <row r="33" spans="1:87" ht="15" customHeight="1">
      <c r="B33" s="80">
        <v>715</v>
      </c>
      <c r="C33" s="93" t="str">
        <f>IF(MasterSheet!$A$1=1,MasterSheet!C98,MasterSheet!B98)</f>
        <v>Ostali prihodi</v>
      </c>
      <c r="D33" s="154">
        <f>+IF(ISNUMBER(VLOOKUP($B33,'Cental Budget'!$B$16:$K$75,'Public Expenditure'!D$1,FALSE)),VLOOKUP($B33,'Cental Budget'!$B$16:$K$75,'Public Expenditure'!D$1,FALSE),0)+IF(ISNUMBER(VLOOKUP('Public Expenditure'!$B33,'Local Government'!$B$16:$O$75,'Public Expenditure'!D$1,FALSE)),VLOOKUP('Public Expenditure'!$B33,'Local Government'!$B$16:$O$75,'Public Expenditure'!D$1,FALSE),0)-1295205.06</f>
        <v>5799654.2799999975</v>
      </c>
      <c r="E33" s="295">
        <f t="shared" si="0"/>
        <v>0.16200151620111725</v>
      </c>
      <c r="F33" s="154">
        <f>+IF(ISNUMBER(VLOOKUP($B33,'Cental Budget'!$B$16:$K$75,'Public Expenditure'!F$1,FALSE)),VLOOKUP($B33,'Cental Budget'!$B$16:$K$75,'Public Expenditure'!F$1,FALSE),0)+IF(ISNUMBER(VLOOKUP('Public Expenditure'!$B33,'Local Government'!$B$16:$O$75,'Public Expenditure'!F$1,FALSE)),VLOOKUP('Public Expenditure'!$B33,'Local Government'!$B$16:$O$75,'Public Expenditure'!F$1,FALSE),0)</f>
        <v>9326326.4108880255</v>
      </c>
      <c r="G33" s="295">
        <f t="shared" si="2"/>
        <v>0.26051191091865994</v>
      </c>
      <c r="H33" s="209">
        <f t="shared" si="3"/>
        <v>-3526672.1308880281</v>
      </c>
      <c r="I33" s="301">
        <f t="shared" si="4"/>
        <v>-37.814161498473965</v>
      </c>
      <c r="J33" s="154">
        <f>+IF(ISNUMBER(VLOOKUP($B33,'Cental Budget'!$B$16:$K$75,'Public Expenditure'!J$1,FALSE)),VLOOKUP($B33,'Cental Budget'!$B$16:$K$75,'Public Expenditure'!J$1,FALSE),0)+IF(ISNUMBER(VLOOKUP('Public Expenditure'!$B33,'Local Government'!$B$16:$O$75,'Public Expenditure'!J$1,FALSE)),VLOOKUP('Public Expenditure'!$B33,'Local Government'!$B$16:$O$75,'Public Expenditure'!J$1,FALSE),0)</f>
        <v>7563758.1900000004</v>
      </c>
      <c r="K33" s="295">
        <f t="shared" si="1"/>
        <v>0.22083965518248178</v>
      </c>
      <c r="L33" s="209">
        <f t="shared" si="5"/>
        <v>-1764103.9100000029</v>
      </c>
      <c r="M33" s="301">
        <f t="shared" si="6"/>
        <v>-23.323113532797947</v>
      </c>
      <c r="O33" s="81"/>
      <c r="P33" s="81"/>
      <c r="Q33" s="81"/>
      <c r="R33" s="81"/>
      <c r="CD33" s="81"/>
      <c r="CE33" s="81"/>
      <c r="CF33" s="81"/>
      <c r="CG33" s="81"/>
      <c r="CH33" s="81"/>
    </row>
    <row r="34" spans="1:87">
      <c r="B34" s="80">
        <v>73</v>
      </c>
      <c r="C34" s="101" t="str">
        <f>IF(MasterSheet!$A$1=1,MasterSheet!C103,MasterSheet!B103)</f>
        <v>Primici od otplate kredita i sredstva prenijeta iz prethodne godine</v>
      </c>
      <c r="D34" s="154">
        <f>+IF(ISNUMBER(VLOOKUP($B34,'Cental Budget'!$B$16:$K$75,'Public Expenditure'!D$1,FALSE)),VLOOKUP($B34,'Cental Budget'!$B$16:$K$75,'Public Expenditure'!D$1,FALSE),0)+IF(ISNUMBER(VLOOKUP('Public Expenditure'!$B34,'Local Government'!$B$16:$O$75,'Public Expenditure'!D$1,FALSE)),VLOOKUP('Public Expenditure'!$B34,'Local Government'!$B$16:$O$75,'Public Expenditure'!D$1,FALSE),0)</f>
        <v>21357289.219999999</v>
      </c>
      <c r="E34" s="295">
        <f t="shared" si="0"/>
        <v>0.59657232458100551</v>
      </c>
      <c r="F34" s="154">
        <f>+IF(ISNUMBER(VLOOKUP($B34,'Cental Budget'!$B$16:$K$75,'Public Expenditure'!F$1,FALSE)),VLOOKUP($B34,'Cental Budget'!$B$16:$K$75,'Public Expenditure'!F$1,FALSE),0)+IF(ISNUMBER(VLOOKUP('Public Expenditure'!$B34,'Local Government'!$B$16:$O$75,'Public Expenditure'!F$1,FALSE)),VLOOKUP('Public Expenditure'!$B34,'Local Government'!$B$16:$O$75,'Public Expenditure'!F$1,FALSE),0)</f>
        <v>391256.93077411636</v>
      </c>
      <c r="G34" s="295">
        <f t="shared" si="2"/>
        <v>1.0928964546763028E-2</v>
      </c>
      <c r="H34" s="209">
        <f t="shared" si="3"/>
        <v>20966032.289225884</v>
      </c>
      <c r="I34" s="301">
        <f t="shared" si="4"/>
        <v>5358.6353723482443</v>
      </c>
      <c r="J34" s="154">
        <f>+IF(ISNUMBER(VLOOKUP($B34,'Cental Budget'!$B$16:$K$75,'Public Expenditure'!J$1,FALSE)),VLOOKUP($B34,'Cental Budget'!$B$16:$K$75,'Public Expenditure'!J$1,FALSE),0)+IF(ISNUMBER(VLOOKUP('Public Expenditure'!$B34,'Local Government'!$B$16:$O$75,'Public Expenditure'!J$1,FALSE)),VLOOKUP('Public Expenditure'!$B34,'Local Government'!$B$16:$O$75,'Public Expenditure'!J$1,FALSE),0)-496557.55</f>
        <v>13847389.659999998</v>
      </c>
      <c r="K34" s="295">
        <f t="shared" si="1"/>
        <v>0.4043033477372262</v>
      </c>
      <c r="L34" s="209">
        <f t="shared" si="5"/>
        <v>7509899.5600000005</v>
      </c>
      <c r="M34" s="301">
        <f t="shared" si="6"/>
        <v>54.23332299006023</v>
      </c>
      <c r="O34" s="81"/>
      <c r="P34" s="81"/>
      <c r="Q34" s="81"/>
      <c r="R34" s="81"/>
      <c r="CC34" s="100"/>
      <c r="CD34" s="100"/>
      <c r="CE34" s="99"/>
      <c r="CF34" s="145"/>
      <c r="CG34" s="145"/>
      <c r="CH34" s="145"/>
      <c r="CI34" s="142"/>
    </row>
    <row r="35" spans="1:87" ht="13.5" customHeight="1" thickBot="1">
      <c r="B35" s="80">
        <v>74</v>
      </c>
      <c r="C35" s="93" t="s">
        <v>123</v>
      </c>
      <c r="D35" s="154">
        <f>+IF(ISNUMBER(VLOOKUP($B35,'Cental Budget'!$B$16:$K$75,'Public Expenditure'!D$1,FALSE)),VLOOKUP($B35,'Cental Budget'!$B$16:$K$75,'Public Expenditure'!D$1,FALSE),0)+IF(ISNUMBER(VLOOKUP('Public Expenditure'!$B35,'Local Government'!$B$16:$O$75,'Public Expenditure'!D$1,FALSE)),VLOOKUP('Public Expenditure'!$B35,'Local Government'!$B$16:$O$75,'Public Expenditure'!D$1,FALSE),0)</f>
        <v>1295525.26</v>
      </c>
      <c r="E35" s="295">
        <f>D35/D$11*100</f>
        <v>3.6187856424581007E-2</v>
      </c>
      <c r="F35" s="154">
        <f>+IF(ISNUMBER(VLOOKUP($B35,'Cental Budget'!$B$16:$K$75,'Public Expenditure'!F$1,FALSE)),VLOOKUP($B35,'Cental Budget'!$B$16:$K$75,'Public Expenditure'!F$1,FALSE),0)+IF(ISNUMBER(VLOOKUP('Public Expenditure'!$B35,'Local Government'!$B$16:$O$75,'Public Expenditure'!F$1,FALSE)),VLOOKUP('Public Expenditure'!$B35,'Local Government'!$B$16:$O$75,'Public Expenditure'!F$1,FALSE),0)</f>
        <v>1893841.1183426389</v>
      </c>
      <c r="G35" s="295">
        <f t="shared" si="2"/>
        <v>5.2900589897839079E-2</v>
      </c>
      <c r="H35" s="209">
        <f t="shared" si="3"/>
        <v>-598315.85834263894</v>
      </c>
      <c r="I35" s="301">
        <f t="shared" si="4"/>
        <v>-31.592716651238646</v>
      </c>
      <c r="J35" s="154">
        <f>+IF(ISNUMBER(VLOOKUP($B35,'Cental Budget'!$B$16:$K$75,'Public Expenditure'!J$1,FALSE)),VLOOKUP($B35,'Cental Budget'!$B$16:$K$75,'Public Expenditure'!J$1,FALSE),0)+IF(ISNUMBER(VLOOKUP('Public Expenditure'!$B35,'Local Government'!$B$16:$O$75,'Public Expenditure'!J$1,FALSE)),VLOOKUP('Public Expenditure'!$B35,'Local Government'!$B$16:$O$75,'Public Expenditure'!J$1,FALSE),0)</f>
        <v>1948711.96</v>
      </c>
      <c r="K35" s="295">
        <f>J35/J$11*100</f>
        <v>5.6896699562043795E-2</v>
      </c>
      <c r="L35" s="209">
        <f t="shared" si="5"/>
        <v>-653186.69999999995</v>
      </c>
      <c r="M35" s="301">
        <f t="shared" si="6"/>
        <v>-33.518894193064838</v>
      </c>
      <c r="O35" s="81"/>
      <c r="P35" s="81"/>
      <c r="Q35" s="81"/>
      <c r="R35" s="81"/>
      <c r="CD35" s="161"/>
      <c r="CE35" s="161"/>
      <c r="CF35" s="145"/>
      <c r="CG35" s="145"/>
      <c r="CH35" s="145"/>
      <c r="CI35" s="142"/>
    </row>
    <row r="36" spans="1:87" ht="15" customHeight="1" thickTop="1" thickBot="1">
      <c r="B36" s="102"/>
      <c r="C36" s="178" t="s">
        <v>235</v>
      </c>
      <c r="D36" s="173">
        <f>+D38+D49+D55+SUM(D58:D63)</f>
        <v>331594598.82000005</v>
      </c>
      <c r="E36" s="292">
        <f t="shared" si="0"/>
        <v>9.2624189614525143</v>
      </c>
      <c r="F36" s="173">
        <f>+F38+F49+F55+SUM(F58:F63)</f>
        <v>427493332.18929535</v>
      </c>
      <c r="G36" s="292">
        <f t="shared" si="2"/>
        <v>11.941154530427244</v>
      </c>
      <c r="H36" s="173">
        <f t="shared" si="3"/>
        <v>-95898733.369295299</v>
      </c>
      <c r="I36" s="292">
        <f t="shared" si="4"/>
        <v>-22.432802139433377</v>
      </c>
      <c r="J36" s="173">
        <f>+J38+J49+J55+SUM(J58:J62)</f>
        <v>325083503.44999999</v>
      </c>
      <c r="K36" s="292">
        <f t="shared" si="1"/>
        <v>9.4914891518248172</v>
      </c>
      <c r="L36" s="173">
        <f t="shared" si="5"/>
        <v>6511095.3700000644</v>
      </c>
      <c r="M36" s="292">
        <f t="shared" si="6"/>
        <v>2.0028993476752959</v>
      </c>
      <c r="N36" s="102"/>
      <c r="O36" s="81"/>
      <c r="P36" s="81"/>
      <c r="Q36" s="81"/>
      <c r="R36" s="81"/>
      <c r="CD36" s="81"/>
      <c r="CE36" s="81"/>
      <c r="CF36" s="145"/>
      <c r="CG36" s="145"/>
      <c r="CH36" s="145"/>
      <c r="CI36" s="142"/>
    </row>
    <row r="37" spans="1:87" ht="13.5" customHeight="1" thickTop="1" thickBot="1">
      <c r="C37" s="178" t="s">
        <v>126</v>
      </c>
      <c r="D37" s="173">
        <f>+D36-D58</f>
        <v>308720607.84000003</v>
      </c>
      <c r="E37" s="292">
        <f t="shared" si="0"/>
        <v>8.6234806659217877</v>
      </c>
      <c r="F37" s="173">
        <f>+F36-F58</f>
        <v>346319062.93929535</v>
      </c>
      <c r="G37" s="292">
        <f t="shared" si="2"/>
        <v>9.6737168418797577</v>
      </c>
      <c r="H37" s="173">
        <f t="shared" si="3"/>
        <v>-37598455.099295318</v>
      </c>
      <c r="I37" s="292">
        <f t="shared" si="4"/>
        <v>-10.856594141884059</v>
      </c>
      <c r="J37" s="173">
        <f>+J36-J58</f>
        <v>309409871.06999999</v>
      </c>
      <c r="K37" s="292">
        <f t="shared" si="1"/>
        <v>9.0338648487591247</v>
      </c>
      <c r="L37" s="173">
        <f t="shared" si="5"/>
        <v>-689263.22999995947</v>
      </c>
      <c r="M37" s="292">
        <f t="shared" si="6"/>
        <v>-0.22276704605975794</v>
      </c>
      <c r="N37" s="220"/>
      <c r="O37" s="81"/>
      <c r="P37" s="81"/>
      <c r="Q37" s="81"/>
      <c r="R37" s="81"/>
      <c r="CD37" s="161"/>
      <c r="CE37" s="161"/>
      <c r="CF37" s="145"/>
      <c r="CG37" s="145"/>
      <c r="CH37" s="145"/>
      <c r="CI37" s="142"/>
    </row>
    <row r="38" spans="1:87" ht="13.5" customHeight="1" thickTop="1">
      <c r="A38" s="80">
        <v>41</v>
      </c>
      <c r="C38" s="93" t="s">
        <v>63</v>
      </c>
      <c r="D38" s="94">
        <f>+SUM(D39:D48)</f>
        <v>146649654.27000004</v>
      </c>
      <c r="E38" s="295">
        <f t="shared" si="0"/>
        <v>4.0963590578212301</v>
      </c>
      <c r="F38" s="94">
        <f>+SUM(F39:F48)</f>
        <v>173910483.28698504</v>
      </c>
      <c r="G38" s="295">
        <f t="shared" si="2"/>
        <v>4.8578347286867327</v>
      </c>
      <c r="H38" s="207">
        <f t="shared" si="3"/>
        <v>-27260829.016984999</v>
      </c>
      <c r="I38" s="301">
        <f t="shared" si="4"/>
        <v>-15.675207441060067</v>
      </c>
      <c r="J38" s="94">
        <f>+SUM(J39:J48)</f>
        <v>142564114.28000003</v>
      </c>
      <c r="K38" s="295">
        <f t="shared" si="1"/>
        <v>4.1624558913868626</v>
      </c>
      <c r="L38" s="207">
        <f t="shared" si="5"/>
        <v>4085539.9900000095</v>
      </c>
      <c r="M38" s="301">
        <f t="shared" si="6"/>
        <v>2.8657562322983239</v>
      </c>
      <c r="O38" s="81"/>
      <c r="P38" s="215"/>
      <c r="Q38" s="81"/>
      <c r="R38" s="81"/>
      <c r="CD38" s="161"/>
      <c r="CE38" s="161"/>
      <c r="CF38" s="145"/>
      <c r="CG38" s="145"/>
      <c r="CH38" s="145"/>
      <c r="CI38" s="142"/>
    </row>
    <row r="39" spans="1:87" ht="13.5" customHeight="1">
      <c r="B39" s="80">
        <v>411</v>
      </c>
      <c r="C39" s="93" t="s">
        <v>64</v>
      </c>
      <c r="D39" s="154">
        <f>+IF(ISNUMBER(VLOOKUP($B39,'Cental Budget'!$B$16:$K$75,'Public Expenditure'!D$1,FALSE)),VLOOKUP($B39,'Cental Budget'!$B$16:$K$75,'Public Expenditure'!D$1,FALSE),0)+IF(ISNUMBER(VLOOKUP('Public Expenditure'!$B39,'Local Government'!$B$16:$O$75,'Public Expenditure'!D$1,FALSE)),VLOOKUP('Public Expenditure'!$B39,'Local Government'!$B$16:$O$75,'Public Expenditure'!D$1,FALSE),0)</f>
        <v>97440573.350000024</v>
      </c>
      <c r="E39" s="295">
        <f t="shared" si="0"/>
        <v>2.7218037248603357</v>
      </c>
      <c r="F39" s="154">
        <f>+IF(ISNUMBER(VLOOKUP($B39,'Cental Budget'!$B$16:$K$75,'Public Expenditure'!F$1,FALSE)),VLOOKUP($B39,'Cental Budget'!$B$16:$K$75,'Public Expenditure'!F$1,FALSE),0)+IF(ISNUMBER(VLOOKUP('Public Expenditure'!$B39,'Local Government'!$B$16:$O$75,'Public Expenditure'!F$1,FALSE)),VLOOKUP('Public Expenditure'!$B39,'Local Government'!$B$16:$O$75,'Public Expenditure'!F$1,FALSE),0)</f>
        <v>103907256.92460001</v>
      </c>
      <c r="G39" s="295">
        <f t="shared" si="2"/>
        <v>2.9024373442625699</v>
      </c>
      <c r="H39" s="209">
        <f t="shared" si="3"/>
        <v>-6466683.5745999813</v>
      </c>
      <c r="I39" s="301">
        <f t="shared" si="4"/>
        <v>-6.2235148593062348</v>
      </c>
      <c r="J39" s="154">
        <f>+IF(ISNUMBER(VLOOKUP($B39,'Cental Budget'!$B$16:$K$75,'Public Expenditure'!J$1,FALSE)),VLOOKUP($B39,'Cental Budget'!$B$16:$K$75,'Public Expenditure'!J$1,FALSE),0)+IF(ISNUMBER(VLOOKUP('Public Expenditure'!$B39,'Local Government'!$B$16:$O$75,'Public Expenditure'!J$1,FALSE)),VLOOKUP('Public Expenditure'!$B39,'Local Government'!$B$16:$O$75,'Public Expenditure'!J$1,FALSE),0)</f>
        <v>98417943.50000003</v>
      </c>
      <c r="K39" s="295">
        <f t="shared" si="1"/>
        <v>2.8735165985401467</v>
      </c>
      <c r="L39" s="209">
        <f t="shared" si="5"/>
        <v>-977370.15000000596</v>
      </c>
      <c r="M39" s="301">
        <f t="shared" si="6"/>
        <v>-0.99308125656985169</v>
      </c>
      <c r="O39" s="81"/>
      <c r="P39" s="215"/>
      <c r="Q39" s="81"/>
      <c r="R39" s="81"/>
      <c r="CD39" s="161"/>
      <c r="CE39" s="161"/>
      <c r="CF39" s="145"/>
      <c r="CG39" s="145"/>
      <c r="CH39" s="145"/>
      <c r="CI39" s="142"/>
    </row>
    <row r="40" spans="1:87" ht="13.5" customHeight="1">
      <c r="B40" s="80">
        <v>412</v>
      </c>
      <c r="C40" s="93" t="s">
        <v>75</v>
      </c>
      <c r="D40" s="154">
        <f>+IF(ISNUMBER(VLOOKUP($B40,'Cental Budget'!$B$16:$K$75,'Public Expenditure'!D$1,FALSE)),VLOOKUP($B40,'Cental Budget'!$B$16:$K$75,'Public Expenditure'!D$1,FALSE),0)+IF(ISNUMBER(VLOOKUP('Public Expenditure'!$B40,'Local Government'!$B$16:$O$75,'Public Expenditure'!D$1,FALSE)),VLOOKUP('Public Expenditure'!$B40,'Local Government'!$B$16:$O$75,'Public Expenditure'!D$1,FALSE),0)</f>
        <v>2924774.3499999982</v>
      </c>
      <c r="E40" s="295">
        <f t="shared" si="0"/>
        <v>8.1697607541899392E-2</v>
      </c>
      <c r="F40" s="154">
        <f>+IF(ISNUMBER(VLOOKUP($B40,'Cental Budget'!$B$16:$K$75,'Public Expenditure'!F$1,FALSE)),VLOOKUP($B40,'Cental Budget'!$B$16:$K$75,'Public Expenditure'!F$1,FALSE),0)+IF(ISNUMBER(VLOOKUP('Public Expenditure'!$B40,'Local Government'!$B$16:$O$75,'Public Expenditure'!F$1,FALSE)),VLOOKUP('Public Expenditure'!$B40,'Local Government'!$B$16:$O$75,'Public Expenditure'!F$1,FALSE),0)</f>
        <v>3483097.8378999997</v>
      </c>
      <c r="G40" s="295">
        <f t="shared" si="2"/>
        <v>9.7293235695530708E-2</v>
      </c>
      <c r="H40" s="209">
        <f t="shared" si="3"/>
        <v>-558323.48790000146</v>
      </c>
      <c r="I40" s="301">
        <f t="shared" si="4"/>
        <v>-16.029509186472382</v>
      </c>
      <c r="J40" s="154">
        <f>+IF(ISNUMBER(VLOOKUP($B40,'Cental Budget'!$B$16:$K$75,'Public Expenditure'!J$1,FALSE)),VLOOKUP($B40,'Cental Budget'!$B$16:$K$75,'Public Expenditure'!J$1,FALSE),0)+IF(ISNUMBER(VLOOKUP('Public Expenditure'!$B40,'Local Government'!$B$16:$O$75,'Public Expenditure'!J$1,FALSE)),VLOOKUP('Public Expenditure'!$B40,'Local Government'!$B$16:$O$75,'Public Expenditure'!J$1,FALSE),0)</f>
        <v>2606054.3899999983</v>
      </c>
      <c r="K40" s="295">
        <f t="shared" si="1"/>
        <v>7.6089179270072943E-2</v>
      </c>
      <c r="L40" s="209">
        <f t="shared" si="5"/>
        <v>318719.95999999996</v>
      </c>
      <c r="M40" s="301">
        <f t="shared" si="6"/>
        <v>12.229981124837551</v>
      </c>
      <c r="O40" s="81"/>
      <c r="P40" s="215"/>
      <c r="Q40" s="81"/>
      <c r="R40" s="81"/>
      <c r="CD40" s="161"/>
      <c r="CE40" s="161"/>
      <c r="CF40" s="145"/>
      <c r="CG40" s="145"/>
      <c r="CH40" s="145"/>
      <c r="CI40" s="142"/>
    </row>
    <row r="41" spans="1:87" ht="13.5" customHeight="1">
      <c r="B41" s="80">
        <v>413</v>
      </c>
      <c r="C41" s="93" t="s">
        <v>429</v>
      </c>
      <c r="D41" s="154">
        <f>+IF(ISNUMBER(VLOOKUP($B41,'Cental Budget'!$B$16:$K$75,'Public Expenditure'!D$1,FALSE)),VLOOKUP($B41,'Cental Budget'!$B$16:$K$75,'Public Expenditure'!D$1,FALSE),0)+IF(ISNUMBER(VLOOKUP('Public Expenditure'!$B41,'Local Government'!$B$16:$O$75,'Public Expenditure'!D$1,FALSE)),VLOOKUP('Public Expenditure'!$B41,'Local Government'!$B$16:$O$75,'Public Expenditure'!D$1,FALSE),0)</f>
        <v>6715208.4999999991</v>
      </c>
      <c r="E41" s="295">
        <f t="shared" si="0"/>
        <v>0.18757565642458096</v>
      </c>
      <c r="F41" s="154">
        <f>+IF(ISNUMBER(VLOOKUP($B41,'Cental Budget'!$B$16:$K$75,'Public Expenditure'!F$1,FALSE)),VLOOKUP($B41,'Cental Budget'!$B$16:$K$75,'Public Expenditure'!F$1,FALSE),0)+IF(ISNUMBER(VLOOKUP('Public Expenditure'!$B41,'Local Government'!$B$16:$O$75,'Public Expenditure'!F$1,FALSE)),VLOOKUP('Public Expenditure'!$B41,'Local Government'!$B$16:$O$75,'Public Expenditure'!F$1,FALSE),0)</f>
        <v>8919770.5199999996</v>
      </c>
      <c r="G41" s="295">
        <f t="shared" si="2"/>
        <v>0.24915560111731841</v>
      </c>
      <c r="H41" s="209">
        <f t="shared" si="3"/>
        <v>-2204562.0200000005</v>
      </c>
      <c r="I41" s="301">
        <f t="shared" si="4"/>
        <v>-24.71545669316167</v>
      </c>
      <c r="J41" s="154">
        <f>+IF(ISNUMBER(VLOOKUP($B41,'Cental Budget'!$B$16:$K$75,'Public Expenditure'!J$1,FALSE)),VLOOKUP($B41,'Cental Budget'!$B$16:$K$75,'Public Expenditure'!J$1,FALSE),0)+IF(ISNUMBER(VLOOKUP('Public Expenditure'!$B41,'Local Government'!$B$16:$O$75,'Public Expenditure'!J$1,FALSE)),VLOOKUP('Public Expenditure'!$B41,'Local Government'!$B$16:$O$75,'Public Expenditure'!J$1,FALSE),0)</f>
        <v>6783919.7700000005</v>
      </c>
      <c r="K41" s="295">
        <f t="shared" si="1"/>
        <v>0.1980706502189781</v>
      </c>
      <c r="L41" s="209">
        <f t="shared" si="5"/>
        <v>-68711.270000001416</v>
      </c>
      <c r="M41" s="301">
        <f t="shared" si="6"/>
        <v>-1.0128549913555673</v>
      </c>
      <c r="O41" s="81"/>
      <c r="P41" s="215"/>
      <c r="Q41" s="81"/>
      <c r="R41" s="81"/>
      <c r="CD41" s="161"/>
      <c r="CE41" s="161"/>
      <c r="CF41" s="145"/>
      <c r="CG41" s="145"/>
      <c r="CH41" s="145"/>
      <c r="CI41" s="142"/>
    </row>
    <row r="42" spans="1:87" ht="13.5" customHeight="1">
      <c r="B42" s="80">
        <v>414</v>
      </c>
      <c r="C42" s="93" t="s">
        <v>430</v>
      </c>
      <c r="D42" s="154">
        <f>+IF(ISNUMBER(VLOOKUP($B42,'Cental Budget'!$B$16:$K$75,'Public Expenditure'!D$1,FALSE)),VLOOKUP($B42,'Cental Budget'!$B$16:$K$75,'Public Expenditure'!D$1,FALSE),0)+IF(ISNUMBER(VLOOKUP('Public Expenditure'!$B42,'Local Government'!$B$16:$O$75,'Public Expenditure'!D$1,FALSE)),VLOOKUP('Public Expenditure'!$B42,'Local Government'!$B$16:$O$75,'Public Expenditure'!D$1,FALSE),0)</f>
        <v>9448060.3700000159</v>
      </c>
      <c r="E42" s="295">
        <f t="shared" si="0"/>
        <v>0.26391230083798928</v>
      </c>
      <c r="F42" s="154">
        <f>+IF(ISNUMBER(VLOOKUP($B42,'Cental Budget'!$B$16:$K$75,'Public Expenditure'!F$1,FALSE)),VLOOKUP($B42,'Cental Budget'!$B$16:$K$75,'Public Expenditure'!F$1,FALSE),0)+IF(ISNUMBER(VLOOKUP('Public Expenditure'!$B42,'Local Government'!$B$16:$O$75,'Public Expenditure'!F$1,FALSE)),VLOOKUP('Public Expenditure'!$B42,'Local Government'!$B$16:$O$75,'Public Expenditure'!F$1,FALSE),0)</f>
        <v>12343414.415900001</v>
      </c>
      <c r="G42" s="295">
        <f t="shared" si="2"/>
        <v>0.34478811217597771</v>
      </c>
      <c r="H42" s="209">
        <f t="shared" si="3"/>
        <v>-2895354.0458999854</v>
      </c>
      <c r="I42" s="301">
        <f t="shared" si="4"/>
        <v>-23.456670483090761</v>
      </c>
      <c r="J42" s="154">
        <f>+IF(ISNUMBER(VLOOKUP($B42,'Cental Budget'!$B$16:$K$75,'Public Expenditure'!J$1,FALSE)),VLOOKUP($B42,'Cental Budget'!$B$16:$K$75,'Public Expenditure'!J$1,FALSE),0)+IF(ISNUMBER(VLOOKUP('Public Expenditure'!$B42,'Local Government'!$B$16:$O$75,'Public Expenditure'!J$1,FALSE)),VLOOKUP('Public Expenditure'!$B42,'Local Government'!$B$16:$O$75,'Public Expenditure'!J$1,FALSE),0)</f>
        <v>9182372.0900000073</v>
      </c>
      <c r="K42" s="295">
        <f t="shared" si="1"/>
        <v>0.26809845518248199</v>
      </c>
      <c r="L42" s="209">
        <f t="shared" si="5"/>
        <v>265688.28000000864</v>
      </c>
      <c r="M42" s="301">
        <f t="shared" si="6"/>
        <v>2.8934601799610675</v>
      </c>
      <c r="O42" s="81"/>
      <c r="P42" s="215"/>
      <c r="Q42" s="81"/>
      <c r="R42" s="81"/>
      <c r="CD42" s="161"/>
      <c r="CE42" s="161"/>
      <c r="CF42" s="145"/>
      <c r="CG42" s="145"/>
      <c r="CH42" s="145"/>
      <c r="CI42" s="142"/>
    </row>
    <row r="43" spans="1:87" ht="13.5" customHeight="1">
      <c r="B43" s="80">
        <v>415</v>
      </c>
      <c r="C43" s="93" t="s">
        <v>431</v>
      </c>
      <c r="D43" s="154">
        <f>+IF(ISNUMBER(VLOOKUP($B43,'Cental Budget'!$B$16:$K$75,'Public Expenditure'!D$1,FALSE)),VLOOKUP($B43,'Cental Budget'!$B$16:$K$75,'Public Expenditure'!D$1,FALSE),0)+IF(ISNUMBER(VLOOKUP('Public Expenditure'!$B43,'Local Government'!$B$16:$O$75,'Public Expenditure'!D$1,FALSE)),VLOOKUP('Public Expenditure'!$B43,'Local Government'!$B$16:$O$75,'Public Expenditure'!D$1,FALSE),0)</f>
        <v>4175957.0799999996</v>
      </c>
      <c r="E43" s="295">
        <f t="shared" si="0"/>
        <v>0.11664684581005585</v>
      </c>
      <c r="F43" s="154">
        <f>+IF(ISNUMBER(VLOOKUP($B43,'Cental Budget'!$B$16:$K$75,'Public Expenditure'!F$1,FALSE)),VLOOKUP($B43,'Cental Budget'!$B$16:$K$75,'Public Expenditure'!F$1,FALSE),0)+IF(ISNUMBER(VLOOKUP('Public Expenditure'!$B43,'Local Government'!$B$16:$O$75,'Public Expenditure'!F$1,FALSE)),VLOOKUP('Public Expenditure'!$B43,'Local Government'!$B$16:$O$75,'Public Expenditure'!F$1,FALSE),0)</f>
        <v>6265560.3106550006</v>
      </c>
      <c r="G43" s="295">
        <f t="shared" si="2"/>
        <v>0.17501565113561454</v>
      </c>
      <c r="H43" s="209">
        <f t="shared" si="3"/>
        <v>-2089603.230655001</v>
      </c>
      <c r="I43" s="301">
        <f t="shared" si="4"/>
        <v>-33.350620328424455</v>
      </c>
      <c r="J43" s="154">
        <f>+IF(ISNUMBER(VLOOKUP($B43,'Cental Budget'!$B$16:$K$75,'Public Expenditure'!J$1,FALSE)),VLOOKUP($B43,'Cental Budget'!$B$16:$K$75,'Public Expenditure'!J$1,FALSE),0)+IF(ISNUMBER(VLOOKUP('Public Expenditure'!$B43,'Local Government'!$B$16:$O$75,'Public Expenditure'!J$1,FALSE)),VLOOKUP('Public Expenditure'!$B43,'Local Government'!$B$16:$O$75,'Public Expenditure'!J$1,FALSE),0)</f>
        <v>2416123.34</v>
      </c>
      <c r="K43" s="295">
        <f t="shared" si="1"/>
        <v>7.0543747153284667E-2</v>
      </c>
      <c r="L43" s="209">
        <f t="shared" si="5"/>
        <v>1759833.7399999998</v>
      </c>
      <c r="M43" s="301">
        <f t="shared" si="6"/>
        <v>72.837082067176254</v>
      </c>
      <c r="O43" s="81"/>
      <c r="P43" s="215"/>
      <c r="Q43" s="81"/>
      <c r="R43" s="81"/>
      <c r="CD43" s="161"/>
      <c r="CE43" s="161"/>
      <c r="CF43" s="145"/>
      <c r="CG43" s="145"/>
      <c r="CH43" s="145"/>
      <c r="CI43" s="142"/>
    </row>
    <row r="44" spans="1:87" ht="13.5" customHeight="1">
      <c r="B44" s="80">
        <v>416</v>
      </c>
      <c r="C44" s="93" t="s">
        <v>80</v>
      </c>
      <c r="D44" s="154">
        <f>+IF(ISNUMBER(VLOOKUP($B44,'Cental Budget'!$B$16:$K$75,'Public Expenditure'!D$1,FALSE)),VLOOKUP($B44,'Cental Budget'!$B$16:$K$75,'Public Expenditure'!D$1,FALSE),0)+IF(ISNUMBER(VLOOKUP('Public Expenditure'!$B44,'Local Government'!$B$16:$O$75,'Public Expenditure'!D$1,FALSE)),VLOOKUP('Public Expenditure'!$B44,'Local Government'!$B$16:$O$75,'Public Expenditure'!D$1,FALSE),0)</f>
        <v>11001080.140000001</v>
      </c>
      <c r="E44" s="295">
        <f t="shared" si="0"/>
        <v>0.30729274134078216</v>
      </c>
      <c r="F44" s="154">
        <f>+IF(ISNUMBER(VLOOKUP($B44,'Cental Budget'!$B$16:$K$75,'Public Expenditure'!F$1,FALSE)),VLOOKUP($B44,'Cental Budget'!$B$16:$K$75,'Public Expenditure'!F$1,FALSE),0)+IF(ISNUMBER(VLOOKUP('Public Expenditure'!$B44,'Local Government'!$B$16:$O$75,'Public Expenditure'!F$1,FALSE)),VLOOKUP('Public Expenditure'!$B44,'Local Government'!$B$16:$O$75,'Public Expenditure'!F$1,FALSE),0)</f>
        <v>19974514.38120725</v>
      </c>
      <c r="G44" s="295">
        <f t="shared" si="2"/>
        <v>0.55794732908400146</v>
      </c>
      <c r="H44" s="209">
        <f t="shared" si="3"/>
        <v>-8973434.2412072495</v>
      </c>
      <c r="I44" s="301">
        <f t="shared" si="4"/>
        <v>-44.924417535025455</v>
      </c>
      <c r="J44" s="154">
        <f>+IF(ISNUMBER(VLOOKUP($B44,'Cental Budget'!$B$16:$K$75,'Public Expenditure'!J$1,FALSE)),VLOOKUP($B44,'Cental Budget'!$B$16:$K$75,'Public Expenditure'!J$1,FALSE),0)+IF(ISNUMBER(VLOOKUP('Public Expenditure'!$B44,'Local Government'!$B$16:$O$75,'Public Expenditure'!J$1,FALSE)),VLOOKUP('Public Expenditure'!$B44,'Local Government'!$B$16:$O$75,'Public Expenditure'!J$1,FALSE),0)</f>
        <v>8888761.3399999999</v>
      </c>
      <c r="K44" s="295">
        <f t="shared" si="1"/>
        <v>0.25952587854014597</v>
      </c>
      <c r="L44" s="209">
        <f t="shared" si="5"/>
        <v>2112318.8000000007</v>
      </c>
      <c r="M44" s="301">
        <f t="shared" si="6"/>
        <v>23.763927494536617</v>
      </c>
      <c r="O44" s="81"/>
      <c r="P44" s="215"/>
      <c r="Q44" s="81"/>
      <c r="R44" s="81"/>
      <c r="CD44" s="161"/>
      <c r="CE44" s="161"/>
      <c r="CF44" s="145"/>
      <c r="CG44" s="145"/>
      <c r="CH44" s="145"/>
      <c r="CI44" s="142"/>
    </row>
    <row r="45" spans="1:87" ht="13.5" customHeight="1">
      <c r="B45" s="80">
        <v>417</v>
      </c>
      <c r="C45" s="93" t="s">
        <v>82</v>
      </c>
      <c r="D45" s="154">
        <f>+IF(ISNUMBER(VLOOKUP($B45,'Cental Budget'!$B$16:$K$75,'Public Expenditure'!D$1,FALSE)),VLOOKUP($B45,'Cental Budget'!$B$16:$K$75,'Public Expenditure'!D$1,FALSE),0)+IF(ISNUMBER(VLOOKUP('Public Expenditure'!$B45,'Local Government'!$B$16:$O$75,'Public Expenditure'!D$1,FALSE)),VLOOKUP('Public Expenditure'!$B45,'Local Government'!$B$16:$O$75,'Public Expenditure'!D$1,FALSE),0)</f>
        <v>2518488.14</v>
      </c>
      <c r="E45" s="295">
        <f t="shared" si="0"/>
        <v>7.0348830726256986E-2</v>
      </c>
      <c r="F45" s="154">
        <f>+IF(ISNUMBER(VLOOKUP($B45,'Cental Budget'!$B$16:$K$75,'Public Expenditure'!F$1,FALSE)),VLOOKUP($B45,'Cental Budget'!$B$16:$K$75,'Public Expenditure'!F$1,FALSE),0)+IF(ISNUMBER(VLOOKUP('Public Expenditure'!$B45,'Local Government'!$B$16:$O$75,'Public Expenditure'!F$1,FALSE)),VLOOKUP('Public Expenditure'!$B45,'Local Government'!$B$16:$O$75,'Public Expenditure'!F$1,FALSE),0)</f>
        <v>2198761.7983274995</v>
      </c>
      <c r="G45" s="295">
        <f t="shared" si="2"/>
        <v>6.1417927327583791E-2</v>
      </c>
      <c r="H45" s="209">
        <f t="shared" si="3"/>
        <v>319726.3416725006</v>
      </c>
      <c r="I45" s="301">
        <f t="shared" si="4"/>
        <v>14.541199593139282</v>
      </c>
      <c r="J45" s="154">
        <f>+IF(ISNUMBER(VLOOKUP($B45,'Cental Budget'!$B$16:$K$75,'Public Expenditure'!J$1,FALSE)),VLOOKUP($B45,'Cental Budget'!$B$16:$K$75,'Public Expenditure'!J$1,FALSE),0)+IF(ISNUMBER(VLOOKUP('Public Expenditure'!$B45,'Local Government'!$B$16:$O$75,'Public Expenditure'!J$1,FALSE)),VLOOKUP('Public Expenditure'!$B45,'Local Government'!$B$16:$O$75,'Public Expenditure'!J$1,FALSE),0)</f>
        <v>2161640.7200000002</v>
      </c>
      <c r="K45" s="295">
        <f t="shared" si="1"/>
        <v>6.3113597664233578E-2</v>
      </c>
      <c r="L45" s="209">
        <f t="shared" si="5"/>
        <v>356847.41999999993</v>
      </c>
      <c r="M45" s="301">
        <f t="shared" si="6"/>
        <v>16.508174401895985</v>
      </c>
      <c r="O45" s="81"/>
      <c r="P45" s="215"/>
      <c r="Q45" s="81"/>
      <c r="R45" s="81"/>
      <c r="CD45" s="161"/>
      <c r="CE45" s="161"/>
      <c r="CF45" s="145"/>
      <c r="CG45" s="145"/>
      <c r="CH45" s="145"/>
      <c r="CI45" s="142"/>
    </row>
    <row r="46" spans="1:87" ht="13.5" customHeight="1">
      <c r="B46" s="80">
        <v>418</v>
      </c>
      <c r="C46" s="93" t="s">
        <v>84</v>
      </c>
      <c r="D46" s="154">
        <f>+IF(ISNUMBER(VLOOKUP($B46,'Cental Budget'!$B$16:$K$75,'Public Expenditure'!D$1,FALSE)),VLOOKUP($B46,'Cental Budget'!$B$16:$K$75,'Public Expenditure'!D$1,FALSE),0)+IF(ISNUMBER(VLOOKUP('Public Expenditure'!$B46,'Local Government'!$B$16:$O$75,'Public Expenditure'!D$1,FALSE)),VLOOKUP('Public Expenditure'!$B46,'Local Government'!$B$16:$O$75,'Public Expenditure'!D$1,FALSE),0)</f>
        <v>4854442.4799999995</v>
      </c>
      <c r="E46" s="295">
        <f t="shared" si="0"/>
        <v>0.13559895195530725</v>
      </c>
      <c r="F46" s="154">
        <f>+IF(ISNUMBER(VLOOKUP($B46,'Cental Budget'!$B$16:$K$75,'Public Expenditure'!F$1,FALSE)),VLOOKUP($B46,'Cental Budget'!$B$16:$K$75,'Public Expenditure'!F$1,FALSE),0)+IF(ISNUMBER(VLOOKUP('Public Expenditure'!$B46,'Local Government'!$B$16:$O$75,'Public Expenditure'!F$1,FALSE)),VLOOKUP('Public Expenditure'!$B46,'Local Government'!$B$16:$O$75,'Public Expenditure'!F$1,FALSE),0)</f>
        <v>5458667.9824467497</v>
      </c>
      <c r="G46" s="295">
        <f t="shared" si="2"/>
        <v>0.15247675928622204</v>
      </c>
      <c r="H46" s="209">
        <f t="shared" si="3"/>
        <v>-604225.50244675018</v>
      </c>
      <c r="I46" s="301">
        <f t="shared" si="4"/>
        <v>-11.069101553524362</v>
      </c>
      <c r="J46" s="154">
        <f>+IF(ISNUMBER(VLOOKUP($B46,'Cental Budget'!$B$16:$K$75,'Public Expenditure'!J$1,FALSE)),VLOOKUP($B46,'Cental Budget'!$B$16:$K$75,'Public Expenditure'!J$1,FALSE),0)+IF(ISNUMBER(VLOOKUP('Public Expenditure'!$B46,'Local Government'!$B$16:$O$75,'Public Expenditure'!J$1,FALSE)),VLOOKUP('Public Expenditure'!$B46,'Local Government'!$B$16:$O$75,'Public Expenditure'!J$1,FALSE),0)</f>
        <v>6171632.7700000005</v>
      </c>
      <c r="K46" s="295">
        <f t="shared" si="1"/>
        <v>0.18019365751824817</v>
      </c>
      <c r="L46" s="209">
        <f t="shared" si="5"/>
        <v>-1317190.290000001</v>
      </c>
      <c r="M46" s="301">
        <f t="shared" si="6"/>
        <v>-21.342655000517809</v>
      </c>
      <c r="O46" s="81"/>
      <c r="P46" s="215"/>
      <c r="Q46" s="81"/>
      <c r="R46" s="81"/>
      <c r="CD46" s="161"/>
      <c r="CE46" s="161"/>
      <c r="CF46" s="145"/>
      <c r="CG46" s="145"/>
      <c r="CH46" s="145"/>
      <c r="CI46" s="142"/>
    </row>
    <row r="47" spans="1:87" ht="13.5" customHeight="1">
      <c r="B47" s="80">
        <v>419</v>
      </c>
      <c r="C47" s="93" t="s">
        <v>86</v>
      </c>
      <c r="D47" s="154">
        <f>+IF(ISNUMBER(VLOOKUP($B47,'Cental Budget'!$B$16:$K$75,'Public Expenditure'!D$1,FALSE)),VLOOKUP($B47,'Cental Budget'!$B$16:$K$75,'Public Expenditure'!D$1,FALSE),0)+IF(ISNUMBER(VLOOKUP('Public Expenditure'!$B47,'Local Government'!$B$16:$O$75,'Public Expenditure'!D$1,FALSE)),VLOOKUP('Public Expenditure'!$B47,'Local Government'!$B$16:$O$75,'Public Expenditure'!D$1,FALSE),0)</f>
        <v>5578519.8099999987</v>
      </c>
      <c r="E47" s="295">
        <f t="shared" si="0"/>
        <v>0.15582457569832397</v>
      </c>
      <c r="F47" s="154">
        <f>+IF(ISNUMBER(VLOOKUP($B47,'Cental Budget'!$B$16:$K$75,'Public Expenditure'!F$1,FALSE)),VLOOKUP($B47,'Cental Budget'!$B$16:$K$75,'Public Expenditure'!F$1,FALSE),0)+IF(ISNUMBER(VLOOKUP('Public Expenditure'!$B47,'Local Government'!$B$16:$O$75,'Public Expenditure'!F$1,FALSE)),VLOOKUP('Public Expenditure'!$B47,'Local Government'!$B$16:$O$75,'Public Expenditure'!F$1,FALSE),0)</f>
        <v>7896969.813448499</v>
      </c>
      <c r="G47" s="295">
        <f t="shared" si="2"/>
        <v>0.22058574897900834</v>
      </c>
      <c r="H47" s="209">
        <f t="shared" si="3"/>
        <v>-2318450.0034485003</v>
      </c>
      <c r="I47" s="301">
        <f t="shared" si="4"/>
        <v>-29.358729464815625</v>
      </c>
      <c r="J47" s="154">
        <f>+IF(ISNUMBER(VLOOKUP($B47,'Cental Budget'!$B$16:$K$75,'Public Expenditure'!J$1,FALSE)),VLOOKUP($B47,'Cental Budget'!$B$16:$K$75,'Public Expenditure'!J$1,FALSE),0)+IF(ISNUMBER(VLOOKUP('Public Expenditure'!$B47,'Local Government'!$B$16:$O$75,'Public Expenditure'!J$1,FALSE)),VLOOKUP('Public Expenditure'!$B47,'Local Government'!$B$16:$O$75,'Public Expenditure'!J$1,FALSE),0)</f>
        <v>5129680.2900000019</v>
      </c>
      <c r="K47" s="295">
        <f t="shared" si="1"/>
        <v>0.14977168729927012</v>
      </c>
      <c r="L47" s="209">
        <f t="shared" si="5"/>
        <v>448839.51999999676</v>
      </c>
      <c r="M47" s="301">
        <f t="shared" si="6"/>
        <v>8.7498536872752481</v>
      </c>
      <c r="O47" s="81"/>
      <c r="P47" s="215"/>
      <c r="Q47" s="81"/>
      <c r="R47" s="81"/>
      <c r="CD47" s="161"/>
      <c r="CE47" s="161"/>
      <c r="CF47" s="145"/>
      <c r="CG47" s="145"/>
      <c r="CH47" s="145"/>
      <c r="CI47" s="142"/>
    </row>
    <row r="48" spans="1:87" ht="13.5" customHeight="1">
      <c r="B48" s="80">
        <v>441</v>
      </c>
      <c r="C48" s="93" t="s">
        <v>130</v>
      </c>
      <c r="D48" s="154">
        <f>+IF(ISNUMBER(VLOOKUP($B48,'Cental Budget'!$B$16:$K$75,'Public Expenditure'!D$1,FALSE)),VLOOKUP($B48,'Cental Budget'!$B$16:$K$75,'Public Expenditure'!D$1,FALSE),0)+IF(ISNUMBER(VLOOKUP('Public Expenditure'!$B48,'Local Government'!$B$16:$O$75,'Public Expenditure'!D$1,FALSE)),VLOOKUP('Public Expenditure'!$B48,'Local Government'!$B$16:$O$75,'Public Expenditure'!D$1,FALSE),0)</f>
        <v>1992550.0500000026</v>
      </c>
      <c r="E48" s="295">
        <f t="shared" si="0"/>
        <v>5.5657822625698392E-2</v>
      </c>
      <c r="F48" s="154">
        <f>+IF(ISNUMBER(VLOOKUP($B48,'Cental Budget'!$B$16:$K$75,'Public Expenditure'!F$1,FALSE)),VLOOKUP($B48,'Cental Budget'!$B$16:$K$75,'Public Expenditure'!F$1,FALSE),0)+IF(ISNUMBER(VLOOKUP('Public Expenditure'!$B48,'Local Government'!$B$16:$O$75,'Public Expenditure'!F$1,FALSE)),VLOOKUP('Public Expenditure'!$B48,'Local Government'!$B$16:$O$75,'Public Expenditure'!F$1,FALSE),0)</f>
        <v>3462469.3024999998</v>
      </c>
      <c r="G48" s="295">
        <f t="shared" si="2"/>
        <v>9.6717019622905021E-2</v>
      </c>
      <c r="H48" s="209">
        <f>+D48-F48</f>
        <v>-1469919.2524999972</v>
      </c>
      <c r="I48" s="301">
        <f t="shared" si="4"/>
        <v>-42.45291796345095</v>
      </c>
      <c r="J48" s="154">
        <f>+IF(ISNUMBER(VLOOKUP($B48,'Cental Budget'!$B$16:$K$75,'Public Expenditure'!J$1,FALSE)),VLOOKUP($B48,'Cental Budget'!$B$16:$K$75,'Public Expenditure'!J$1,FALSE),0)+IF(ISNUMBER(VLOOKUP('Public Expenditure'!$B48,'Local Government'!$B$16:$O$75,'Public Expenditure'!J$1,FALSE)),VLOOKUP('Public Expenditure'!$B48,'Local Government'!$B$16:$O$75,'Public Expenditure'!J$1,FALSE),0)</f>
        <v>805986.06999999983</v>
      </c>
      <c r="K48" s="295">
        <f t="shared" si="1"/>
        <v>2.3532439999999995E-2</v>
      </c>
      <c r="L48" s="209">
        <f t="shared" si="5"/>
        <v>1186563.9800000028</v>
      </c>
      <c r="M48" s="301">
        <f t="shared" si="6"/>
        <v>147.21891905650466</v>
      </c>
      <c r="O48" s="81"/>
      <c r="P48" s="215"/>
      <c r="Q48" s="81"/>
      <c r="R48" s="81"/>
      <c r="CD48" s="161"/>
      <c r="CE48" s="161"/>
      <c r="CF48" s="145"/>
      <c r="CG48" s="145"/>
      <c r="CH48" s="145"/>
      <c r="CI48" s="142"/>
    </row>
    <row r="49" spans="1:87" ht="13.5" customHeight="1">
      <c r="A49" s="80">
        <v>42</v>
      </c>
      <c r="B49" s="80" t="s">
        <v>428</v>
      </c>
      <c r="C49" s="93" t="s">
        <v>87</v>
      </c>
      <c r="D49" s="94">
        <f>+IF(ISNUMBER(VLOOKUP($B49,'Cental Budget'!$B$16:$K$75,'Public Expenditure'!D$1,FALSE)),VLOOKUP($B49,'Cental Budget'!$B$16:$K$75,'Public Expenditure'!D$1,FALSE),0)+IF(ISNUMBER(VLOOKUP('Public Expenditure'!$B49,'Local Government'!$B$16:$M$75,'Public Expenditure'!D$1,FALSE)),VLOOKUP('Public Expenditure'!$B49,'Local Government'!$B$16:$M$75,'Public Expenditure'!D$1,FALSE),0)</f>
        <v>120751763.47000001</v>
      </c>
      <c r="E49" s="295">
        <f t="shared" si="0"/>
        <v>3.3729542868715088</v>
      </c>
      <c r="F49" s="94">
        <f>+IF(ISNUMBER(VLOOKUP($B49,'Cental Budget'!$B$16:$K$75,'Public Expenditure'!F$1,FALSE)),VLOOKUP($B49,'Cental Budget'!$B$16:$K$75,'Public Expenditure'!F$1,FALSE),0)+IF(ISNUMBER(VLOOKUP('Public Expenditure'!$B49,'Local Government'!$B$16:$M$75,'Public Expenditure'!F$1,FALSE)),VLOOKUP('Public Expenditure'!$B49,'Local Government'!$B$16:$M$75,'Public Expenditure'!F$1,FALSE),0)</f>
        <v>126365533.4043875</v>
      </c>
      <c r="G49" s="295">
        <f t="shared" si="2"/>
        <v>3.5297635029158525</v>
      </c>
      <c r="H49" s="207">
        <f t="shared" si="3"/>
        <v>-5613769.9343874902</v>
      </c>
      <c r="I49" s="301">
        <f t="shared" si="4"/>
        <v>-4.4424850535965703</v>
      </c>
      <c r="J49" s="94">
        <f>+IF(ISNUMBER(VLOOKUP($B49,'Cental Budget'!$B$16:$K$75,'Public Expenditure'!J$1,FALSE)),VLOOKUP($B49,'Cental Budget'!$B$16:$K$75,'Public Expenditure'!J$1,FALSE),0)+IF(ISNUMBER(VLOOKUP('Public Expenditure'!$B49,'Local Government'!$B$16:$M$75,'Public Expenditure'!J$1,FALSE)),VLOOKUP('Public Expenditure'!$B49,'Local Government'!$B$16:$M$75,'Public Expenditure'!J$1,FALSE),0)</f>
        <v>122932273.16999997</v>
      </c>
      <c r="K49" s="295">
        <f t="shared" si="1"/>
        <v>3.5892634502189775</v>
      </c>
      <c r="L49" s="207">
        <f t="shared" si="5"/>
        <v>-2180509.6999999583</v>
      </c>
      <c r="M49" s="301">
        <f t="shared" si="6"/>
        <v>-1.7737487835961474</v>
      </c>
      <c r="O49" s="215"/>
      <c r="P49" s="81"/>
      <c r="Q49" s="81"/>
      <c r="R49" s="81"/>
      <c r="CD49" s="161"/>
      <c r="CE49" s="161"/>
      <c r="CF49" s="145"/>
      <c r="CG49" s="145"/>
      <c r="CH49" s="145"/>
      <c r="CI49" s="142"/>
    </row>
    <row r="50" spans="1:87" ht="13.5" customHeight="1">
      <c r="B50" s="80">
        <v>421</v>
      </c>
      <c r="C50" s="97" t="s">
        <v>89</v>
      </c>
      <c r="D50" s="156">
        <f>+IF(ISNUMBER(VLOOKUP($B50,'Cental Budget'!$B$16:$K$75,'Public Expenditure'!D$1,FALSE)),VLOOKUP($B50,'Cental Budget'!$B$16:$K$75,'Public Expenditure'!D$1,FALSE),0)+IF(ISNUMBER(VLOOKUP('Public Expenditure'!$B50,'Local Government'!$B$16:$O$75,'Public Expenditure'!D$1,FALSE)),VLOOKUP('Public Expenditure'!$B50,'Local Government'!$B$16:$O$75,'Public Expenditure'!D$1,FALSE),0)</f>
        <v>15140255.389999999</v>
      </c>
      <c r="E50" s="294">
        <f t="shared" si="0"/>
        <v>0.42291216173184359</v>
      </c>
      <c r="F50" s="156">
        <f>+IF(ISNUMBER(VLOOKUP($B50,'Cental Budget'!$B$16:$K$75,'Public Expenditure'!F$1,FALSE)),VLOOKUP($B50,'Cental Budget'!$B$16:$K$75,'Public Expenditure'!F$1,FALSE),0)+IF(ISNUMBER(VLOOKUP('Public Expenditure'!$B50,'Local Government'!$B$16:$O$75,'Public Expenditure'!F$1,FALSE)),VLOOKUP('Public Expenditure'!$B50,'Local Government'!$B$16:$O$75,'Public Expenditure'!F$1,FALSE),0)</f>
        <v>15286808.4043875</v>
      </c>
      <c r="G50" s="294">
        <f t="shared" si="2"/>
        <v>0.4270058213516062</v>
      </c>
      <c r="H50" s="210">
        <f t="shared" si="3"/>
        <v>-146553.0143875014</v>
      </c>
      <c r="I50" s="300">
        <f t="shared" si="4"/>
        <v>-0.9586894171149396</v>
      </c>
      <c r="J50" s="156">
        <f>+IF(ISNUMBER(VLOOKUP($B50,'Cental Budget'!$B$16:$K$75,'Public Expenditure'!J$1,FALSE)),VLOOKUP($B50,'Cental Budget'!$B$16:$K$75,'Public Expenditure'!J$1,FALSE),0)+IF(ISNUMBER(VLOOKUP('Public Expenditure'!$B50,'Local Government'!$B$16:$O$75,'Public Expenditure'!J$1,FALSE)),VLOOKUP('Public Expenditure'!$B50,'Local Government'!$B$16:$O$75,'Public Expenditure'!J$1,FALSE),0)</f>
        <v>15391718.199999999</v>
      </c>
      <c r="K50" s="294">
        <f t="shared" si="1"/>
        <v>0.44939323211678828</v>
      </c>
      <c r="L50" s="210">
        <f t="shared" si="5"/>
        <v>-251462.81000000052</v>
      </c>
      <c r="M50" s="300">
        <f t="shared" si="6"/>
        <v>-1.6337539885573023</v>
      </c>
      <c r="O50" s="81"/>
      <c r="P50" s="81"/>
      <c r="Q50" s="81"/>
      <c r="R50" s="81"/>
      <c r="CD50" s="161"/>
      <c r="CE50" s="161"/>
      <c r="CF50" s="145"/>
      <c r="CG50" s="145"/>
      <c r="CH50" s="145"/>
      <c r="CI50" s="142"/>
    </row>
    <row r="51" spans="1:87" ht="13.5" customHeight="1">
      <c r="B51" s="80">
        <v>422</v>
      </c>
      <c r="C51" s="97" t="s">
        <v>91</v>
      </c>
      <c r="D51" s="156">
        <f>+IF(ISNUMBER(VLOOKUP($B51,'Cental Budget'!$B$16:$K$75,'Public Expenditure'!D$1,FALSE)),VLOOKUP($B51,'Cental Budget'!$B$16:$K$75,'Public Expenditure'!D$1,FALSE),0)+IF(ISNUMBER(VLOOKUP('Public Expenditure'!$B51,'Local Government'!$B$16:$O$75,'Public Expenditure'!D$1,FALSE)),VLOOKUP('Public Expenditure'!$B51,'Local Government'!$B$16:$O$75,'Public Expenditure'!D$1,FALSE),0)</f>
        <v>2934225.42</v>
      </c>
      <c r="E51" s="294">
        <f t="shared" si="0"/>
        <v>8.1961603910614522E-2</v>
      </c>
      <c r="F51" s="156">
        <f>+IF(ISNUMBER(VLOOKUP($B51,'Cental Budget'!$B$16:$K$75,'Public Expenditure'!F$1,FALSE)),VLOOKUP($B51,'Cental Budget'!$B$16:$K$75,'Public Expenditure'!F$1,FALSE),0)+IF(ISNUMBER(VLOOKUP('Public Expenditure'!$B51,'Local Government'!$B$16:$O$75,'Public Expenditure'!F$1,FALSE)),VLOOKUP('Public Expenditure'!$B51,'Local Government'!$B$16:$O$75,'Public Expenditure'!F$1,FALSE),0)</f>
        <v>4860000</v>
      </c>
      <c r="G51" s="294">
        <f t="shared" si="2"/>
        <v>0.13575418994413407</v>
      </c>
      <c r="H51" s="210">
        <f t="shared" si="3"/>
        <v>-1925774.58</v>
      </c>
      <c r="I51" s="300">
        <f t="shared" si="4"/>
        <v>-39.624991358024694</v>
      </c>
      <c r="J51" s="156">
        <f>+IF(ISNUMBER(VLOOKUP($B51,'Cental Budget'!$B$16:$K$75,'Public Expenditure'!J$1,FALSE)),VLOOKUP($B51,'Cental Budget'!$B$16:$K$75,'Public Expenditure'!J$1,FALSE),0)+IF(ISNUMBER(VLOOKUP('Public Expenditure'!$B51,'Local Government'!$B$16:$O$75,'Public Expenditure'!J$1,FALSE)),VLOOKUP('Public Expenditure'!$B51,'Local Government'!$B$16:$O$75,'Public Expenditure'!J$1,FALSE),0)</f>
        <v>6349338.0499999998</v>
      </c>
      <c r="K51" s="294">
        <f t="shared" si="1"/>
        <v>0.18538213284671534</v>
      </c>
      <c r="L51" s="210">
        <f t="shared" si="5"/>
        <v>-3415112.63</v>
      </c>
      <c r="M51" s="300">
        <f t="shared" si="6"/>
        <v>-53.786908227386007</v>
      </c>
      <c r="O51" s="81"/>
      <c r="P51" s="81"/>
      <c r="Q51" s="81"/>
      <c r="R51" s="81"/>
      <c r="CD51" s="161"/>
      <c r="CE51" s="161"/>
      <c r="CF51" s="145"/>
      <c r="CG51" s="145"/>
      <c r="CH51" s="145"/>
      <c r="CI51" s="142"/>
    </row>
    <row r="52" spans="1:87" ht="13.5" customHeight="1">
      <c r="B52" s="80">
        <v>423</v>
      </c>
      <c r="C52" s="97" t="s">
        <v>93</v>
      </c>
      <c r="D52" s="156">
        <f>+IF(ISNUMBER(VLOOKUP($B52,'Cental Budget'!$B$16:$K$75,'Public Expenditure'!D$1,FALSE)),VLOOKUP($B52,'Cental Budget'!$B$16:$K$75,'Public Expenditure'!D$1,FALSE),0)+IF(ISNUMBER(VLOOKUP('Public Expenditure'!$B52,'Local Government'!$B$16:$O$75,'Public Expenditure'!D$1,FALSE)),VLOOKUP('Public Expenditure'!$B52,'Local Government'!$B$16:$O$75,'Public Expenditure'!D$1,FALSE),0)</f>
        <v>96402848.26000002</v>
      </c>
      <c r="E52" s="294">
        <f t="shared" si="0"/>
        <v>2.6928169905027941</v>
      </c>
      <c r="F52" s="156">
        <f>+IF(ISNUMBER(VLOOKUP($B52,'Cental Budget'!$B$16:$K$75,'Public Expenditure'!F$1,FALSE)),VLOOKUP($B52,'Cental Budget'!$B$16:$K$75,'Public Expenditure'!F$1,FALSE),0)+IF(ISNUMBER(VLOOKUP('Public Expenditure'!$B52,'Local Government'!$B$16:$O$75,'Public Expenditure'!F$1,FALSE)),VLOOKUP('Public Expenditure'!$B52,'Local Government'!$B$16:$O$75,'Public Expenditure'!F$1,FALSE),0)</f>
        <v>100613725</v>
      </c>
      <c r="G52" s="294">
        <f t="shared" si="2"/>
        <v>2.810439245810056</v>
      </c>
      <c r="H52" s="210">
        <f t="shared" si="3"/>
        <v>-4210876.7399999797</v>
      </c>
      <c r="I52" s="300">
        <f t="shared" si="4"/>
        <v>-4.1851911754583995</v>
      </c>
      <c r="J52" s="156">
        <f>+IF(ISNUMBER(VLOOKUP($B52,'Cental Budget'!$B$16:$K$75,'Public Expenditure'!J$1,FALSE)),VLOOKUP($B52,'Cental Budget'!$B$16:$K$75,'Public Expenditure'!J$1,FALSE),0)+IF(ISNUMBER(VLOOKUP('Public Expenditure'!$B52,'Local Government'!$B$16:$O$75,'Public Expenditure'!J$1,FALSE)),VLOOKUP('Public Expenditure'!$B52,'Local Government'!$B$16:$O$75,'Public Expenditure'!J$1,FALSE),0)</f>
        <v>96392658.899999976</v>
      </c>
      <c r="K52" s="294">
        <f t="shared" si="1"/>
        <v>2.8143842014598532</v>
      </c>
      <c r="L52" s="210">
        <f t="shared" si="5"/>
        <v>10189.360000044107</v>
      </c>
      <c r="M52" s="300">
        <f t="shared" si="6"/>
        <v>1.0570680502368646E-2</v>
      </c>
      <c r="O52" s="81"/>
      <c r="P52" s="81"/>
      <c r="Q52" s="81"/>
      <c r="R52" s="81"/>
      <c r="CD52" s="161"/>
      <c r="CE52" s="161"/>
      <c r="CF52" s="145"/>
      <c r="CG52" s="145"/>
      <c r="CH52" s="145"/>
      <c r="CI52" s="142"/>
    </row>
    <row r="53" spans="1:87" ht="13.5" customHeight="1">
      <c r="B53" s="80">
        <v>424</v>
      </c>
      <c r="C53" s="97" t="s">
        <v>95</v>
      </c>
      <c r="D53" s="156">
        <f>+IF(ISNUMBER(VLOOKUP($B53,'Cental Budget'!$B$16:$K$75,'Public Expenditure'!D$1,FALSE)),VLOOKUP($B53,'Cental Budget'!$B$16:$K$75,'Public Expenditure'!D$1,FALSE),0)+IF(ISNUMBER(VLOOKUP('Public Expenditure'!$B53,'Local Government'!$B$16:$O$75,'Public Expenditure'!D$1,FALSE)),VLOOKUP('Public Expenditure'!$B53,'Local Government'!$B$16:$O$75,'Public Expenditure'!D$1,FALSE),0)</f>
        <v>4373243.58</v>
      </c>
      <c r="E53" s="294">
        <f t="shared" si="0"/>
        <v>0.12215764189944134</v>
      </c>
      <c r="F53" s="156">
        <f>+IF(ISNUMBER(VLOOKUP($B53,'Cental Budget'!$B$16:$K$75,'Public Expenditure'!F$1,FALSE)),VLOOKUP($B53,'Cental Budget'!$B$16:$K$75,'Public Expenditure'!F$1,FALSE),0)+IF(ISNUMBER(VLOOKUP('Public Expenditure'!$B53,'Local Government'!$B$16:$O$75,'Public Expenditure'!F$1,FALSE)),VLOOKUP('Public Expenditure'!$B53,'Local Government'!$B$16:$O$75,'Public Expenditure'!F$1,FALSE),0)</f>
        <v>3750000</v>
      </c>
      <c r="G53" s="294">
        <f t="shared" si="2"/>
        <v>0.10474860335195531</v>
      </c>
      <c r="H53" s="210">
        <f t="shared" si="3"/>
        <v>623243.58000000007</v>
      </c>
      <c r="I53" s="300">
        <f t="shared" si="4"/>
        <v>16.619828799999993</v>
      </c>
      <c r="J53" s="156">
        <f>+IF(ISNUMBER(VLOOKUP($B53,'Cental Budget'!$B$16:$K$75,'Public Expenditure'!J$1,FALSE)),VLOOKUP($B53,'Cental Budget'!$B$16:$K$75,'Public Expenditure'!J$1,FALSE),0)+IF(ISNUMBER(VLOOKUP('Public Expenditure'!$B53,'Local Government'!$B$16:$O$75,'Public Expenditure'!J$1,FALSE)),VLOOKUP('Public Expenditure'!$B53,'Local Government'!$B$16:$O$75,'Public Expenditure'!J$1,FALSE),0)</f>
        <v>3198763.06</v>
      </c>
      <c r="K53" s="294">
        <f t="shared" si="1"/>
        <v>9.3394541897810227E-2</v>
      </c>
      <c r="L53" s="210">
        <f t="shared" si="5"/>
        <v>1174480.52</v>
      </c>
      <c r="M53" s="300">
        <f t="shared" si="6"/>
        <v>36.716708864332077</v>
      </c>
      <c r="O53" s="81"/>
      <c r="P53" s="81"/>
      <c r="Q53" s="81"/>
      <c r="R53" s="81"/>
      <c r="CD53" s="161"/>
      <c r="CE53" s="161"/>
      <c r="CF53" s="145"/>
      <c r="CG53" s="145"/>
      <c r="CH53" s="145"/>
      <c r="CI53" s="142"/>
    </row>
    <row r="54" spans="1:87" ht="13.5" customHeight="1">
      <c r="B54" s="80">
        <v>425</v>
      </c>
      <c r="C54" s="97" t="s">
        <v>432</v>
      </c>
      <c r="D54" s="156">
        <f>+IF(ISNUMBER(VLOOKUP($B54,'Cental Budget'!$B$16:$K$75,'Public Expenditure'!D$1,FALSE)),VLOOKUP($B54,'Cental Budget'!$B$16:$K$75,'Public Expenditure'!D$1,FALSE),0)+IF(ISNUMBER(VLOOKUP('Public Expenditure'!$B54,'Local Government'!$B$16:$O$75,'Public Expenditure'!D$1,FALSE)),VLOOKUP('Public Expenditure'!$B54,'Local Government'!$B$16:$O$75,'Public Expenditure'!D$1,FALSE),0)</f>
        <v>1901190.8199999998</v>
      </c>
      <c r="E54" s="294">
        <f t="shared" si="0"/>
        <v>5.3105888826815634E-2</v>
      </c>
      <c r="F54" s="156">
        <f>+IF(ISNUMBER(VLOOKUP($B54,'Cental Budget'!$B$16:$K$75,'Public Expenditure'!F$1,FALSE)),VLOOKUP($B54,'Cental Budget'!$B$16:$K$75,'Public Expenditure'!F$1,FALSE),0)+IF(ISNUMBER(VLOOKUP('Public Expenditure'!$B54,'Local Government'!$B$16:$O$75,'Public Expenditure'!F$1,FALSE)),VLOOKUP('Public Expenditure'!$B54,'Local Government'!$B$16:$O$75,'Public Expenditure'!F$1,FALSE),0)</f>
        <v>1854999.9999999998</v>
      </c>
      <c r="G54" s="294">
        <f t="shared" si="2"/>
        <v>5.1815642458100553E-2</v>
      </c>
      <c r="H54" s="210">
        <f t="shared" si="3"/>
        <v>46190.820000000065</v>
      </c>
      <c r="I54" s="300">
        <f t="shared" si="4"/>
        <v>2.490071159029668</v>
      </c>
      <c r="J54" s="156">
        <f>+IF(ISNUMBER(VLOOKUP($B54,'Cental Budget'!$B$16:$K$75,'Public Expenditure'!J$1,FALSE)),VLOOKUP($B54,'Cental Budget'!$B$16:$K$75,'Public Expenditure'!J$1,FALSE),0)+IF(ISNUMBER(VLOOKUP('Public Expenditure'!$B54,'Local Government'!$B$16:$O$75,'Public Expenditure'!J$1,FALSE)),VLOOKUP('Public Expenditure'!$B54,'Local Government'!$B$16:$O$75,'Public Expenditure'!J$1,FALSE),0)</f>
        <v>1558493.5699999998</v>
      </c>
      <c r="K54" s="294">
        <f t="shared" si="1"/>
        <v>4.5503461897810217E-2</v>
      </c>
      <c r="L54" s="210">
        <f t="shared" si="5"/>
        <v>342697.25</v>
      </c>
      <c r="M54" s="300">
        <f t="shared" si="6"/>
        <v>21.989006345403155</v>
      </c>
      <c r="O54" s="81"/>
      <c r="P54" s="81"/>
      <c r="Q54" s="81"/>
      <c r="R54" s="81"/>
      <c r="CD54" s="161"/>
      <c r="CE54" s="161"/>
      <c r="CF54" s="145"/>
      <c r="CG54" s="145"/>
      <c r="CH54" s="145"/>
      <c r="CI54" s="142"/>
    </row>
    <row r="55" spans="1:87" ht="13.5" customHeight="1">
      <c r="A55" s="80">
        <v>43</v>
      </c>
      <c r="C55" s="93" t="s">
        <v>433</v>
      </c>
      <c r="D55" s="94">
        <f>+SUM(D56:D57)</f>
        <v>34129087.570000015</v>
      </c>
      <c r="E55" s="295">
        <f t="shared" si="0"/>
        <v>0.95332646843575464</v>
      </c>
      <c r="F55" s="94">
        <f>+SUM(F56:F57)</f>
        <v>40765375.038199998</v>
      </c>
      <c r="G55" s="295">
        <f t="shared" si="2"/>
        <v>1.138697626765363</v>
      </c>
      <c r="H55" s="207">
        <f t="shared" si="3"/>
        <v>-6636287.4681999832</v>
      </c>
      <c r="I55" s="301">
        <f t="shared" si="4"/>
        <v>-16.279225842964323</v>
      </c>
      <c r="J55" s="94">
        <f>+SUM(J56:J57)</f>
        <v>21355647.150000002</v>
      </c>
      <c r="K55" s="295">
        <f t="shared" si="1"/>
        <v>0.62352254452554756</v>
      </c>
      <c r="L55" s="207">
        <f t="shared" si="5"/>
        <v>12773440.420000013</v>
      </c>
      <c r="M55" s="301">
        <f t="shared" si="6"/>
        <v>59.81294001666447</v>
      </c>
      <c r="O55" s="212"/>
      <c r="P55" s="81"/>
      <c r="Q55" s="81"/>
      <c r="R55" s="81"/>
      <c r="CD55" s="161"/>
      <c r="CE55" s="161"/>
      <c r="CF55" s="145"/>
      <c r="CG55" s="145"/>
      <c r="CH55" s="145"/>
      <c r="CI55" s="142"/>
    </row>
    <row r="56" spans="1:87" ht="13.5" customHeight="1">
      <c r="A56" s="80">
        <v>999</v>
      </c>
      <c r="B56" s="80">
        <v>431</v>
      </c>
      <c r="C56" s="97" t="s">
        <v>433</v>
      </c>
      <c r="D56" s="156">
        <f>+IF(ISNUMBER(VLOOKUP($B56,'Cental Budget'!$B$16:$K$75,'Public Expenditure'!D$1,FALSE)),VLOOKUP($B56,'Cental Budget'!$B$16:$K$75,'Public Expenditure'!D$1,FALSE),0)+IF(ISNUMBER(VLOOKUP('Public Expenditure'!$B56,'Local Government'!$B$16:$O$75,'Public Expenditure'!D$1,FALSE)),VLOOKUP('Public Expenditure'!$B56,'Local Government'!$B$16:$O$75,'Public Expenditure'!D$1,FALSE),0)-'Local Government'!D75-1295205.06</f>
        <v>31292282.500000019</v>
      </c>
      <c r="E56" s="294">
        <f t="shared" si="0"/>
        <v>0.8740861033519558</v>
      </c>
      <c r="F56" s="156">
        <f>+IF(ISNUMBER(VLOOKUP($B56,'Cental Budget'!$B$16:$K$75,'Public Expenditure'!F$1,FALSE)),VLOOKUP($B56,'Cental Budget'!$B$16:$K$75,'Public Expenditure'!F$1,FALSE),0)+IF(ISNUMBER(VLOOKUP('Public Expenditure'!$B56,'Local Government'!$B$16:$O$75,'Public Expenditure'!F$1,FALSE)),VLOOKUP('Public Expenditure'!$B56,'Local Government'!$B$16:$O$75,'Public Expenditure'!F$1,FALSE),0)-'Local Government'!F75</f>
        <v>36866732.098724999</v>
      </c>
      <c r="G56" s="294">
        <f t="shared" si="2"/>
        <v>1.029796985997905</v>
      </c>
      <c r="H56" s="210">
        <f t="shared" si="3"/>
        <v>-5574449.5987249799</v>
      </c>
      <c r="I56" s="300">
        <f t="shared" si="4"/>
        <v>-15.120541695415866</v>
      </c>
      <c r="J56" s="156">
        <f>+IF(ISNUMBER(VLOOKUP($B56,'Cental Budget'!$B$16:$K$75,'Public Expenditure'!J$1,FALSE)),VLOOKUP($B56,'Cental Budget'!$B$16:$K$75,'Public Expenditure'!J$1,FALSE),0)+IF(ISNUMBER(VLOOKUP('Public Expenditure'!$B56,'Local Government'!$B$16:$O$75,'Public Expenditure'!J$1,FALSE)),VLOOKUP('Public Expenditure'!$B56,'Local Government'!$B$16:$O$75,'Public Expenditure'!J$1,FALSE),0)-'Local Government'!J75-496557.55</f>
        <v>18569521.120000001</v>
      </c>
      <c r="K56" s="294">
        <f t="shared" si="1"/>
        <v>0.54217579912408764</v>
      </c>
      <c r="L56" s="210">
        <f t="shared" si="5"/>
        <v>12722761.380000018</v>
      </c>
      <c r="M56" s="300">
        <f t="shared" si="6"/>
        <v>68.514213682641355</v>
      </c>
      <c r="N56" s="251"/>
      <c r="O56" s="81"/>
      <c r="P56" s="81"/>
      <c r="Q56" s="81"/>
      <c r="R56" s="81"/>
      <c r="CD56" s="161"/>
      <c r="CE56" s="161"/>
      <c r="CF56" s="145"/>
      <c r="CG56" s="145"/>
      <c r="CH56" s="145"/>
      <c r="CI56" s="142"/>
    </row>
    <row r="57" spans="1:87" ht="13.5" customHeight="1" thickBot="1">
      <c r="A57" s="80" t="s">
        <v>428</v>
      </c>
      <c r="B57" s="80">
        <v>432</v>
      </c>
      <c r="C57" s="97" t="s">
        <v>434</v>
      </c>
      <c r="D57" s="156">
        <f>+IF(ISNUMBER(VLOOKUP($B57,'Cental Budget'!$B$16:$K$75,'Public Expenditure'!D$1,FALSE)),VLOOKUP($B57,'Cental Budget'!$B$16:$K$75,'Public Expenditure'!D$1,FALSE),0)+IF(ISNUMBER(VLOOKUP('Public Expenditure'!$B57,'Local Government'!$B$16:$O$75,'Public Expenditure'!D$1,FALSE)),VLOOKUP('Public Expenditure'!$B57,'Local Government'!$B$16:$O$75,'Public Expenditure'!D$1,FALSE),0)</f>
        <v>2836805.07</v>
      </c>
      <c r="E57" s="294">
        <f t="shared" si="0"/>
        <v>7.9240365083798878E-2</v>
      </c>
      <c r="F57" s="156">
        <f>+IF(ISNUMBER(VLOOKUP($B57,'Cental Budget'!$B$16:$K$75,'Public Expenditure'!F$1,FALSE)),VLOOKUP($B57,'Cental Budget'!$B$16:$K$75,'Public Expenditure'!F$1,FALSE),0)+IF(ISNUMBER(VLOOKUP('Public Expenditure'!$B57,'Local Government'!$B$16:$O$75,'Public Expenditure'!F$1,FALSE)),VLOOKUP('Public Expenditure'!$B57,'Local Government'!$B$16:$O$75,'Public Expenditure'!F$1,FALSE),0)</f>
        <v>3898642.9394749999</v>
      </c>
      <c r="G57" s="294">
        <f t="shared" si="2"/>
        <v>0.10890064076745809</v>
      </c>
      <c r="H57" s="210">
        <f t="shared" si="3"/>
        <v>-1061837.8694750001</v>
      </c>
      <c r="I57" s="300"/>
      <c r="J57" s="156">
        <f>+IF(ISNUMBER(VLOOKUP($B57,'Cental Budget'!$B$16:$K$75,'Public Expenditure'!J$1,FALSE)),VLOOKUP($B57,'Cental Budget'!$B$16:$K$75,'Public Expenditure'!J$1,FALSE),0)+IF(ISNUMBER(VLOOKUP('Public Expenditure'!$B57,'Local Government'!$B$16:$O$75,'Public Expenditure'!J$1,FALSE)),VLOOKUP('Public Expenditure'!$B57,'Local Government'!$B$16:$O$75,'Public Expenditure'!J$1,FALSE),0)</f>
        <v>2786126.03</v>
      </c>
      <c r="K57" s="294">
        <f t="shared" si="1"/>
        <v>8.134674540145985E-2</v>
      </c>
      <c r="L57" s="210">
        <f t="shared" si="5"/>
        <v>50679.040000000037</v>
      </c>
      <c r="M57" s="300">
        <f t="shared" si="6"/>
        <v>1.8189787344257411</v>
      </c>
      <c r="N57" s="220"/>
      <c r="O57" s="81"/>
      <c r="P57" s="81"/>
      <c r="Q57" s="81"/>
      <c r="R57" s="81"/>
      <c r="CD57" s="161"/>
      <c r="CE57" s="161"/>
      <c r="CF57" s="145"/>
      <c r="CG57" s="145"/>
      <c r="CH57" s="145"/>
      <c r="CI57" s="142"/>
    </row>
    <row r="58" spans="1:87" ht="13.5" customHeight="1" thickTop="1" thickBot="1">
      <c r="B58" s="80">
        <v>44</v>
      </c>
      <c r="C58" s="178" t="s">
        <v>281</v>
      </c>
      <c r="D58" s="177">
        <f>+IF(ISNUMBER(VLOOKUP($B58,'Cental Budget'!$B$16:$K$75,'Public Expenditure'!D$1,FALSE)),VLOOKUP($B58,'Cental Budget'!$B$16:$K$75,'Public Expenditure'!D$1,FALSE),0)+IF(ISNUMBER(VLOOKUP('Public Expenditure'!$B58,'Local Government'!$B$16:$O$75,'Public Expenditure'!D$1,FALSE)),VLOOKUP('Public Expenditure'!$B58,'Local Government'!$B$16:$O$75,'Public Expenditure'!D$1,FALSE),0)</f>
        <v>22873990.979999997</v>
      </c>
      <c r="E58" s="292">
        <f t="shared" si="0"/>
        <v>0.63893829553072623</v>
      </c>
      <c r="F58" s="177">
        <f>+IF(ISNUMBER(VLOOKUP($B58,'Cental Budget'!$B$16:$K$75,'Public Expenditure'!F$1,FALSE)),VLOOKUP($B58,'Cental Budget'!$B$16:$K$75,'Public Expenditure'!F$1,FALSE),0)+IF(ISNUMBER(VLOOKUP('Public Expenditure'!$B58,'Local Government'!$B$16:$O$75,'Public Expenditure'!F$1,FALSE)),VLOOKUP('Public Expenditure'!$B58,'Local Government'!$B$16:$O$75,'Public Expenditure'!F$1,FALSE),0)</f>
        <v>81174269.25</v>
      </c>
      <c r="G58" s="292">
        <f t="shared" si="2"/>
        <v>2.2674376885474858</v>
      </c>
      <c r="H58" s="177">
        <f t="shared" si="3"/>
        <v>-58300278.270000003</v>
      </c>
      <c r="I58" s="292">
        <f t="shared" si="4"/>
        <v>-71.821131016833888</v>
      </c>
      <c r="J58" s="177">
        <f>+IF(ISNUMBER(VLOOKUP($B58,'Cental Budget'!$B$16:$K$75,'Public Expenditure'!J$1,FALSE)),VLOOKUP($B58,'Cental Budget'!$B$16:$K$75,'Public Expenditure'!J$1,FALSE),0)+IF(ISNUMBER(VLOOKUP('Public Expenditure'!$B58,'Local Government'!$B$16:$O$75,'Public Expenditure'!J$1,FALSE)),VLOOKUP('Public Expenditure'!$B58,'Local Government'!$B$16:$O$75,'Public Expenditure'!J$1,FALSE),0)</f>
        <v>15673632.380000001</v>
      </c>
      <c r="K58" s="292">
        <f t="shared" si="1"/>
        <v>0.45762430306569341</v>
      </c>
      <c r="L58" s="177">
        <f t="shared" si="5"/>
        <v>7200358.5999999959</v>
      </c>
      <c r="M58" s="292">
        <f t="shared" si="6"/>
        <v>45.939310208575876</v>
      </c>
      <c r="O58" s="212"/>
      <c r="P58" s="81"/>
      <c r="Q58" s="81"/>
      <c r="R58" s="81"/>
      <c r="CD58" s="161"/>
      <c r="CE58" s="161"/>
      <c r="CF58" s="145"/>
      <c r="CG58" s="145"/>
      <c r="CH58" s="145"/>
      <c r="CI58" s="142"/>
    </row>
    <row r="59" spans="1:87" ht="13.5" customHeight="1" thickTop="1">
      <c r="B59" s="80">
        <v>451</v>
      </c>
      <c r="C59" s="93" t="s">
        <v>111</v>
      </c>
      <c r="D59" s="154">
        <f>+IF(ISNUMBER(VLOOKUP($B59,'Cental Budget'!$B$16:$K$75,'Public Expenditure'!D$1,FALSE)),VLOOKUP($B59,'Cental Budget'!$B$16:$K$75,'Public Expenditure'!D$1,FALSE),0)+IF(ISNUMBER(VLOOKUP('Public Expenditure'!$B59,'Local Government'!$B$16:$O$75,'Public Expenditure'!D$1,FALSE)),VLOOKUP('Public Expenditure'!$B59,'Local Government'!$B$16:$O$75,'Public Expenditure'!D$1,FALSE),0)</f>
        <v>562594.81000000006</v>
      </c>
      <c r="E59" s="295">
        <f t="shared" si="0"/>
        <v>1.5714938826815641E-2</v>
      </c>
      <c r="F59" s="154">
        <f>+IF(ISNUMBER(VLOOKUP($B59,'Cental Budget'!$B$16:$K$75,'Public Expenditure'!F$1,FALSE)),VLOOKUP($B59,'Cental Budget'!$B$16:$K$75,'Public Expenditure'!F$1,FALSE),0)+IF(ISNUMBER(VLOOKUP('Public Expenditure'!$B59,'Local Government'!$B$16:$O$75,'Public Expenditure'!F$1,FALSE)),VLOOKUP('Public Expenditure'!$B59,'Local Government'!$B$16:$O$75,'Public Expenditure'!F$1,FALSE),0)</f>
        <v>1123604.2817782499</v>
      </c>
      <c r="G59" s="295">
        <f t="shared" si="2"/>
        <v>3.1385594463079605E-2</v>
      </c>
      <c r="H59" s="209">
        <f t="shared" si="3"/>
        <v>-561009.47177824983</v>
      </c>
      <c r="I59" s="301">
        <f t="shared" si="4"/>
        <v>-49.929453000159398</v>
      </c>
      <c r="J59" s="154">
        <f>+IF(ISNUMBER(VLOOKUP($B59,'Cental Budget'!$B$16:$K$75,'Public Expenditure'!J$1,FALSE)),VLOOKUP($B59,'Cental Budget'!$B$16:$K$75,'Public Expenditure'!J$1,FALSE),0)+IF(ISNUMBER(VLOOKUP('Public Expenditure'!$B59,'Local Government'!$B$16:$O$75,'Public Expenditure'!J$1,FALSE)),VLOOKUP('Public Expenditure'!$B59,'Local Government'!$B$16:$O$75,'Public Expenditure'!J$1,FALSE),0)</f>
        <v>1225045.54</v>
      </c>
      <c r="K59" s="295">
        <f t="shared" si="1"/>
        <v>3.5767752992700734E-2</v>
      </c>
      <c r="L59" s="209">
        <f t="shared" si="5"/>
        <v>-662450.73</v>
      </c>
      <c r="M59" s="301">
        <f t="shared" si="6"/>
        <v>-54.075600324213255</v>
      </c>
      <c r="O59" s="212"/>
      <c r="P59" s="81"/>
      <c r="Q59" s="81"/>
      <c r="R59" s="81"/>
      <c r="CD59" s="161"/>
      <c r="CE59" s="161"/>
      <c r="CF59" s="145"/>
      <c r="CG59" s="145"/>
      <c r="CH59" s="145"/>
      <c r="CI59" s="142"/>
    </row>
    <row r="60" spans="1:87" ht="13.5" customHeight="1" thickBot="1">
      <c r="B60" s="80">
        <v>47</v>
      </c>
      <c r="C60" s="93" t="s">
        <v>118</v>
      </c>
      <c r="D60" s="154">
        <f>+IF(ISNUMBER(VLOOKUP($B60,'Cental Budget'!$B$16:$K$75,'Public Expenditure'!D$1,FALSE)),VLOOKUP($B60,'Cental Budget'!$B$16:$K$75,'Public Expenditure'!D$1,FALSE),0)+IF(ISNUMBER(VLOOKUP('Public Expenditure'!$B60,'Local Government'!$B$16:$O$75,'Public Expenditure'!D$1,FALSE)),VLOOKUP('Public Expenditure'!$B60,'Local Government'!$B$16:$O$75,'Public Expenditure'!D$1,FALSE),0)</f>
        <v>1181583.8400000001</v>
      </c>
      <c r="E60" s="295">
        <f t="shared" si="0"/>
        <v>3.3005135195530728E-2</v>
      </c>
      <c r="F60" s="154">
        <f>+IF(ISNUMBER(VLOOKUP($B60,'Cental Budget'!$B$16:$K$75,'Public Expenditure'!F$1,FALSE)),VLOOKUP($B60,'Cental Budget'!$B$16:$K$75,'Public Expenditure'!F$1,FALSE),0)+IF(ISNUMBER(VLOOKUP('Public Expenditure'!$B60,'Local Government'!$B$16:$O$75,'Public Expenditure'!F$1,FALSE)),VLOOKUP('Public Expenditure'!$B60,'Local Government'!$B$16:$O$75,'Public Expenditure'!F$1,FALSE),0)</f>
        <v>4013790.8574999999</v>
      </c>
      <c r="G60" s="295">
        <f t="shared" si="2"/>
        <v>0.11211706305865922</v>
      </c>
      <c r="H60" s="209">
        <f t="shared" si="3"/>
        <v>-2832207.0175000001</v>
      </c>
      <c r="I60" s="301">
        <f t="shared" si="4"/>
        <v>-70.561898166862818</v>
      </c>
      <c r="J60" s="154">
        <f>+IF(ISNUMBER(VLOOKUP($B60,'Cental Budget'!$B$16:$K$75,'Public Expenditure'!J$1,FALSE)),VLOOKUP($B60,'Cental Budget'!$B$16:$K$75,'Public Expenditure'!J$1,FALSE),0)+IF(ISNUMBER(VLOOKUP('Public Expenditure'!$B60,'Local Government'!$B$16:$O$75,'Public Expenditure'!J$1,FALSE)),VLOOKUP('Public Expenditure'!$B60,'Local Government'!$B$16:$O$75,'Public Expenditure'!J$1,FALSE),0)</f>
        <v>4644395.0199999996</v>
      </c>
      <c r="K60" s="295">
        <f t="shared" si="1"/>
        <v>0.13560277430656933</v>
      </c>
      <c r="L60" s="209">
        <f t="shared" si="5"/>
        <v>-3462811.1799999997</v>
      </c>
      <c r="M60" s="301">
        <f t="shared" si="6"/>
        <v>-74.558928882840803</v>
      </c>
      <c r="O60" s="212"/>
      <c r="P60" s="81"/>
      <c r="Q60" s="81"/>
      <c r="R60" s="81"/>
      <c r="CD60" s="161"/>
      <c r="CE60" s="161"/>
      <c r="CF60" s="145"/>
      <c r="CG60" s="145"/>
      <c r="CH60" s="145"/>
      <c r="CI60" s="142"/>
    </row>
    <row r="61" spans="1:87" ht="13.5" customHeight="1" thickTop="1" thickBot="1">
      <c r="B61" s="80">
        <v>462</v>
      </c>
      <c r="C61" s="148" t="s">
        <v>113</v>
      </c>
      <c r="D61" s="163">
        <f>+IF(ISNUMBER(VLOOKUP($B61,'Cental Budget'!$B$16:$K$75,'Public Expenditure'!D$1,FALSE)),VLOOKUP($B61,'Cental Budget'!$B$16:$K$75,'Public Expenditure'!D$1,FALSE),0)+IF(ISNUMBER(VLOOKUP('Public Expenditure'!$B61,'Local Government'!$B$16:$O$75,'Public Expenditure'!D$1,FALSE)),VLOOKUP('Public Expenditure'!$B61,'Local Government'!$B$16:$O$75,'Public Expenditure'!D$1,FALSE),0)</f>
        <v>0</v>
      </c>
      <c r="E61" s="296">
        <f t="shared" si="0"/>
        <v>0</v>
      </c>
      <c r="F61" s="163">
        <f>+IF(ISNUMBER(VLOOKUP($B61,'Cental Budget'!$B$16:$K$75,'Public Expenditure'!F$1,FALSE)),VLOOKUP($B61,'Cental Budget'!$B$16:$K$75,'Public Expenditure'!F$1,FALSE),0)+IF(ISNUMBER(VLOOKUP('Public Expenditure'!$B61,'Local Government'!$B$16:$O$75,'Public Expenditure'!F$1,FALSE)),VLOOKUP('Public Expenditure'!$B61,'Local Government'!$B$16:$O$75,'Public Expenditure'!F$1,FALSE),0)</f>
        <v>0</v>
      </c>
      <c r="G61" s="296">
        <f t="shared" si="2"/>
        <v>0</v>
      </c>
      <c r="H61" s="211">
        <f t="shared" si="3"/>
        <v>0</v>
      </c>
      <c r="I61" s="302"/>
      <c r="J61" s="163">
        <f>+IF(ISNUMBER(VLOOKUP($B61,'Cental Budget'!$B$16:$K$75,'Public Expenditure'!J$1,FALSE)),VLOOKUP($B61,'Cental Budget'!$B$16:$K$75,'Public Expenditure'!J$1,FALSE),0)+IF(ISNUMBER(VLOOKUP('Public Expenditure'!$B61,'Local Government'!$B$16:$O$75,'Public Expenditure'!J$1,FALSE)),VLOOKUP('Public Expenditure'!$B61,'Local Government'!$B$16:$O$75,'Public Expenditure'!J$1,FALSE),0)</f>
        <v>9682767.0700000003</v>
      </c>
      <c r="K61" s="296">
        <f t="shared" si="1"/>
        <v>0.28270852759124088</v>
      </c>
      <c r="L61" s="211">
        <f t="shared" si="5"/>
        <v>-9682767.0700000003</v>
      </c>
      <c r="M61" s="302">
        <f t="shared" si="6"/>
        <v>-100</v>
      </c>
      <c r="O61" s="212"/>
      <c r="P61" s="81"/>
      <c r="Q61" s="81"/>
      <c r="R61" s="81"/>
      <c r="CD61" s="161"/>
      <c r="CE61" s="161"/>
      <c r="CF61" s="145"/>
      <c r="CG61" s="145"/>
      <c r="CH61" s="145"/>
      <c r="CI61" s="142"/>
    </row>
    <row r="62" spans="1:87" ht="13.5" customHeight="1" thickTop="1" thickBot="1">
      <c r="B62" s="80" t="s">
        <v>456</v>
      </c>
      <c r="C62" s="217" t="s">
        <v>116</v>
      </c>
      <c r="D62" s="218">
        <f>+IF(ISNUMBER(VLOOKUP($B62,'Cental Budget'!$B$16:$K$75,'Public Expenditure'!D$1,FALSE)),VLOOKUP($B62,'Cental Budget'!$B$16:$K$75,'Public Expenditure'!D$1,FALSE),0)+IF(ISNUMBER(VLOOKUP('Public Expenditure'!$B62,'Local Government'!$B$16:$O$75,'Public Expenditure'!D$1,FALSE)),VLOOKUP('Public Expenditure'!$B62,'Local Government'!$B$16:$O$75,'Public Expenditure'!D$1,FALSE),0)</f>
        <v>5445923.8799999999</v>
      </c>
      <c r="E62" s="297">
        <f>D62/D$11*100</f>
        <v>0.15212077877094971</v>
      </c>
      <c r="F62" s="218">
        <f>+IF(ISNUMBER(VLOOKUP($B62,'Cental Budget'!$B$16:$K$75,'Public Expenditure'!F$1,FALSE)),VLOOKUP($B62,'Cental Budget'!$B$16:$K$75,'Public Expenditure'!F$1,FALSE),0)+IF(ISNUMBER(VLOOKUP('Public Expenditure'!$B62,'Local Government'!$B$16:$O$75,'Public Expenditure'!F$1,FALSE)),VLOOKUP('Public Expenditure'!$B62,'Local Government'!$B$16:$O$75,'Public Expenditure'!F$1,FALSE),0)</f>
        <v>0</v>
      </c>
      <c r="G62" s="297">
        <f>F62/D$11*100</f>
        <v>0</v>
      </c>
      <c r="H62" s="219">
        <f>+D62-F62</f>
        <v>5445923.8799999999</v>
      </c>
      <c r="I62" s="303"/>
      <c r="J62" s="218">
        <f>+IF(ISNUMBER(VLOOKUP($B62,'Cental Budget'!$B$16:$K$75,'Public Expenditure'!J$1,FALSE)),VLOOKUP($B62,'Cental Budget'!$B$16:$K$75,'Public Expenditure'!J$1,FALSE),0)+IF(ISNUMBER(VLOOKUP('Public Expenditure'!$B62,'Local Government'!$B$16:$O$75,'Public Expenditure'!J$1,FALSE)),VLOOKUP('Public Expenditure'!$B62,'Local Government'!$B$16:$O$75,'Public Expenditure'!J$1,FALSE),0)</f>
        <v>7005628.839999998</v>
      </c>
      <c r="K62" s="297">
        <f>J62/J$11*100</f>
        <v>0.20454390773722622</v>
      </c>
      <c r="L62" s="219">
        <f>+D62-J62</f>
        <v>-1559704.9599999981</v>
      </c>
      <c r="M62" s="303">
        <f>+D62/J62*100-100</f>
        <v>-22.263596825092407</v>
      </c>
      <c r="O62" s="81"/>
      <c r="P62" s="81"/>
      <c r="Q62" s="81"/>
      <c r="R62" s="81"/>
      <c r="CD62" s="161"/>
      <c r="CE62" s="161"/>
      <c r="CF62" s="145"/>
      <c r="CG62" s="145"/>
      <c r="CH62" s="145"/>
      <c r="CI62" s="142"/>
    </row>
    <row r="63" spans="1:87" ht="13.5" customHeight="1" thickTop="1" thickBot="1">
      <c r="B63" s="80">
        <v>990</v>
      </c>
      <c r="C63" s="147" t="s">
        <v>152</v>
      </c>
      <c r="D63" s="154">
        <f>+IF(ISNUMBER(VLOOKUP($B63,'Cental Budget'!$B$16:$K$75,'Public Expenditure'!D$1,FALSE)),VLOOKUP($B63,'Cental Budget'!$B$16:$K$75,'Public Expenditure'!D$1,FALSE),0)+IF(ISNUMBER(VLOOKUP('Public Expenditure'!$B63,'Local Government'!$B$16:$O$75,'Public Expenditure'!D$1,FALSE)),VLOOKUP('Public Expenditure'!$B63,'Local Government'!$B$16:$O$75,'Public Expenditure'!D$1,FALSE),0)</f>
        <v>0</v>
      </c>
      <c r="E63" s="295">
        <f t="shared" si="0"/>
        <v>0</v>
      </c>
      <c r="F63" s="154">
        <f>+IF(ISNUMBER(VLOOKUP($B63,'Cental Budget'!$B$16:$K$75,'Public Expenditure'!F$1,FALSE)),VLOOKUP($B63,'Cental Budget'!$B$16:$K$75,'Public Expenditure'!F$1,FALSE),0)+IF(ISNUMBER(VLOOKUP('Public Expenditure'!$B63,'Local Government'!$B$16:$O$75,'Public Expenditure'!F$1,FALSE)),VLOOKUP('Public Expenditure'!$B63,'Local Government'!$B$16:$O$75,'Public Expenditure'!F$1,FALSE),0)</f>
        <v>140276.0704445625</v>
      </c>
      <c r="G63" s="295">
        <f t="shared" si="2"/>
        <v>3.9183259900715788E-3</v>
      </c>
      <c r="H63" s="209">
        <f t="shared" si="3"/>
        <v>-140276.0704445625</v>
      </c>
      <c r="I63" s="301"/>
      <c r="J63" s="154">
        <f>+IF(ISNUMBER(VLOOKUP($B63,'Cental Budget'!$B$16:$K$75,'Public Expenditure'!J$1,FALSE)),VLOOKUP($B63,'Cental Budget'!$B$16:$K$75,'Public Expenditure'!J$1,FALSE),0)+IF(ISNUMBER(VLOOKUP('Public Expenditure'!$B63,'Local Government'!$B$16:$O$75,'Public Expenditure'!J$1,FALSE)),VLOOKUP('Public Expenditure'!$B63,'Local Government'!$B$16:$O$75,'Public Expenditure'!J$1,FALSE),0)</f>
        <v>0</v>
      </c>
      <c r="K63" s="295">
        <f t="shared" si="1"/>
        <v>0</v>
      </c>
      <c r="L63" s="209">
        <f t="shared" si="5"/>
        <v>0</v>
      </c>
      <c r="M63" s="301">
        <v>0</v>
      </c>
      <c r="O63" s="81"/>
      <c r="P63" s="81"/>
      <c r="Q63" s="81"/>
      <c r="R63" s="81"/>
      <c r="CD63" s="161"/>
      <c r="CE63" s="161"/>
      <c r="CF63" s="145"/>
      <c r="CG63" s="145"/>
      <c r="CH63" s="145"/>
      <c r="CI63" s="142"/>
    </row>
    <row r="64" spans="1:87" ht="13.5" customHeight="1" thickTop="1" thickBot="1">
      <c r="C64" s="178" t="s">
        <v>132</v>
      </c>
      <c r="D64" s="173">
        <f>+D16-D36</f>
        <v>-21624576.180000067</v>
      </c>
      <c r="E64" s="292">
        <f t="shared" si="0"/>
        <v>-0.60403844078212476</v>
      </c>
      <c r="F64" s="173">
        <f>+F16-F36</f>
        <v>-127474104.57196259</v>
      </c>
      <c r="G64" s="292">
        <f t="shared" si="2"/>
        <v>-3.5607291779877821</v>
      </c>
      <c r="H64" s="173">
        <f t="shared" si="3"/>
        <v>105849528.39196253</v>
      </c>
      <c r="I64" s="292">
        <f t="shared" si="4"/>
        <v>-83.036102702888641</v>
      </c>
      <c r="J64" s="173">
        <f>+J16-J36-J63</f>
        <v>-25150614.089999974</v>
      </c>
      <c r="K64" s="292">
        <f>J64/J$11*100</f>
        <v>-0.73432449897810148</v>
      </c>
      <c r="L64" s="173">
        <f t="shared" si="5"/>
        <v>3526037.909999907</v>
      </c>
      <c r="M64" s="292">
        <f t="shared" si="6"/>
        <v>-14.019689131176634</v>
      </c>
      <c r="O64" s="212"/>
      <c r="P64" s="212"/>
      <c r="Q64" s="81"/>
      <c r="R64" s="81"/>
      <c r="CD64" s="161"/>
      <c r="CE64" s="161"/>
      <c r="CF64" s="145"/>
      <c r="CG64" s="145"/>
      <c r="CH64" s="145"/>
      <c r="CI64" s="142"/>
    </row>
    <row r="65" spans="2:87" ht="13.5" customHeight="1" thickTop="1" thickBot="1">
      <c r="C65" s="178" t="s">
        <v>133</v>
      </c>
      <c r="D65" s="173">
        <f>+D64+D44</f>
        <v>-10623496.040000066</v>
      </c>
      <c r="E65" s="292">
        <f t="shared" si="0"/>
        <v>-0.29674569944134266</v>
      </c>
      <c r="F65" s="173">
        <f>+F64+F44</f>
        <v>-107499590.19075534</v>
      </c>
      <c r="G65" s="292">
        <f t="shared" si="2"/>
        <v>-3.0027818489037803</v>
      </c>
      <c r="H65" s="173">
        <f t="shared" si="3"/>
        <v>96876094.150755271</v>
      </c>
      <c r="I65" s="292">
        <f t="shared" si="4"/>
        <v>-90.117640429001696</v>
      </c>
      <c r="J65" s="173">
        <f>+J64+J44</f>
        <v>-16261852.749999974</v>
      </c>
      <c r="K65" s="292">
        <f t="shared" si="1"/>
        <v>-0.4747986204379554</v>
      </c>
      <c r="L65" s="173">
        <f t="shared" si="5"/>
        <v>5638356.7099999078</v>
      </c>
      <c r="M65" s="292">
        <f t="shared" si="6"/>
        <v>-34.672289785675972</v>
      </c>
      <c r="O65" s="212"/>
      <c r="P65" s="81"/>
      <c r="Q65" s="81"/>
      <c r="R65" s="81"/>
      <c r="CD65" s="161"/>
      <c r="CE65" s="161"/>
      <c r="CF65" s="145"/>
      <c r="CG65" s="145"/>
      <c r="CH65" s="145"/>
      <c r="CI65" s="142"/>
    </row>
    <row r="66" spans="2:87" ht="13.5" customHeight="1" thickTop="1" thickBot="1">
      <c r="C66" s="178" t="s">
        <v>0</v>
      </c>
      <c r="D66" s="173">
        <f>+SUM(D67:D69)</f>
        <v>66841868.870000005</v>
      </c>
      <c r="E66" s="292">
        <f t="shared" si="0"/>
        <v>1.8670913092178771</v>
      </c>
      <c r="F66" s="173">
        <f>+SUM(F67:F69)</f>
        <v>113948021.0925</v>
      </c>
      <c r="G66" s="292">
        <f t="shared" si="2"/>
        <v>3.1829056171089389</v>
      </c>
      <c r="H66" s="173">
        <f t="shared" si="3"/>
        <v>-47106152.222499996</v>
      </c>
      <c r="I66" s="292">
        <f t="shared" si="4"/>
        <v>-41.340035369513316</v>
      </c>
      <c r="J66" s="173">
        <f>+SUM(J67:J69)</f>
        <v>27599858.5</v>
      </c>
      <c r="K66" s="292">
        <f t="shared" si="1"/>
        <v>0.80583528467153298</v>
      </c>
      <c r="L66" s="173">
        <f t="shared" si="5"/>
        <v>39242010.370000005</v>
      </c>
      <c r="M66" s="292">
        <f t="shared" si="6"/>
        <v>142.18192593270001</v>
      </c>
      <c r="O66" s="81"/>
      <c r="P66" s="81"/>
      <c r="Q66" s="81"/>
      <c r="R66" s="81"/>
      <c r="CD66" s="161"/>
      <c r="CE66" s="161"/>
      <c r="CF66" s="145"/>
      <c r="CG66" s="145"/>
      <c r="CH66" s="145"/>
      <c r="CI66" s="142"/>
    </row>
    <row r="67" spans="2:87" ht="13.5" customHeight="1" thickTop="1">
      <c r="B67" s="80">
        <v>4611</v>
      </c>
      <c r="C67" s="97" t="s">
        <v>135</v>
      </c>
      <c r="D67" s="156">
        <f>+IF(ISNUMBER(VLOOKUP($B67,'Cental Budget'!$B$16:$K$75,'Public Expenditure'!D$1,FALSE)),VLOOKUP($B67,'Cental Budget'!$B$16:$K$75,'Public Expenditure'!D$1,FALSE),0)+IF(ISNUMBER(VLOOKUP('Public Expenditure'!$B67,'Local Government'!$B$16:$O$75,'Public Expenditure'!D$1,FALSE)),VLOOKUP('Public Expenditure'!$B67,'Local Government'!$B$16:$O$75,'Public Expenditure'!D$1,FALSE),0)</f>
        <v>23433164.530000001</v>
      </c>
      <c r="E67" s="294">
        <f t="shared" si="0"/>
        <v>0.65455766843575425</v>
      </c>
      <c r="F67" s="156">
        <f>+IF(ISNUMBER(VLOOKUP($B67,'Cental Budget'!$B$16:$K$75,'Public Expenditure'!F$1,FALSE)),VLOOKUP($B67,'Cental Budget'!$B$16:$K$75,'Public Expenditure'!F$1,FALSE),0)+IF(ISNUMBER(VLOOKUP('Public Expenditure'!$B67,'Local Government'!$B$16:$O$75,'Public Expenditure'!F$1,FALSE)),VLOOKUP('Public Expenditure'!$B67,'Local Government'!$B$16:$O$75,'Public Expenditure'!F$1,FALSE),0)</f>
        <v>12802530.48</v>
      </c>
      <c r="G67" s="294">
        <f t="shared" si="2"/>
        <v>0.35761258324022349</v>
      </c>
      <c r="H67" s="210">
        <f t="shared" si="3"/>
        <v>10630634.050000001</v>
      </c>
      <c r="I67" s="300">
        <f t="shared" si="4"/>
        <v>83.035412933459384</v>
      </c>
      <c r="J67" s="156">
        <f>+IF(ISNUMBER(VLOOKUP($B67,'Cental Budget'!$B$16:$K$75,'Public Expenditure'!J$1,FALSE)),VLOOKUP($B67,'Cental Budget'!$B$16:$K$75,'Public Expenditure'!J$1,FALSE),0)+IF(ISNUMBER(VLOOKUP('Public Expenditure'!$B67,'Local Government'!$B$16:$O$75,'Public Expenditure'!J$1,FALSE)),VLOOKUP('Public Expenditure'!$B67,'Local Government'!$B$16:$O$75,'Public Expenditure'!J$1,FALSE),0)</f>
        <v>8907275.6499999985</v>
      </c>
      <c r="K67" s="294">
        <f t="shared" si="1"/>
        <v>0.26006644233576637</v>
      </c>
      <c r="L67" s="210">
        <f t="shared" si="5"/>
        <v>14525888.880000003</v>
      </c>
      <c r="M67" s="300">
        <f t="shared" si="6"/>
        <v>163.07891942246118</v>
      </c>
      <c r="O67" s="81"/>
      <c r="P67" s="81"/>
      <c r="Q67" s="81"/>
      <c r="R67" s="81"/>
      <c r="CD67" s="161"/>
      <c r="CE67" s="161"/>
      <c r="CF67" s="145"/>
      <c r="CG67" s="145"/>
      <c r="CH67" s="145"/>
      <c r="CI67" s="142"/>
    </row>
    <row r="68" spans="2:87" ht="13.5" customHeight="1">
      <c r="B68" s="80">
        <v>4612</v>
      </c>
      <c r="C68" s="97" t="s">
        <v>137</v>
      </c>
      <c r="D68" s="156">
        <f>+IF(ISNUMBER(VLOOKUP($B68,'Cental Budget'!$B$16:$K$75,'Public Expenditure'!D$1,FALSE)),VLOOKUP($B68,'Cental Budget'!$B$16:$K$75,'Public Expenditure'!D$1,FALSE),0)+IF(ISNUMBER(VLOOKUP('Public Expenditure'!$B68,'Local Government'!$B$16:$O$75,'Public Expenditure'!D$1,FALSE)),VLOOKUP('Public Expenditure'!$B68,'Local Government'!$B$16:$O$75,'Public Expenditure'!D$1,FALSE),0)</f>
        <v>32000891.520000003</v>
      </c>
      <c r="E68" s="294">
        <f t="shared" si="0"/>
        <v>0.89387965139664816</v>
      </c>
      <c r="F68" s="156">
        <f>+IF(ISNUMBER(VLOOKUP($B68,'Cental Budget'!$B$16:$K$75,'Public Expenditure'!F$1,FALSE)),VLOOKUP($B68,'Cental Budget'!$B$16:$K$75,'Public Expenditure'!F$1,FALSE),0)+IF(ISNUMBER(VLOOKUP('Public Expenditure'!$B68,'Local Government'!$B$16:$O$75,'Public Expenditure'!F$1,FALSE)),VLOOKUP('Public Expenditure'!$B68,'Local Government'!$B$16:$O$75,'Public Expenditure'!F$1,FALSE),0)</f>
        <v>81692720.612499997</v>
      </c>
      <c r="G68" s="294">
        <f t="shared" si="2"/>
        <v>2.281919570181564</v>
      </c>
      <c r="H68" s="210">
        <f t="shared" si="3"/>
        <v>-49691829.092499994</v>
      </c>
      <c r="I68" s="300">
        <f t="shared" si="4"/>
        <v>-60.827731920212884</v>
      </c>
      <c r="J68" s="156">
        <f>+IF(ISNUMBER(VLOOKUP($B68,'Cental Budget'!$B$16:$K$75,'Public Expenditure'!J$1,FALSE)),VLOOKUP($B68,'Cental Budget'!$B$16:$K$75,'Public Expenditure'!J$1,FALSE),0)+IF(ISNUMBER(VLOOKUP('Public Expenditure'!$B68,'Local Government'!$B$16:$O$75,'Public Expenditure'!J$1,FALSE)),VLOOKUP('Public Expenditure'!$B68,'Local Government'!$B$16:$O$75,'Public Expenditure'!J$1,FALSE),0)</f>
        <v>7631714.2499999991</v>
      </c>
      <c r="K68" s="294">
        <f t="shared" si="1"/>
        <v>0.22282377372262771</v>
      </c>
      <c r="L68" s="210">
        <f t="shared" si="5"/>
        <v>24369177.270000003</v>
      </c>
      <c r="M68" s="300">
        <f t="shared" si="6"/>
        <v>319.31459265524785</v>
      </c>
      <c r="O68" s="81"/>
      <c r="P68" s="81"/>
      <c r="Q68" s="81"/>
      <c r="R68" s="81"/>
      <c r="CD68" s="161"/>
      <c r="CE68" s="161"/>
      <c r="CF68" s="145"/>
      <c r="CG68" s="145"/>
      <c r="CH68" s="145"/>
      <c r="CI68" s="142"/>
    </row>
    <row r="69" spans="2:87" ht="13.5" customHeight="1" thickBot="1">
      <c r="B69" s="80" t="s">
        <v>457</v>
      </c>
      <c r="C69" s="97" t="s">
        <v>116</v>
      </c>
      <c r="D69" s="156">
        <f>+IF(ISNUMBER(VLOOKUP($B69,'Cental Budget'!$B$16:$K$75,'Public Expenditure'!D$1,FALSE)),VLOOKUP($B69,'Cental Budget'!$B$16:$K$75,'Public Expenditure'!D$1,FALSE),0)+IF(ISNUMBER(VLOOKUP('Public Expenditure'!$B69,'Local Government'!$B$16:$O$75,'Public Expenditure'!D$1,FALSE)),VLOOKUP('Public Expenditure'!$B69,'Local Government'!$B$16:$O$75,'Public Expenditure'!D$1,FALSE),0)</f>
        <v>11407812.82</v>
      </c>
      <c r="E69" s="294">
        <f t="shared" si="0"/>
        <v>0.3186539893854749</v>
      </c>
      <c r="F69" s="156">
        <f>+IF(ISNUMBER(VLOOKUP($B69,'Cental Budget'!$B$16:$K$75,'Public Expenditure'!F$1,FALSE)),VLOOKUP($B69,'Cental Budget'!$B$16:$K$75,'Public Expenditure'!F$1,FALSE),0)+IF(ISNUMBER(VLOOKUP('Public Expenditure'!$B69,'Local Government'!$B$16:$O$75,'Public Expenditure'!F$1,FALSE)),VLOOKUP('Public Expenditure'!$B69,'Local Government'!$B$16:$O$75,'Public Expenditure'!F$1,FALSE),0)</f>
        <v>19452770</v>
      </c>
      <c r="G69" s="294">
        <f t="shared" si="2"/>
        <v>0.54337346368715089</v>
      </c>
      <c r="H69" s="210">
        <f t="shared" si="3"/>
        <v>-8044957.1799999997</v>
      </c>
      <c r="I69" s="300">
        <f t="shared" si="4"/>
        <v>-41.356357886306164</v>
      </c>
      <c r="J69" s="156">
        <f>+IF(ISNUMBER(VLOOKUP($B69,'Cental Budget'!$B$16:$K$75,'Public Expenditure'!J$1,FALSE)),VLOOKUP($B69,'Cental Budget'!$B$16:$K$75,'Public Expenditure'!J$1,FALSE),0)+IF(ISNUMBER(VLOOKUP('Public Expenditure'!$B69,'Local Government'!$B$16:$O$75,'Public Expenditure'!J$1,FALSE)),VLOOKUP('Public Expenditure'!$B69,'Local Government'!$B$16:$O$75,'Public Expenditure'!J$1,FALSE),0)</f>
        <v>11060868.6</v>
      </c>
      <c r="K69" s="294">
        <f t="shared" si="1"/>
        <v>0.32294506861313865</v>
      </c>
      <c r="L69" s="210">
        <f t="shared" si="5"/>
        <v>346944.22000000067</v>
      </c>
      <c r="M69" s="300">
        <f t="shared" si="6"/>
        <v>3.1366815079965704</v>
      </c>
      <c r="O69" s="81"/>
      <c r="P69" s="81"/>
      <c r="Q69" s="81"/>
      <c r="R69" s="81"/>
      <c r="CD69" s="161"/>
      <c r="CE69" s="161"/>
      <c r="CF69" s="145"/>
      <c r="CG69" s="145"/>
      <c r="CH69" s="145"/>
      <c r="CI69" s="142"/>
    </row>
    <row r="70" spans="2:87" ht="13.5" customHeight="1" thickTop="1" thickBot="1">
      <c r="C70" s="178" t="s">
        <v>141</v>
      </c>
      <c r="D70" s="173">
        <f>+D64-D66</f>
        <v>-88466445.050000072</v>
      </c>
      <c r="E70" s="292">
        <f t="shared" si="0"/>
        <v>-2.471129750000002</v>
      </c>
      <c r="F70" s="173">
        <f>+F64-F66</f>
        <v>-241422125.6644626</v>
      </c>
      <c r="G70" s="292">
        <f t="shared" si="2"/>
        <v>-6.7436347950967201</v>
      </c>
      <c r="H70" s="173">
        <f t="shared" si="3"/>
        <v>152955680.61446252</v>
      </c>
      <c r="I70" s="292">
        <f t="shared" si="4"/>
        <v>-63.35611543204039</v>
      </c>
      <c r="J70" s="173">
        <f>+J64-J66</f>
        <v>-52750472.589999974</v>
      </c>
      <c r="K70" s="292">
        <f t="shared" si="1"/>
        <v>-1.5401597836496341</v>
      </c>
      <c r="L70" s="173">
        <f t="shared" si="5"/>
        <v>-35715972.460000098</v>
      </c>
      <c r="M70" s="292">
        <f t="shared" si="6"/>
        <v>67.707398069398238</v>
      </c>
      <c r="O70" s="81"/>
      <c r="P70" s="81"/>
      <c r="Q70" s="81"/>
      <c r="R70" s="81"/>
      <c r="CD70" s="161"/>
      <c r="CE70" s="161"/>
      <c r="CF70" s="145"/>
      <c r="CG70" s="145"/>
      <c r="CH70" s="145"/>
      <c r="CI70" s="142"/>
    </row>
    <row r="71" spans="2:87" ht="13.5" customHeight="1" thickTop="1" thickBot="1">
      <c r="C71" s="178" t="s">
        <v>121</v>
      </c>
      <c r="D71" s="173">
        <f>+SUM(D72:D75)</f>
        <v>88466445.050000072</v>
      </c>
      <c r="E71" s="292">
        <f t="shared" si="0"/>
        <v>2.471129750000002</v>
      </c>
      <c r="F71" s="173">
        <f>+SUM(F72:F75)</f>
        <v>241422125.6644626</v>
      </c>
      <c r="G71" s="292">
        <f t="shared" si="2"/>
        <v>6.7436347950967201</v>
      </c>
      <c r="H71" s="173">
        <f t="shared" si="3"/>
        <v>-152955680.61446252</v>
      </c>
      <c r="I71" s="292">
        <f t="shared" si="4"/>
        <v>-63.35611543204039</v>
      </c>
      <c r="J71" s="173">
        <f>+SUM(J72:J75)</f>
        <v>52750472.589999974</v>
      </c>
      <c r="K71" s="292">
        <f t="shared" si="1"/>
        <v>1.5401597836496341</v>
      </c>
      <c r="L71" s="173">
        <f t="shared" si="5"/>
        <v>35715972.460000098</v>
      </c>
      <c r="M71" s="292">
        <f t="shared" si="6"/>
        <v>67.707398069398238</v>
      </c>
      <c r="O71" s="81"/>
      <c r="P71" s="81"/>
      <c r="Q71" s="81"/>
      <c r="R71" s="81"/>
      <c r="CD71" s="161"/>
      <c r="CE71" s="161"/>
      <c r="CF71" s="145"/>
      <c r="CG71" s="145"/>
      <c r="CH71" s="145"/>
      <c r="CI71" s="142"/>
    </row>
    <row r="72" spans="2:87" ht="13.5" customHeight="1" thickTop="1">
      <c r="B72" s="80">
        <v>7511</v>
      </c>
      <c r="C72" s="97" t="s">
        <v>144</v>
      </c>
      <c r="D72" s="156">
        <f>+IF(ISNUMBER(VLOOKUP($B72,'Cental Budget'!$B$16:$K$75,'Public Expenditure'!D$1,FALSE)),VLOOKUP($B72,'Cental Budget'!$B$16:$K$75,'Public Expenditure'!D$1,FALSE),0)+IF(ISNUMBER(VLOOKUP('Public Expenditure'!$B72,'Local Government'!$B$16:$O$75,'Public Expenditure'!D$1,FALSE)),VLOOKUP('Public Expenditure'!$B72,'Local Government'!$B$16:$O$75,'Public Expenditure'!D$1,FALSE),0)</f>
        <v>37079738.140000001</v>
      </c>
      <c r="E72" s="294">
        <f t="shared" si="0"/>
        <v>1.0357468754189945</v>
      </c>
      <c r="F72" s="156">
        <f>+IF(ISNUMBER(VLOOKUP($B72,'Cental Budget'!$B$16:$K$75,'Public Expenditure'!F$1,FALSE)),VLOOKUP($B72,'Cental Budget'!$B$16:$K$75,'Public Expenditure'!F$1,FALSE),0)+IF(ISNUMBER(VLOOKUP('Public Expenditure'!$B72,'Local Government'!$B$16:$O$75,'Public Expenditure'!F$1,FALSE)),VLOOKUP('Public Expenditure'!$B72,'Local Government'!$B$16:$O$75,'Public Expenditure'!F$1,FALSE),0)</f>
        <v>1250000</v>
      </c>
      <c r="G72" s="294">
        <f t="shared" si="2"/>
        <v>3.4916201117318434E-2</v>
      </c>
      <c r="H72" s="210">
        <f t="shared" si="3"/>
        <v>35829738.140000001</v>
      </c>
      <c r="I72" s="300">
        <f t="shared" si="4"/>
        <v>2866.3790512</v>
      </c>
      <c r="J72" s="156">
        <f>+IF(ISNUMBER(VLOOKUP($B72,'Cental Budget'!$B$16:$K$75,'Public Expenditure'!J$1,FALSE)),VLOOKUP($B72,'Cental Budget'!$B$16:$K$75,'Public Expenditure'!J$1,FALSE),0)+IF(ISNUMBER(VLOOKUP('Public Expenditure'!$B72,'Local Government'!$B$16:$O$75,'Public Expenditure'!J$1,FALSE)),VLOOKUP('Public Expenditure'!$B72,'Local Government'!$B$16:$O$75,'Public Expenditure'!J$1,FALSE),0)</f>
        <v>78559511.960000008</v>
      </c>
      <c r="K72" s="294">
        <f t="shared" si="1"/>
        <v>2.2937083783941605</v>
      </c>
      <c r="L72" s="210">
        <f t="shared" si="5"/>
        <v>-41479773.820000008</v>
      </c>
      <c r="M72" s="300">
        <f t="shared" si="6"/>
        <v>-52.800447438013848</v>
      </c>
      <c r="O72" s="81"/>
      <c r="P72" s="81"/>
      <c r="Q72" s="81"/>
      <c r="R72" s="81"/>
      <c r="CD72" s="161"/>
      <c r="CE72" s="161"/>
      <c r="CF72" s="145"/>
      <c r="CG72" s="145"/>
      <c r="CH72" s="145"/>
      <c r="CI72" s="142"/>
    </row>
    <row r="73" spans="2:87" ht="13.5" customHeight="1">
      <c r="B73" s="80">
        <v>7512</v>
      </c>
      <c r="C73" s="97" t="s">
        <v>122</v>
      </c>
      <c r="D73" s="156">
        <f>+IF(ISNUMBER(VLOOKUP($B73,'Cental Budget'!$B$16:$K$75,'Public Expenditure'!D$1,FALSE)),VLOOKUP($B73,'Cental Budget'!$B$16:$K$75,'Public Expenditure'!D$1,FALSE),0)+IF(ISNUMBER(VLOOKUP('Public Expenditure'!$B73,'Local Government'!$B$16:$O$75,'Public Expenditure'!D$1,FALSE)),VLOOKUP('Public Expenditure'!$B73,'Local Government'!$B$16:$O$75,'Public Expenditure'!D$1,FALSE),0)</f>
        <v>496924270.10000002</v>
      </c>
      <c r="E73" s="294">
        <f t="shared" si="0"/>
        <v>13.880566203910616</v>
      </c>
      <c r="F73" s="156">
        <f>+IF(ISNUMBER(VLOOKUP($B73,'Cental Budget'!$B$16:$K$75,'Public Expenditure'!F$1,FALSE)),VLOOKUP($B73,'Cental Budget'!$B$16:$K$75,'Public Expenditure'!F$1,FALSE),0)+IF(ISNUMBER(VLOOKUP('Public Expenditure'!$B73,'Local Government'!$B$16:$O$75,'Public Expenditure'!F$1,FALSE)),VLOOKUP('Public Expenditure'!$B73,'Local Government'!$B$16:$O$75,'Public Expenditure'!F$1,FALSE),0)</f>
        <v>159270409.70915428</v>
      </c>
      <c r="G73" s="294">
        <f t="shared" si="2"/>
        <v>4.4488941259540304</v>
      </c>
      <c r="H73" s="210">
        <f t="shared" si="3"/>
        <v>337653860.39084578</v>
      </c>
      <c r="I73" s="300">
        <f t="shared" si="4"/>
        <v>212.00037157400408</v>
      </c>
      <c r="J73" s="156">
        <f>+IF(ISNUMBER(VLOOKUP($B73,'Cental Budget'!$B$16:$K$75,'Public Expenditure'!J$1,FALSE)),VLOOKUP($B73,'Cental Budget'!$B$16:$K$75,'Public Expenditure'!J$1,FALSE),0)+IF(ISNUMBER(VLOOKUP('Public Expenditure'!$B73,'Local Government'!$B$16:$O$75,'Public Expenditure'!J$1,FALSE)),VLOOKUP('Public Expenditure'!$B73,'Local Government'!$B$16:$O$75,'Public Expenditure'!J$1,FALSE),0)</f>
        <v>713103.68</v>
      </c>
      <c r="K73" s="294">
        <f t="shared" si="1"/>
        <v>2.0820545401459854E-2</v>
      </c>
      <c r="L73" s="210">
        <f t="shared" si="5"/>
        <v>496211166.42000002</v>
      </c>
      <c r="M73" s="300">
        <f t="shared" si="6"/>
        <v>69584.715425953211</v>
      </c>
      <c r="O73" s="81"/>
      <c r="P73" s="81"/>
      <c r="Q73" s="81"/>
      <c r="R73" s="81"/>
      <c r="CD73" s="161"/>
      <c r="CE73" s="161"/>
      <c r="CF73" s="145"/>
      <c r="CG73" s="145"/>
      <c r="CH73" s="145"/>
      <c r="CI73" s="142"/>
    </row>
    <row r="74" spans="2:87" ht="13.5" customHeight="1" thickBot="1">
      <c r="B74" s="80">
        <v>72</v>
      </c>
      <c r="C74" s="103" t="s">
        <v>329</v>
      </c>
      <c r="D74" s="156">
        <f>+IF(ISNUMBER(VLOOKUP($B74,'Cental Budget'!$B$16:$K$75,'Public Expenditure'!D$1,FALSE)),VLOOKUP($B74,'Cental Budget'!$B$16:$K$75,'Public Expenditure'!D$1,FALSE),0)+IF(ISNUMBER(VLOOKUP('Public Expenditure'!$B74,'Local Government'!$B$16:$O$75,'Public Expenditure'!D$1,FALSE)),VLOOKUP('Public Expenditure'!$B74,'Local Government'!$B$16:$O$75,'Public Expenditure'!D$1,FALSE),0)</f>
        <v>1900266.1000000003</v>
      </c>
      <c r="E74" s="298">
        <f t="shared" si="0"/>
        <v>5.3080058659217888E-2</v>
      </c>
      <c r="F74" s="156">
        <f>+IF(ISNUMBER(VLOOKUP($B74,'Cental Budget'!$B$16:$K$75,'Public Expenditure'!F$1,FALSE)),VLOOKUP($B74,'Cental Budget'!$B$16:$K$75,'Public Expenditure'!F$1,FALSE),0)+IF(ISNUMBER(VLOOKUP('Public Expenditure'!$B74,'Local Government'!$B$16:$O$75,'Public Expenditure'!F$1,FALSE)),VLOOKUP('Public Expenditure'!$B74,'Local Government'!$B$16:$O$75,'Public Expenditure'!F$1,FALSE),0)</f>
        <v>2500000</v>
      </c>
      <c r="G74" s="298">
        <f t="shared" si="2"/>
        <v>6.9832402234636867E-2</v>
      </c>
      <c r="H74" s="210">
        <f t="shared" si="3"/>
        <v>-599733.89999999967</v>
      </c>
      <c r="I74" s="300">
        <f t="shared" si="4"/>
        <v>-23.989355999999987</v>
      </c>
      <c r="J74" s="156">
        <f>+IF(ISNUMBER(VLOOKUP($B74,'Cental Budget'!$B$16:$K$75,'Public Expenditure'!J$1,FALSE)),VLOOKUP($B74,'Cental Budget'!$B$16:$K$75,'Public Expenditure'!J$1,FALSE),0)+IF(ISNUMBER(VLOOKUP('Public Expenditure'!$B74,'Local Government'!$B$16:$O$75,'Public Expenditure'!J$1,FALSE)),VLOOKUP('Public Expenditure'!$B74,'Local Government'!$B$16:$O$75,'Public Expenditure'!J$1,FALSE),0)</f>
        <v>877465.65</v>
      </c>
      <c r="K74" s="298">
        <f t="shared" si="1"/>
        <v>2.5619435036496351E-2</v>
      </c>
      <c r="L74" s="210">
        <f t="shared" si="5"/>
        <v>1022800.4500000003</v>
      </c>
      <c r="M74" s="300">
        <f t="shared" si="6"/>
        <v>116.56301873469351</v>
      </c>
      <c r="O74" s="81"/>
      <c r="P74" s="81"/>
      <c r="Q74" s="81"/>
      <c r="R74" s="81"/>
      <c r="CD74" s="161"/>
      <c r="CE74" s="161"/>
      <c r="CF74" s="145"/>
      <c r="CG74" s="145"/>
      <c r="CH74" s="145"/>
      <c r="CI74" s="142"/>
    </row>
    <row r="75" spans="2:87" ht="13.5" customHeight="1" thickTop="1" thickBot="1">
      <c r="C75" s="148" t="s">
        <v>125</v>
      </c>
      <c r="D75" s="149">
        <f>-D70-SUM(D72:D74)</f>
        <v>-447437829.28999996</v>
      </c>
      <c r="E75" s="296">
        <f t="shared" si="0"/>
        <v>-12.498263387988825</v>
      </c>
      <c r="F75" s="149">
        <f>-F70-SUM(F72:F74)</f>
        <v>78401715.955308318</v>
      </c>
      <c r="G75" s="296">
        <f t="shared" si="2"/>
        <v>2.1899920657907348</v>
      </c>
      <c r="H75" s="208">
        <f t="shared" si="3"/>
        <v>-525839545.24530828</v>
      </c>
      <c r="I75" s="302">
        <f t="shared" si="4"/>
        <v>-670.69902595633869</v>
      </c>
      <c r="J75" s="149">
        <f>-J70-SUM(J72:J74)</f>
        <v>-27399608.700000048</v>
      </c>
      <c r="K75" s="296">
        <f t="shared" si="1"/>
        <v>-0.79998857518248312</v>
      </c>
      <c r="L75" s="208">
        <f t="shared" si="5"/>
        <v>-420038220.58999991</v>
      </c>
      <c r="M75" s="302">
        <f t="shared" si="6"/>
        <v>1533.0080994550815</v>
      </c>
      <c r="O75" s="81"/>
      <c r="P75" s="81"/>
      <c r="Q75" s="81"/>
      <c r="R75" s="81"/>
      <c r="CD75" s="161"/>
      <c r="CE75" s="161"/>
      <c r="CF75" s="145"/>
      <c r="CG75" s="145"/>
      <c r="CH75" s="145"/>
      <c r="CI75" s="142"/>
    </row>
    <row r="76" spans="2:87" ht="13.5" thickTop="1">
      <c r="C76" s="106" t="str">
        <f>IF(MasterSheet!$A$1=1,MasterSheet!C151,MasterSheet!B151)</f>
        <v>Izvor: Ministarstvo finansija Crne Gore</v>
      </c>
      <c r="D76" s="107"/>
      <c r="E76" s="107"/>
      <c r="F76" s="107"/>
      <c r="G76" s="107"/>
      <c r="H76" s="107"/>
      <c r="I76" s="107"/>
      <c r="J76" s="107"/>
      <c r="K76" s="107"/>
      <c r="L76" s="107"/>
      <c r="M76" s="107" t="s">
        <v>428</v>
      </c>
      <c r="O76" s="81"/>
      <c r="P76" s="81"/>
      <c r="Q76" s="81"/>
      <c r="R76" s="81"/>
    </row>
    <row r="81" spans="4:10">
      <c r="D81" s="102"/>
      <c r="F81" s="102"/>
      <c r="J81" s="102"/>
    </row>
    <row r="82" spans="4:10">
      <c r="D82" s="102"/>
      <c r="F82" s="102"/>
      <c r="J82" s="102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  <mergeCell ref="D13:E13"/>
    <mergeCell ref="J13:K13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B2:G59"/>
  <sheetViews>
    <sheetView workbookViewId="0">
      <selection activeCell="F5" sqref="F5"/>
    </sheetView>
  </sheetViews>
  <sheetFormatPr defaultColWidth="9.08984375" defaultRowHeight="14.5"/>
  <cols>
    <col min="1" max="2" width="9.08984375" style="29"/>
    <col min="3" max="3" width="51.6328125" style="29" bestFit="1" customWidth="1"/>
    <col min="4" max="4" width="15.453125" style="29" bestFit="1" customWidth="1"/>
    <col min="5" max="5" width="9.08984375" style="29"/>
    <col min="6" max="6" width="15.54296875" style="29" bestFit="1" customWidth="1"/>
    <col min="7" max="7" width="15.453125" style="29" bestFit="1" customWidth="1"/>
    <col min="8" max="16384" width="9.08984375" style="29"/>
  </cols>
  <sheetData>
    <row r="2" spans="2:7" ht="15" thickBot="1">
      <c r="D2" s="179" t="s">
        <v>437</v>
      </c>
    </row>
    <row r="3" spans="2:7" ht="24" thickTop="1" thickBot="1">
      <c r="B3" s="30" t="s">
        <v>394</v>
      </c>
      <c r="C3" s="31" t="s">
        <v>395</v>
      </c>
      <c r="D3" s="32" t="s">
        <v>396</v>
      </c>
      <c r="G3" s="29" t="s">
        <v>397</v>
      </c>
    </row>
    <row r="4" spans="2:7" ht="15.5" thickTop="1" thickBot="1">
      <c r="B4" s="33">
        <v>7</v>
      </c>
      <c r="C4" s="34" t="s">
        <v>398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" thickTop="1">
      <c r="B5" s="37">
        <v>71</v>
      </c>
      <c r="C5" s="38" t="s">
        <v>399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305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306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400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313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401</v>
      </c>
      <c r="D36" s="43" t="e">
        <f>+D37+D38+D41</f>
        <v>#REF!</v>
      </c>
    </row>
    <row r="37" spans="2:4">
      <c r="B37" s="51">
        <v>7200</v>
      </c>
      <c r="C37" s="48" t="s">
        <v>402</v>
      </c>
      <c r="D37" s="46" t="e">
        <f>+#REF!</f>
        <v>#REF!</v>
      </c>
    </row>
    <row r="38" spans="2:4" hidden="1">
      <c r="B38" s="52">
        <v>721</v>
      </c>
      <c r="C38" s="48" t="s">
        <v>403</v>
      </c>
      <c r="D38" s="46"/>
    </row>
    <row r="39" spans="2:4" hidden="1">
      <c r="B39" s="51">
        <v>7211</v>
      </c>
      <c r="C39" s="48" t="s">
        <v>404</v>
      </c>
      <c r="D39" s="46"/>
    </row>
    <row r="40" spans="2:4" hidden="1">
      <c r="B40" s="51">
        <v>7213</v>
      </c>
      <c r="C40" s="48" t="s">
        <v>405</v>
      </c>
      <c r="D40" s="46"/>
    </row>
    <row r="41" spans="2:4" hidden="1">
      <c r="B41" s="52">
        <v>722</v>
      </c>
      <c r="C41" s="48" t="s">
        <v>406</v>
      </c>
      <c r="D41" s="46">
        <v>0</v>
      </c>
    </row>
    <row r="42" spans="2:4" hidden="1">
      <c r="B42" s="44">
        <v>7221</v>
      </c>
      <c r="C42" s="48" t="s">
        <v>407</v>
      </c>
      <c r="D42" s="46"/>
    </row>
    <row r="43" spans="2:4" hidden="1">
      <c r="B43" s="44">
        <v>7222</v>
      </c>
      <c r="C43" s="48" t="s">
        <v>408</v>
      </c>
      <c r="D43" s="46"/>
    </row>
    <row r="44" spans="2:4">
      <c r="B44" s="49">
        <v>73</v>
      </c>
      <c r="C44" s="50" t="s">
        <v>409</v>
      </c>
      <c r="D44" s="43" t="e">
        <f>+D45</f>
        <v>#REF!</v>
      </c>
    </row>
    <row r="45" spans="2:4">
      <c r="B45" s="52">
        <v>731</v>
      </c>
      <c r="C45" s="45" t="s">
        <v>409</v>
      </c>
      <c r="D45" s="46" t="e">
        <f>+#REF!</f>
        <v>#REF!</v>
      </c>
    </row>
    <row r="46" spans="2:4" hidden="1">
      <c r="B46" s="51">
        <v>7311</v>
      </c>
      <c r="C46" s="48" t="s">
        <v>410</v>
      </c>
      <c r="D46" s="46"/>
    </row>
    <row r="47" spans="2:4" hidden="1">
      <c r="B47" s="52">
        <v>7312</v>
      </c>
      <c r="C47" s="48" t="s">
        <v>411</v>
      </c>
      <c r="D47" s="46"/>
    </row>
    <row r="48" spans="2:4" hidden="1">
      <c r="B48" s="52">
        <v>7313</v>
      </c>
      <c r="C48" s="48" t="s">
        <v>412</v>
      </c>
      <c r="D48" s="46"/>
    </row>
    <row r="49" spans="2:4" hidden="1">
      <c r="B49" s="52">
        <v>7314</v>
      </c>
      <c r="C49" s="48" t="s">
        <v>413</v>
      </c>
      <c r="D49" s="46"/>
    </row>
    <row r="50" spans="2:4" hidden="1">
      <c r="B50" s="52">
        <v>732</v>
      </c>
      <c r="C50" s="45" t="s">
        <v>414</v>
      </c>
      <c r="D50" s="46"/>
    </row>
    <row r="51" spans="2:4" hidden="1">
      <c r="B51" s="44">
        <v>7321</v>
      </c>
      <c r="C51" s="48" t="s">
        <v>415</v>
      </c>
      <c r="D51" s="46"/>
    </row>
    <row r="52" spans="2:4">
      <c r="B52" s="49">
        <v>74</v>
      </c>
      <c r="C52" s="50" t="s">
        <v>416</v>
      </c>
      <c r="D52" s="43" t="e">
        <f>+D53</f>
        <v>#REF!</v>
      </c>
    </row>
    <row r="53" spans="2:4">
      <c r="B53" s="52">
        <v>741</v>
      </c>
      <c r="C53" s="48" t="s">
        <v>416</v>
      </c>
      <c r="D53" s="46" t="e">
        <f>+#REF!</f>
        <v>#REF!</v>
      </c>
    </row>
    <row r="54" spans="2:4" hidden="1">
      <c r="B54" s="44">
        <v>7411</v>
      </c>
      <c r="C54" s="48" t="s">
        <v>417</v>
      </c>
      <c r="D54" s="46">
        <v>0</v>
      </c>
    </row>
    <row r="55" spans="2:4">
      <c r="B55" s="49">
        <v>75</v>
      </c>
      <c r="C55" s="50" t="s">
        <v>111</v>
      </c>
      <c r="D55" s="43" t="e">
        <f>+D56</f>
        <v>#REF!</v>
      </c>
    </row>
    <row r="56" spans="2:4">
      <c r="B56" s="53">
        <v>751</v>
      </c>
      <c r="C56" s="54" t="s">
        <v>111</v>
      </c>
      <c r="D56" s="55" t="e">
        <f>+D57+D58</f>
        <v>#REF!</v>
      </c>
    </row>
    <row r="57" spans="2:4">
      <c r="B57" s="51">
        <v>7511</v>
      </c>
      <c r="C57" s="48" t="s">
        <v>144</v>
      </c>
      <c r="D57" s="46" t="e">
        <f>+#REF!</f>
        <v>#REF!</v>
      </c>
    </row>
    <row r="58" spans="2:4" ht="15" thickBot="1">
      <c r="B58" s="56">
        <v>7512</v>
      </c>
      <c r="C58" s="57" t="s">
        <v>122</v>
      </c>
      <c r="D58" s="58" t="e">
        <f>+#REF!</f>
        <v>#REF!</v>
      </c>
    </row>
    <row r="59" spans="2:4" ht="1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D2:G24"/>
  <sheetViews>
    <sheetView workbookViewId="0">
      <selection activeCell="G24" sqref="G24"/>
    </sheetView>
  </sheetViews>
  <sheetFormatPr defaultColWidth="9.08984375" defaultRowHeight="14.5"/>
  <cols>
    <col min="1" max="3" width="9.08984375" style="29"/>
    <col min="4" max="4" width="44.36328125" style="29" customWidth="1"/>
    <col min="5" max="5" width="18.36328125" style="29" customWidth="1"/>
    <col min="6" max="6" width="9.08984375" style="29"/>
    <col min="7" max="7" width="14.54296875" style="29" bestFit="1" customWidth="1"/>
    <col min="8" max="16384" width="9.08984375" style="29"/>
  </cols>
  <sheetData>
    <row r="2" spans="4:7" ht="15" thickBot="1"/>
    <row r="3" spans="4:7" ht="15.5" thickTop="1" thickBot="1">
      <c r="D3" s="59" t="s">
        <v>127</v>
      </c>
      <c r="E3" s="60" t="s">
        <v>396</v>
      </c>
    </row>
    <row r="4" spans="4:7" ht="15.5" thickTop="1" thickBot="1">
      <c r="D4" s="61" t="s">
        <v>418</v>
      </c>
      <c r="E4" s="62" t="e">
        <f>+E5+E6</f>
        <v>#REF!</v>
      </c>
      <c r="G4" s="63" t="e">
        <f>+E4-#REF!</f>
        <v>#REF!</v>
      </c>
    </row>
    <row r="5" spans="4:7" ht="15" thickTop="1">
      <c r="D5" s="71" t="s">
        <v>419</v>
      </c>
      <c r="E5" s="72" t="e">
        <f>+PRIMICI!D6+PRIMICI!D14</f>
        <v>#REF!</v>
      </c>
      <c r="G5" s="65"/>
    </row>
    <row r="6" spans="4:7" ht="15" thickBot="1">
      <c r="D6" s="73" t="s">
        <v>53</v>
      </c>
      <c r="E6" s="74" t="e">
        <f>+PRIMICI!D19+PRIMICI!D24+PRIMICI!D31+PRIMICI!D44</f>
        <v>#REF!</v>
      </c>
      <c r="G6" s="65"/>
    </row>
    <row r="7" spans="4:7" ht="15.5" thickTop="1" thickBot="1">
      <c r="D7" s="66" t="s">
        <v>420</v>
      </c>
      <c r="E7" s="62" t="e">
        <f>+E8+E9</f>
        <v>#REF!</v>
      </c>
      <c r="G7" s="63" t="e">
        <f>+E7-#REF!</f>
        <v>#REF!</v>
      </c>
    </row>
    <row r="8" spans="4:7" ht="15" thickTop="1">
      <c r="D8" s="75" t="s">
        <v>126</v>
      </c>
      <c r="E8" s="72" t="e">
        <f>+#REF!</f>
        <v>#REF!</v>
      </c>
      <c r="G8" s="65"/>
    </row>
    <row r="9" spans="4:7" ht="15" thickBot="1">
      <c r="D9" s="73" t="s">
        <v>421</v>
      </c>
      <c r="E9" s="74" t="e">
        <f>+#REF!</f>
        <v>#REF!</v>
      </c>
      <c r="G9" s="65"/>
    </row>
    <row r="10" spans="4:7" ht="15.5" thickTop="1" thickBot="1">
      <c r="D10" s="67" t="s">
        <v>422</v>
      </c>
      <c r="E10" s="62" t="e">
        <f>+E4-E7</f>
        <v>#REF!</v>
      </c>
      <c r="G10" s="63" t="e">
        <f>+E10-#REF!</f>
        <v>#REF!</v>
      </c>
    </row>
    <row r="11" spans="4:7" ht="15.5" thickTop="1" thickBot="1">
      <c r="D11" s="67" t="s">
        <v>423</v>
      </c>
      <c r="E11" s="62" t="e">
        <f>+#REF!</f>
        <v>#REF!</v>
      </c>
      <c r="G11" s="65"/>
    </row>
    <row r="12" spans="4:7" ht="15.5" thickTop="1" thickBot="1">
      <c r="D12" s="67" t="s">
        <v>424</v>
      </c>
      <c r="E12" s="62" t="e">
        <f>+E13+E14+E15</f>
        <v>#REF!</v>
      </c>
      <c r="G12" s="63" t="e">
        <f>+E12-#REF!</f>
        <v>#REF!</v>
      </c>
    </row>
    <row r="13" spans="4:7" ht="15.5" thickTop="1" thickBot="1">
      <c r="D13" s="76" t="s">
        <v>158</v>
      </c>
      <c r="E13" s="72" t="e">
        <f>+#REF!</f>
        <v>#REF!</v>
      </c>
      <c r="G13" s="65"/>
    </row>
    <row r="14" spans="4:7" ht="15.5" thickTop="1" thickBot="1">
      <c r="D14" s="77" t="s">
        <v>159</v>
      </c>
      <c r="E14" s="72" t="e">
        <f>+#REF!</f>
        <v>#REF!</v>
      </c>
      <c r="G14" s="65"/>
    </row>
    <row r="15" spans="4:7" ht="15.5" thickTop="1" thickBot="1">
      <c r="D15" s="78" t="s">
        <v>160</v>
      </c>
      <c r="E15" s="72" t="e">
        <f>+#REF!</f>
        <v>#REF!</v>
      </c>
      <c r="G15" s="65"/>
    </row>
    <row r="16" spans="4:7" ht="15" hidden="1" thickBot="1">
      <c r="D16" s="68" t="s">
        <v>113</v>
      </c>
      <c r="E16" s="64">
        <v>0</v>
      </c>
      <c r="G16" s="65"/>
    </row>
    <row r="17" spans="4:7" ht="15.5" thickTop="1" thickBot="1">
      <c r="D17" s="67" t="s">
        <v>425</v>
      </c>
      <c r="E17" s="62" t="e">
        <f>+E10-E12</f>
        <v>#REF!</v>
      </c>
      <c r="G17" s="63" t="e">
        <f>+E17-#REF!</f>
        <v>#REF!</v>
      </c>
    </row>
    <row r="18" spans="4:7" ht="15.5" thickTop="1" thickBot="1">
      <c r="D18" s="67" t="s">
        <v>426</v>
      </c>
      <c r="E18" s="62" t="e">
        <f>SUM(E19:E23)</f>
        <v>#REF!</v>
      </c>
      <c r="G18" s="63" t="e">
        <f>+E18-#REF!</f>
        <v>#REF!</v>
      </c>
    </row>
    <row r="19" spans="4:7" ht="15.5" thickTop="1" thickBot="1">
      <c r="D19" s="76" t="s">
        <v>144</v>
      </c>
      <c r="E19" s="72" t="e">
        <f>+#REF!</f>
        <v>#REF!</v>
      </c>
      <c r="G19" s="65"/>
    </row>
    <row r="20" spans="4:7" ht="15.5" thickTop="1" thickBot="1">
      <c r="D20" s="77" t="s">
        <v>122</v>
      </c>
      <c r="E20" s="72" t="e">
        <f>+#REF!</f>
        <v>#REF!</v>
      </c>
      <c r="G20" s="65"/>
    </row>
    <row r="21" spans="4:7" ht="15.5" thickTop="1" thickBot="1">
      <c r="D21" s="77" t="s">
        <v>123</v>
      </c>
      <c r="E21" s="72" t="e">
        <f>+#REF!</f>
        <v>#REF!</v>
      </c>
      <c r="G21" s="65"/>
    </row>
    <row r="22" spans="4:7" ht="15" thickTop="1">
      <c r="D22" s="77" t="s">
        <v>124</v>
      </c>
      <c r="E22" s="72" t="e">
        <f>+#REF!</f>
        <v>#REF!</v>
      </c>
      <c r="G22" s="65"/>
    </row>
    <row r="23" spans="4:7" ht="15" thickBot="1">
      <c r="D23" s="78" t="s">
        <v>161</v>
      </c>
      <c r="E23" s="79" t="e">
        <f>-E17-SUM(E19:E22)</f>
        <v>#REF!</v>
      </c>
      <c r="G23" s="69" t="e">
        <f>+E23-#REF!</f>
        <v>#REF!</v>
      </c>
    </row>
    <row r="24" spans="4:7" ht="1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W444"/>
  <sheetViews>
    <sheetView topLeftCell="C324" workbookViewId="0">
      <selection activeCell="G429" sqref="G429"/>
    </sheetView>
  </sheetViews>
  <sheetFormatPr defaultColWidth="9.08984375" defaultRowHeight="13"/>
  <cols>
    <col min="1" max="1" width="2" style="11" customWidth="1"/>
    <col min="2" max="2" width="62" style="11" customWidth="1"/>
    <col min="3" max="3" width="63.08984375" style="11" customWidth="1"/>
    <col min="4" max="4" width="41.6328125" style="11" customWidth="1"/>
    <col min="5" max="5" width="20" style="11" customWidth="1"/>
    <col min="6" max="6" width="8.54296875" style="11" customWidth="1"/>
    <col min="7" max="7" width="5.453125" style="11" customWidth="1"/>
    <col min="8" max="8" width="6.453125" style="11" customWidth="1"/>
    <col min="9" max="9" width="8" style="11" customWidth="1"/>
    <col min="10" max="10" width="6.453125" style="11" customWidth="1"/>
    <col min="11" max="11" width="9.36328125" style="11" customWidth="1"/>
    <col min="12" max="12" width="7.453125" style="11" customWidth="1"/>
    <col min="13" max="13" width="17" style="11" customWidth="1"/>
    <col min="14" max="14" width="8.90625" style="11" customWidth="1"/>
    <col min="15" max="15" width="83.08984375" style="11" customWidth="1"/>
    <col min="16" max="16" width="6.453125" style="11" customWidth="1"/>
    <col min="17" max="17" width="5.453125" style="11" customWidth="1"/>
    <col min="18" max="18" width="6.453125" style="11" customWidth="1"/>
    <col min="19" max="19" width="2.6328125" style="11" customWidth="1"/>
    <col min="20" max="20" width="6.54296875" style="11" customWidth="1"/>
    <col min="21" max="21" width="5.6328125" style="11" customWidth="1"/>
    <col min="22" max="22" width="11.6328125" style="1" customWidth="1"/>
    <col min="23" max="16384" width="9.08984375" style="1"/>
  </cols>
  <sheetData>
    <row r="1" spans="1:3">
      <c r="A1" s="10">
        <v>2</v>
      </c>
      <c r="B1" s="11" t="s">
        <v>251</v>
      </c>
    </row>
    <row r="3" spans="1:3">
      <c r="B3" s="345" t="s">
        <v>196</v>
      </c>
      <c r="C3" s="345"/>
    </row>
    <row r="5" spans="1:3" ht="15" customHeight="1">
      <c r="B5" s="11" t="s">
        <v>199</v>
      </c>
      <c r="C5" s="11" t="s">
        <v>197</v>
      </c>
    </row>
    <row r="6" spans="1:3">
      <c r="B6" s="11" t="s">
        <v>200</v>
      </c>
      <c r="C6" s="11" t="s">
        <v>198</v>
      </c>
    </row>
    <row r="8" spans="1:3">
      <c r="B8" s="11" t="s">
        <v>208</v>
      </c>
      <c r="C8" s="11" t="s">
        <v>365</v>
      </c>
    </row>
    <row r="9" spans="1:3">
      <c r="B9" s="11" t="s">
        <v>206</v>
      </c>
      <c r="C9" s="11" t="s">
        <v>207</v>
      </c>
    </row>
    <row r="10" spans="1:3">
      <c r="B10" s="11" t="s">
        <v>213</v>
      </c>
      <c r="C10" s="11" t="s">
        <v>215</v>
      </c>
    </row>
    <row r="11" spans="1:3">
      <c r="B11" s="11" t="s">
        <v>214</v>
      </c>
      <c r="C11" s="11" t="s">
        <v>212</v>
      </c>
    </row>
    <row r="12" spans="1:3">
      <c r="B12" s="11" t="s">
        <v>216</v>
      </c>
      <c r="C12" s="11" t="s">
        <v>217</v>
      </c>
    </row>
    <row r="13" spans="1:3">
      <c r="B13" s="11" t="s">
        <v>211</v>
      </c>
      <c r="C13" s="11" t="s">
        <v>366</v>
      </c>
    </row>
    <row r="14" spans="1:3">
      <c r="B14" s="11" t="s">
        <v>367</v>
      </c>
      <c r="C14" s="11" t="s">
        <v>368</v>
      </c>
    </row>
    <row r="15" spans="1:3">
      <c r="B15" s="11" t="s">
        <v>209</v>
      </c>
      <c r="C15" s="11" t="s">
        <v>210</v>
      </c>
    </row>
    <row r="16" spans="1:3">
      <c r="B16" s="11" t="s">
        <v>201</v>
      </c>
      <c r="C16" s="11" t="s">
        <v>202</v>
      </c>
    </row>
    <row r="17" spans="2:3" ht="15" customHeight="1">
      <c r="B17" s="11" t="s">
        <v>203</v>
      </c>
      <c r="C17" s="11" t="s">
        <v>290</v>
      </c>
    </row>
    <row r="18" spans="2:3">
      <c r="B18" s="11" t="s">
        <v>369</v>
      </c>
      <c r="C18" s="11" t="s">
        <v>370</v>
      </c>
    </row>
    <row r="19" spans="2:3">
      <c r="B19" s="11" t="s">
        <v>291</v>
      </c>
      <c r="C19" s="11" t="s">
        <v>292</v>
      </c>
    </row>
    <row r="21" spans="2:3">
      <c r="B21" s="11" t="s">
        <v>221</v>
      </c>
      <c r="C21" s="11" t="s">
        <v>222</v>
      </c>
    </row>
    <row r="22" spans="2:3">
      <c r="B22" s="11" t="s">
        <v>204</v>
      </c>
      <c r="C22" s="11" t="s">
        <v>205</v>
      </c>
    </row>
    <row r="24" spans="2:3">
      <c r="B24" s="11" t="s">
        <v>331</v>
      </c>
    </row>
    <row r="25" spans="2:3">
      <c r="B25" s="11" t="s">
        <v>220</v>
      </c>
    </row>
    <row r="27" spans="2:3">
      <c r="B27" s="12" t="s">
        <v>172</v>
      </c>
    </row>
    <row r="28" spans="2:3">
      <c r="B28" s="12" t="s">
        <v>171</v>
      </c>
    </row>
    <row r="30" spans="2:3">
      <c r="B30" s="11" t="s">
        <v>218</v>
      </c>
    </row>
    <row r="31" spans="2:3">
      <c r="B31" s="11" t="s">
        <v>219</v>
      </c>
    </row>
    <row r="37" spans="2:20">
      <c r="B37" s="345" t="s">
        <v>244</v>
      </c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</row>
    <row r="40" spans="2:20" ht="12.75" customHeight="1">
      <c r="B40" s="348" t="s">
        <v>239</v>
      </c>
      <c r="C40" s="348"/>
      <c r="D40" s="349" t="s">
        <v>245</v>
      </c>
      <c r="E40" s="349"/>
      <c r="F40" s="348" t="s">
        <v>240</v>
      </c>
      <c r="G40" s="348"/>
      <c r="H40" s="348"/>
      <c r="I40" s="2" t="s">
        <v>241</v>
      </c>
      <c r="J40" s="348" t="s">
        <v>242</v>
      </c>
      <c r="K40" s="348"/>
      <c r="L40" s="348"/>
      <c r="M40" s="348" t="s">
        <v>243</v>
      </c>
      <c r="N40" s="348"/>
      <c r="O40" s="348"/>
      <c r="P40" s="348"/>
    </row>
    <row r="41" spans="2:20">
      <c r="B41" s="348"/>
      <c r="C41" s="348"/>
      <c r="D41" s="349"/>
      <c r="E41" s="349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46" t="s">
        <v>223</v>
      </c>
      <c r="C42" s="15" t="s">
        <v>224</v>
      </c>
      <c r="D42" s="350" t="s">
        <v>181</v>
      </c>
      <c r="E42" s="16" t="s">
        <v>182</v>
      </c>
      <c r="F42" s="350" t="s">
        <v>247</v>
      </c>
      <c r="G42" s="350"/>
      <c r="H42" s="350"/>
      <c r="I42" s="17" t="s">
        <v>248</v>
      </c>
      <c r="J42" s="351" t="s">
        <v>249</v>
      </c>
      <c r="K42" s="351"/>
      <c r="L42" s="351"/>
      <c r="M42" s="350" t="s">
        <v>250</v>
      </c>
      <c r="N42" s="350"/>
      <c r="O42" s="350"/>
      <c r="P42" s="350"/>
    </row>
    <row r="43" spans="2:20">
      <c r="B43" s="346"/>
      <c r="C43" s="18" t="s">
        <v>225</v>
      </c>
      <c r="D43" s="350"/>
      <c r="E43" s="16" t="s">
        <v>183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46"/>
      <c r="C44" s="15" t="s">
        <v>226</v>
      </c>
      <c r="D44" s="350"/>
      <c r="E44" s="16" t="s">
        <v>184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46"/>
      <c r="C45" s="15" t="s">
        <v>227</v>
      </c>
      <c r="D45" s="350"/>
      <c r="E45" s="17" t="s">
        <v>185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46"/>
      <c r="C46" s="15" t="s">
        <v>228</v>
      </c>
      <c r="D46" s="350"/>
      <c r="E46" s="17" t="s">
        <v>186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46"/>
      <c r="C47" s="15" t="s">
        <v>229</v>
      </c>
      <c r="D47" s="350"/>
      <c r="E47" s="16" t="s">
        <v>187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46"/>
      <c r="C48" s="15" t="s">
        <v>230</v>
      </c>
      <c r="D48" s="350"/>
      <c r="E48" s="17" t="s">
        <v>188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46"/>
      <c r="C49" s="19" t="s">
        <v>231</v>
      </c>
      <c r="D49" s="350"/>
      <c r="E49" s="16" t="s">
        <v>246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46"/>
      <c r="C50" s="15" t="s">
        <v>232</v>
      </c>
      <c r="D50" s="350"/>
      <c r="E50" s="17" t="s">
        <v>189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46"/>
      <c r="C51" s="15" t="s">
        <v>379</v>
      </c>
      <c r="D51" s="350"/>
      <c r="E51" s="17" t="s">
        <v>380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47" t="s">
        <v>233</v>
      </c>
      <c r="C52" s="20" t="s">
        <v>234</v>
      </c>
      <c r="D52" s="350" t="s">
        <v>190</v>
      </c>
      <c r="E52" s="17" t="s">
        <v>191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47"/>
      <c r="C53" s="20" t="s">
        <v>235</v>
      </c>
      <c r="D53" s="350"/>
      <c r="E53" s="17" t="s">
        <v>192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47"/>
      <c r="C54" s="20" t="s">
        <v>236</v>
      </c>
      <c r="D54" s="350"/>
      <c r="E54" s="17" t="s">
        <v>374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47"/>
      <c r="C55" s="20" t="s">
        <v>375</v>
      </c>
      <c r="D55" s="350"/>
      <c r="E55" s="20" t="s">
        <v>377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47"/>
      <c r="C56" s="20" t="s">
        <v>80</v>
      </c>
      <c r="D56" s="350"/>
      <c r="E56" s="17" t="s">
        <v>193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47"/>
      <c r="C57" s="20" t="s">
        <v>237</v>
      </c>
      <c r="D57" s="350"/>
      <c r="E57" s="17" t="s">
        <v>194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47"/>
      <c r="C58" s="20" t="s">
        <v>376</v>
      </c>
      <c r="D58" s="350"/>
      <c r="E58" s="17" t="s">
        <v>378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47"/>
      <c r="C59" s="20" t="s">
        <v>238</v>
      </c>
      <c r="D59" s="350"/>
      <c r="E59" s="17" t="s">
        <v>195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333</v>
      </c>
      <c r="D60" s="11" t="s">
        <v>332</v>
      </c>
    </row>
    <row r="62" spans="2:20">
      <c r="B62" s="345" t="s">
        <v>252</v>
      </c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</row>
    <row r="66" spans="2:22">
      <c r="B66" s="11" t="s">
        <v>371</v>
      </c>
    </row>
    <row r="67" spans="2:22">
      <c r="B67" s="11" t="s">
        <v>372</v>
      </c>
      <c r="M67" s="11" t="s">
        <v>338</v>
      </c>
      <c r="O67" s="11" t="s">
        <v>381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337</v>
      </c>
      <c r="N68" s="22"/>
      <c r="O68" s="23" t="s">
        <v>382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127</v>
      </c>
      <c r="C70" s="6" t="s">
        <v>263</v>
      </c>
      <c r="D70" s="6" t="s">
        <v>150</v>
      </c>
      <c r="E70" s="6" t="s">
        <v>263</v>
      </c>
      <c r="F70" s="6" t="s">
        <v>150</v>
      </c>
      <c r="G70" s="6" t="s">
        <v>263</v>
      </c>
      <c r="H70" s="6" t="s">
        <v>150</v>
      </c>
      <c r="I70" s="6" t="s">
        <v>263</v>
      </c>
      <c r="J70" s="6" t="s">
        <v>150</v>
      </c>
      <c r="K70" s="6" t="s">
        <v>263</v>
      </c>
      <c r="L70" s="6" t="s">
        <v>150</v>
      </c>
      <c r="M70" s="6" t="s">
        <v>263</v>
      </c>
      <c r="N70" s="6" t="s">
        <v>150</v>
      </c>
      <c r="O70" s="6" t="s">
        <v>263</v>
      </c>
      <c r="P70" s="6" t="s">
        <v>150</v>
      </c>
      <c r="Q70" s="6" t="s">
        <v>263</v>
      </c>
      <c r="R70" s="6" t="s">
        <v>150</v>
      </c>
      <c r="S70" s="6" t="s">
        <v>263</v>
      </c>
      <c r="T70" s="6" t="s">
        <v>150</v>
      </c>
      <c r="U70" s="6" t="s">
        <v>263</v>
      </c>
      <c r="V70" s="3" t="s">
        <v>150</v>
      </c>
    </row>
    <row r="71" spans="2:22">
      <c r="B71" s="5" t="s">
        <v>253</v>
      </c>
      <c r="C71" s="6" t="s">
        <v>263</v>
      </c>
      <c r="D71" s="6" t="s">
        <v>166</v>
      </c>
      <c r="E71" s="6" t="s">
        <v>263</v>
      </c>
      <c r="F71" s="6" t="s">
        <v>166</v>
      </c>
      <c r="G71" s="6" t="s">
        <v>263</v>
      </c>
      <c r="H71" s="6" t="s">
        <v>166</v>
      </c>
      <c r="I71" s="6" t="s">
        <v>263</v>
      </c>
      <c r="J71" s="6" t="s">
        <v>166</v>
      </c>
      <c r="K71" s="6" t="s">
        <v>263</v>
      </c>
      <c r="L71" s="6" t="s">
        <v>166</v>
      </c>
      <c r="M71" s="6" t="s">
        <v>263</v>
      </c>
      <c r="N71" s="6" t="s">
        <v>166</v>
      </c>
      <c r="O71" s="6" t="s">
        <v>263</v>
      </c>
      <c r="P71" s="6" t="s">
        <v>166</v>
      </c>
      <c r="Q71" s="6" t="s">
        <v>263</v>
      </c>
      <c r="R71" s="6" t="s">
        <v>166</v>
      </c>
      <c r="S71" s="6" t="s">
        <v>263</v>
      </c>
      <c r="T71" s="6" t="s">
        <v>166</v>
      </c>
      <c r="U71" s="6" t="s">
        <v>263</v>
      </c>
      <c r="V71" s="3" t="s">
        <v>166</v>
      </c>
    </row>
    <row r="72" spans="2:22">
      <c r="B72" s="7" t="s">
        <v>128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167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69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254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175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168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169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255</v>
      </c>
      <c r="C103" s="12" t="s">
        <v>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62</v>
      </c>
      <c r="C104" s="12" t="s">
        <v>340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126</v>
      </c>
      <c r="C105" s="12" t="s">
        <v>170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63</v>
      </c>
      <c r="C106" s="12" t="s">
        <v>341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64</v>
      </c>
      <c r="C107" s="12" t="s">
        <v>65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66</v>
      </c>
      <c r="C108" s="12" t="s">
        <v>67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68</v>
      </c>
      <c r="C109" s="12" t="s">
        <v>69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70</v>
      </c>
      <c r="C110" s="12" t="s">
        <v>71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72</v>
      </c>
      <c r="C111" s="12" t="s">
        <v>73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129</v>
      </c>
      <c r="C112" s="12" t="s">
        <v>179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75</v>
      </c>
      <c r="C113" s="12" t="s">
        <v>76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77</v>
      </c>
      <c r="C114" s="12" t="s">
        <v>78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79</v>
      </c>
      <c r="C115" s="12" t="s">
        <v>151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80</v>
      </c>
      <c r="C116" s="12" t="s">
        <v>81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82</v>
      </c>
      <c r="C117" s="12" t="s">
        <v>83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84</v>
      </c>
      <c r="C118" s="12" t="s">
        <v>85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86</v>
      </c>
      <c r="C119" s="12" t="s">
        <v>342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130</v>
      </c>
      <c r="C120" s="12" t="s">
        <v>180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87</v>
      </c>
      <c r="C121" s="12" t="s">
        <v>88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89</v>
      </c>
      <c r="C122" s="12" t="s">
        <v>90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91</v>
      </c>
      <c r="C123" s="12" t="s">
        <v>92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93</v>
      </c>
      <c r="C124" s="12" t="s">
        <v>94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95</v>
      </c>
      <c r="C125" s="12" t="s">
        <v>96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97</v>
      </c>
      <c r="C126" s="12" t="s">
        <v>98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100</v>
      </c>
      <c r="C127" s="12" t="s">
        <v>101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102</v>
      </c>
      <c r="C128" s="12" t="s">
        <v>103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104</v>
      </c>
      <c r="C129" s="12" t="s">
        <v>105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106</v>
      </c>
      <c r="C130" s="12" t="s">
        <v>107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108</v>
      </c>
      <c r="C131" s="12" t="s">
        <v>173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109</v>
      </c>
      <c r="C132" s="12" t="s">
        <v>174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131</v>
      </c>
      <c r="C133" s="12" t="s">
        <v>176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111</v>
      </c>
      <c r="C134" s="12" t="s">
        <v>112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118</v>
      </c>
      <c r="C135" s="12" t="s">
        <v>119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152</v>
      </c>
      <c r="C136" s="12" t="s">
        <v>177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132</v>
      </c>
      <c r="C137" s="12" t="s">
        <v>120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133</v>
      </c>
      <c r="C138" s="12" t="s">
        <v>178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134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135</v>
      </c>
      <c r="C140" s="12" t="s">
        <v>136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137</v>
      </c>
      <c r="C141" s="12" t="s">
        <v>138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116</v>
      </c>
      <c r="C142" s="12" t="s">
        <v>139</v>
      </c>
    </row>
    <row r="143" spans="2:20">
      <c r="B143" s="9" t="s">
        <v>113</v>
      </c>
      <c r="C143" s="12" t="s">
        <v>140</v>
      </c>
    </row>
    <row r="144" spans="2:20">
      <c r="B144" s="9" t="s">
        <v>141</v>
      </c>
      <c r="C144" s="12" t="s">
        <v>142</v>
      </c>
    </row>
    <row r="145" spans="2:22">
      <c r="B145" s="9" t="s">
        <v>121</v>
      </c>
      <c r="C145" s="12" t="s">
        <v>143</v>
      </c>
    </row>
    <row r="146" spans="2:22">
      <c r="B146" s="9" t="s">
        <v>144</v>
      </c>
      <c r="C146" s="12" t="s">
        <v>145</v>
      </c>
    </row>
    <row r="147" spans="2:22">
      <c r="B147" s="9" t="s">
        <v>122</v>
      </c>
      <c r="C147" s="12" t="s">
        <v>146</v>
      </c>
    </row>
    <row r="148" spans="2:22">
      <c r="B148" s="9" t="s">
        <v>123</v>
      </c>
      <c r="C148" s="12" t="s">
        <v>147</v>
      </c>
    </row>
    <row r="149" spans="2:22">
      <c r="B149" s="9" t="s">
        <v>329</v>
      </c>
      <c r="C149" s="12" t="s">
        <v>148</v>
      </c>
    </row>
    <row r="150" spans="2:22">
      <c r="B150" s="9" t="s">
        <v>125</v>
      </c>
      <c r="C150" s="12" t="s">
        <v>149</v>
      </c>
    </row>
    <row r="151" spans="2:22">
      <c r="B151" s="11" t="s">
        <v>266</v>
      </c>
      <c r="C151" s="11" t="s">
        <v>267</v>
      </c>
    </row>
    <row r="154" spans="2:22">
      <c r="B154" s="345" t="s">
        <v>256</v>
      </c>
      <c r="C154" s="345"/>
      <c r="D154" s="345"/>
      <c r="E154" s="345"/>
      <c r="F154" s="345"/>
      <c r="G154" s="345"/>
      <c r="H154" s="345"/>
      <c r="I154" s="345"/>
      <c r="J154" s="345"/>
      <c r="K154" s="345"/>
      <c r="L154" s="345"/>
      <c r="M154" s="345"/>
      <c r="N154" s="345"/>
      <c r="O154" s="345"/>
      <c r="P154" s="345"/>
      <c r="Q154" s="345"/>
      <c r="R154" s="345"/>
      <c r="S154" s="345"/>
      <c r="T154" s="345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259</v>
      </c>
      <c r="C159" s="11" t="s">
        <v>263</v>
      </c>
      <c r="D159" s="11" t="s">
        <v>153</v>
      </c>
      <c r="E159" s="11" t="s">
        <v>263</v>
      </c>
      <c r="F159" s="11" t="s">
        <v>153</v>
      </c>
      <c r="G159" s="11" t="s">
        <v>263</v>
      </c>
      <c r="H159" s="11" t="s">
        <v>153</v>
      </c>
      <c r="I159" s="11" t="s">
        <v>263</v>
      </c>
      <c r="J159" s="11" t="s">
        <v>153</v>
      </c>
      <c r="K159" s="11" t="s">
        <v>263</v>
      </c>
      <c r="L159" s="11" t="s">
        <v>153</v>
      </c>
      <c r="M159" s="11" t="s">
        <v>263</v>
      </c>
      <c r="N159" s="11" t="s">
        <v>153</v>
      </c>
      <c r="O159" s="11" t="s">
        <v>263</v>
      </c>
      <c r="P159" s="11" t="s">
        <v>153</v>
      </c>
      <c r="Q159" s="11" t="s">
        <v>263</v>
      </c>
      <c r="R159" s="11" t="s">
        <v>153</v>
      </c>
      <c r="S159" s="11" t="s">
        <v>263</v>
      </c>
      <c r="T159" s="11" t="s">
        <v>153</v>
      </c>
      <c r="U159" s="11" t="s">
        <v>263</v>
      </c>
      <c r="V159" s="1" t="s">
        <v>153</v>
      </c>
    </row>
    <row r="160" spans="2:22">
      <c r="B160" s="11" t="s">
        <v>258</v>
      </c>
      <c r="C160" s="11" t="s">
        <v>263</v>
      </c>
      <c r="D160" s="11" t="s">
        <v>257</v>
      </c>
      <c r="E160" s="11" t="s">
        <v>263</v>
      </c>
      <c r="F160" s="11" t="s">
        <v>257</v>
      </c>
      <c r="G160" s="11" t="s">
        <v>263</v>
      </c>
      <c r="H160" s="11" t="s">
        <v>257</v>
      </c>
      <c r="I160" s="11" t="s">
        <v>263</v>
      </c>
      <c r="J160" s="11" t="s">
        <v>257</v>
      </c>
      <c r="K160" s="11" t="s">
        <v>263</v>
      </c>
      <c r="L160" s="11" t="s">
        <v>257</v>
      </c>
      <c r="M160" s="11" t="s">
        <v>263</v>
      </c>
      <c r="N160" s="11" t="s">
        <v>257</v>
      </c>
      <c r="O160" s="11" t="s">
        <v>263</v>
      </c>
      <c r="P160" s="11" t="s">
        <v>257</v>
      </c>
      <c r="Q160" s="11" t="s">
        <v>263</v>
      </c>
      <c r="R160" s="11" t="s">
        <v>257</v>
      </c>
      <c r="S160" s="11" t="s">
        <v>263</v>
      </c>
      <c r="T160" s="11" t="s">
        <v>257</v>
      </c>
      <c r="U160" s="11" t="s">
        <v>263</v>
      </c>
      <c r="V160" s="1" t="s">
        <v>257</v>
      </c>
    </row>
    <row r="161" spans="2:3">
      <c r="B161" s="11" t="s">
        <v>261</v>
      </c>
      <c r="C161" s="11" t="s">
        <v>260</v>
      </c>
    </row>
    <row r="162" spans="2:3">
      <c r="B162" s="11" t="s">
        <v>128</v>
      </c>
      <c r="C162" s="11" t="s">
        <v>1</v>
      </c>
    </row>
    <row r="163" spans="2:3">
      <c r="B163" s="11" t="s">
        <v>2</v>
      </c>
      <c r="C163" s="11" t="s">
        <v>167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264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175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268</v>
      </c>
    </row>
    <row r="181" spans="2:3">
      <c r="B181" s="11" t="s">
        <v>36</v>
      </c>
      <c r="C181" s="11" t="s">
        <v>273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168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162</v>
      </c>
      <c r="C186" s="11" t="s">
        <v>278</v>
      </c>
    </row>
    <row r="187" spans="2:3">
      <c r="B187" s="11" t="s">
        <v>44</v>
      </c>
      <c r="C187" s="11" t="s">
        <v>277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269</v>
      </c>
    </row>
    <row r="191" spans="2:3">
      <c r="B191" s="11" t="s">
        <v>50</v>
      </c>
      <c r="C191" s="11" t="s">
        <v>169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255</v>
      </c>
      <c r="C198" s="11" t="s">
        <v>61</v>
      </c>
    </row>
    <row r="199" spans="2:3">
      <c r="B199" s="11" t="s">
        <v>123</v>
      </c>
      <c r="C199" s="11" t="s">
        <v>147</v>
      </c>
    </row>
    <row r="200" spans="2:3">
      <c r="B200" s="11" t="s">
        <v>62</v>
      </c>
      <c r="C200" s="11" t="s">
        <v>340</v>
      </c>
    </row>
    <row r="201" spans="2:3">
      <c r="B201" s="11" t="s">
        <v>262</v>
      </c>
      <c r="C201" s="11" t="s">
        <v>270</v>
      </c>
    </row>
    <row r="202" spans="2:3">
      <c r="B202" s="11" t="s">
        <v>63</v>
      </c>
      <c r="C202" s="11" t="s">
        <v>341</v>
      </c>
    </row>
    <row r="203" spans="2:3">
      <c r="B203" s="11" t="s">
        <v>64</v>
      </c>
      <c r="C203" s="11" t="s">
        <v>65</v>
      </c>
    </row>
    <row r="204" spans="2:3">
      <c r="B204" s="11" t="s">
        <v>66</v>
      </c>
      <c r="C204" s="11" t="s">
        <v>67</v>
      </c>
    </row>
    <row r="205" spans="2:3">
      <c r="B205" s="11" t="s">
        <v>68</v>
      </c>
      <c r="C205" s="11" t="s">
        <v>69</v>
      </c>
    </row>
    <row r="206" spans="2:3">
      <c r="B206" s="11" t="s">
        <v>70</v>
      </c>
      <c r="C206" s="11" t="s">
        <v>71</v>
      </c>
    </row>
    <row r="207" spans="2:3">
      <c r="B207" s="11" t="s">
        <v>72</v>
      </c>
      <c r="C207" s="11" t="s">
        <v>73</v>
      </c>
    </row>
    <row r="208" spans="2:3">
      <c r="B208" s="11" t="s">
        <v>74</v>
      </c>
      <c r="C208" s="11" t="s">
        <v>271</v>
      </c>
    </row>
    <row r="209" spans="2:3">
      <c r="B209" s="11" t="s">
        <v>75</v>
      </c>
      <c r="C209" s="11" t="s">
        <v>76</v>
      </c>
    </row>
    <row r="210" spans="2:3">
      <c r="B210" s="11" t="s">
        <v>77</v>
      </c>
      <c r="C210" s="11" t="s">
        <v>78</v>
      </c>
    </row>
    <row r="211" spans="2:3">
      <c r="B211" s="11" t="s">
        <v>79</v>
      </c>
      <c r="C211" s="11" t="s">
        <v>272</v>
      </c>
    </row>
    <row r="212" spans="2:3">
      <c r="B212" s="11" t="s">
        <v>80</v>
      </c>
      <c r="C212" s="11" t="s">
        <v>81</v>
      </c>
    </row>
    <row r="213" spans="2:3">
      <c r="B213" s="11" t="s">
        <v>82</v>
      </c>
      <c r="C213" s="11" t="s">
        <v>83</v>
      </c>
    </row>
    <row r="214" spans="2:3">
      <c r="B214" s="11" t="s">
        <v>84</v>
      </c>
      <c r="C214" s="11" t="s">
        <v>85</v>
      </c>
    </row>
    <row r="215" spans="2:3">
      <c r="B215" s="11" t="s">
        <v>86</v>
      </c>
      <c r="C215" s="11" t="s">
        <v>342</v>
      </c>
    </row>
    <row r="216" spans="2:3">
      <c r="B216" s="11" t="s">
        <v>87</v>
      </c>
      <c r="C216" s="11" t="s">
        <v>88</v>
      </c>
    </row>
    <row r="217" spans="2:3">
      <c r="B217" s="11" t="s">
        <v>89</v>
      </c>
      <c r="C217" s="11" t="s">
        <v>90</v>
      </c>
    </row>
    <row r="218" spans="2:3">
      <c r="B218" s="11" t="s">
        <v>91</v>
      </c>
      <c r="C218" s="11" t="s">
        <v>92</v>
      </c>
    </row>
    <row r="219" spans="2:3">
      <c r="B219" s="11" t="s">
        <v>93</v>
      </c>
      <c r="C219" s="11" t="s">
        <v>94</v>
      </c>
    </row>
    <row r="220" spans="2:3">
      <c r="B220" s="11" t="s">
        <v>95</v>
      </c>
      <c r="C220" s="11" t="s">
        <v>96</v>
      </c>
    </row>
    <row r="221" spans="2:3">
      <c r="B221" s="11" t="s">
        <v>97</v>
      </c>
      <c r="C221" s="11" t="s">
        <v>98</v>
      </c>
    </row>
    <row r="222" spans="2:3">
      <c r="B222" s="11" t="s">
        <v>99</v>
      </c>
      <c r="C222" s="11" t="s">
        <v>101</v>
      </c>
    </row>
    <row r="223" spans="2:3">
      <c r="B223" s="11" t="s">
        <v>102</v>
      </c>
      <c r="C223" s="11" t="s">
        <v>103</v>
      </c>
    </row>
    <row r="224" spans="2:3">
      <c r="B224" s="11" t="s">
        <v>104</v>
      </c>
      <c r="C224" s="11" t="s">
        <v>105</v>
      </c>
    </row>
    <row r="225" spans="2:3">
      <c r="B225" s="11" t="s">
        <v>106</v>
      </c>
      <c r="C225" s="11" t="s">
        <v>107</v>
      </c>
    </row>
    <row r="226" spans="2:3">
      <c r="B226" s="11" t="s">
        <v>108</v>
      </c>
      <c r="C226" s="12" t="s">
        <v>173</v>
      </c>
    </row>
    <row r="227" spans="2:3">
      <c r="B227" s="11" t="s">
        <v>109</v>
      </c>
      <c r="C227" s="12" t="s">
        <v>174</v>
      </c>
    </row>
    <row r="228" spans="2:3">
      <c r="B228" s="11" t="s">
        <v>163</v>
      </c>
      <c r="C228" s="11" t="s">
        <v>343</v>
      </c>
    </row>
    <row r="229" spans="2:3">
      <c r="B229" s="11" t="s">
        <v>110</v>
      </c>
      <c r="C229" s="12" t="s">
        <v>176</v>
      </c>
    </row>
    <row r="230" spans="2:3">
      <c r="B230" s="11" t="s">
        <v>111</v>
      </c>
      <c r="C230" s="11" t="s">
        <v>112</v>
      </c>
    </row>
    <row r="231" spans="2:3">
      <c r="B231" s="11" t="s">
        <v>113</v>
      </c>
      <c r="C231" s="11" t="s">
        <v>114</v>
      </c>
    </row>
    <row r="232" spans="2:3">
      <c r="B232" s="11" t="s">
        <v>115</v>
      </c>
      <c r="C232" s="11" t="s">
        <v>117</v>
      </c>
    </row>
    <row r="233" spans="2:3">
      <c r="B233" s="11" t="s">
        <v>118</v>
      </c>
      <c r="C233" s="11" t="s">
        <v>119</v>
      </c>
    </row>
    <row r="234" spans="2:3">
      <c r="B234" s="11" t="s">
        <v>152</v>
      </c>
      <c r="C234" s="12" t="s">
        <v>177</v>
      </c>
    </row>
    <row r="235" spans="2:3">
      <c r="B235" s="11" t="s">
        <v>265</v>
      </c>
      <c r="C235" s="11" t="s">
        <v>287</v>
      </c>
    </row>
    <row r="236" spans="2:3">
      <c r="B236" s="11" t="s">
        <v>133</v>
      </c>
      <c r="C236" s="12" t="s">
        <v>178</v>
      </c>
    </row>
    <row r="237" spans="2:3">
      <c r="B237" s="11" t="s">
        <v>0</v>
      </c>
      <c r="C237" s="12" t="s">
        <v>134</v>
      </c>
    </row>
    <row r="238" spans="2:3">
      <c r="B238" s="11" t="s">
        <v>158</v>
      </c>
      <c r="C238" s="12" t="s">
        <v>136</v>
      </c>
    </row>
    <row r="239" spans="2:3">
      <c r="B239" s="11" t="s">
        <v>159</v>
      </c>
      <c r="C239" s="12" t="s">
        <v>138</v>
      </c>
    </row>
    <row r="240" spans="2:3">
      <c r="B240" s="11" t="s">
        <v>160</v>
      </c>
      <c r="C240" s="12" t="s">
        <v>139</v>
      </c>
    </row>
    <row r="241" spans="2:21">
      <c r="B241" s="11" t="s">
        <v>113</v>
      </c>
      <c r="C241" s="12" t="s">
        <v>140</v>
      </c>
    </row>
    <row r="242" spans="2:21">
      <c r="B242" s="11" t="s">
        <v>141</v>
      </c>
      <c r="C242" s="12" t="s">
        <v>142</v>
      </c>
    </row>
    <row r="243" spans="2:21">
      <c r="B243" s="11" t="s">
        <v>121</v>
      </c>
      <c r="C243" s="12" t="s">
        <v>143</v>
      </c>
    </row>
    <row r="244" spans="2:21">
      <c r="B244" s="11" t="s">
        <v>144</v>
      </c>
      <c r="C244" s="12" t="s">
        <v>145</v>
      </c>
    </row>
    <row r="245" spans="2:21">
      <c r="B245" s="11" t="s">
        <v>122</v>
      </c>
      <c r="C245" s="12" t="s">
        <v>146</v>
      </c>
    </row>
    <row r="246" spans="2:21">
      <c r="B246" s="11" t="s">
        <v>124</v>
      </c>
      <c r="C246" s="12" t="s">
        <v>148</v>
      </c>
    </row>
    <row r="247" spans="2:21">
      <c r="B247" s="11" t="s">
        <v>123</v>
      </c>
      <c r="C247" s="5" t="s">
        <v>147</v>
      </c>
    </row>
    <row r="248" spans="2:21">
      <c r="B248" s="11" t="s">
        <v>164</v>
      </c>
      <c r="C248" s="5" t="s">
        <v>275</v>
      </c>
    </row>
    <row r="249" spans="2:21">
      <c r="B249" s="11" t="s">
        <v>165</v>
      </c>
      <c r="C249" s="5" t="s">
        <v>276</v>
      </c>
    </row>
    <row r="250" spans="2:21">
      <c r="B250" s="11" t="s">
        <v>266</v>
      </c>
      <c r="C250" s="11" t="s">
        <v>274</v>
      </c>
    </row>
    <row r="253" spans="2:21">
      <c r="B253" s="345" t="s">
        <v>279</v>
      </c>
      <c r="C253" s="345"/>
      <c r="D253" s="345"/>
      <c r="E253" s="345"/>
      <c r="F253" s="345"/>
      <c r="G253" s="345"/>
      <c r="H253" s="345"/>
      <c r="I253" s="345"/>
      <c r="J253" s="345"/>
      <c r="K253" s="345"/>
      <c r="L253" s="345"/>
      <c r="M253" s="345"/>
      <c r="N253" s="345"/>
      <c r="O253" s="345"/>
      <c r="P253" s="345"/>
      <c r="Q253" s="345"/>
      <c r="R253" s="345"/>
      <c r="S253" s="345"/>
      <c r="T253" s="345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235</v>
      </c>
      <c r="C257" s="11" t="s">
        <v>263</v>
      </c>
      <c r="D257" s="11" t="s">
        <v>153</v>
      </c>
      <c r="E257" s="11" t="s">
        <v>263</v>
      </c>
      <c r="F257" s="11" t="s">
        <v>153</v>
      </c>
      <c r="G257" s="11" t="s">
        <v>263</v>
      </c>
      <c r="H257" s="11" t="s">
        <v>153</v>
      </c>
      <c r="I257" s="11" t="s">
        <v>263</v>
      </c>
      <c r="J257" s="11" t="s">
        <v>153</v>
      </c>
      <c r="K257" s="11" t="s">
        <v>263</v>
      </c>
      <c r="L257" s="11" t="s">
        <v>153</v>
      </c>
      <c r="M257" s="11" t="s">
        <v>263</v>
      </c>
      <c r="N257" s="11" t="s">
        <v>153</v>
      </c>
      <c r="O257" s="11" t="s">
        <v>263</v>
      </c>
      <c r="P257" s="11" t="s">
        <v>153</v>
      </c>
      <c r="Q257" s="11" t="s">
        <v>263</v>
      </c>
      <c r="R257" s="11" t="s">
        <v>153</v>
      </c>
      <c r="S257" s="11" t="s">
        <v>263</v>
      </c>
      <c r="T257" s="11" t="s">
        <v>153</v>
      </c>
      <c r="U257" s="11" t="s">
        <v>263</v>
      </c>
      <c r="V257" s="1" t="s">
        <v>153</v>
      </c>
    </row>
    <row r="258" spans="2:22">
      <c r="B258" s="11" t="s">
        <v>192</v>
      </c>
      <c r="C258" s="11" t="s">
        <v>263</v>
      </c>
      <c r="D258" s="11" t="s">
        <v>257</v>
      </c>
      <c r="E258" s="11" t="s">
        <v>263</v>
      </c>
      <c r="F258" s="11" t="s">
        <v>257</v>
      </c>
      <c r="G258" s="11" t="s">
        <v>263</v>
      </c>
      <c r="H258" s="11" t="s">
        <v>257</v>
      </c>
      <c r="I258" s="11" t="s">
        <v>263</v>
      </c>
      <c r="J258" s="11" t="s">
        <v>257</v>
      </c>
      <c r="K258" s="11" t="s">
        <v>263</v>
      </c>
      <c r="L258" s="11" t="s">
        <v>257</v>
      </c>
      <c r="M258" s="11" t="s">
        <v>263</v>
      </c>
      <c r="N258" s="11" t="s">
        <v>257</v>
      </c>
      <c r="O258" s="11" t="s">
        <v>263</v>
      </c>
      <c r="P258" s="11" t="s">
        <v>257</v>
      </c>
      <c r="Q258" s="11" t="s">
        <v>263</v>
      </c>
      <c r="R258" s="11" t="s">
        <v>257</v>
      </c>
      <c r="S258" s="11" t="s">
        <v>263</v>
      </c>
      <c r="T258" s="11" t="s">
        <v>257</v>
      </c>
      <c r="U258" s="11" t="s">
        <v>263</v>
      </c>
      <c r="V258" s="1" t="s">
        <v>257</v>
      </c>
    </row>
    <row r="259" spans="2:22">
      <c r="B259" s="11" t="s">
        <v>128</v>
      </c>
      <c r="C259" s="11" t="s">
        <v>1</v>
      </c>
    </row>
    <row r="260" spans="2:22">
      <c r="B260" s="11" t="s">
        <v>2</v>
      </c>
      <c r="C260" s="11" t="s">
        <v>167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282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168</v>
      </c>
    </row>
    <row r="276" spans="2:3">
      <c r="B276" s="11" t="s">
        <v>53</v>
      </c>
      <c r="C276" s="11" t="s">
        <v>54</v>
      </c>
    </row>
    <row r="277" spans="2:3">
      <c r="B277" s="7" t="s">
        <v>255</v>
      </c>
      <c r="C277" s="11" t="s">
        <v>61</v>
      </c>
    </row>
    <row r="278" spans="2:3">
      <c r="B278" s="11" t="s">
        <v>235</v>
      </c>
      <c r="C278" s="11" t="s">
        <v>283</v>
      </c>
    </row>
    <row r="279" spans="2:3">
      <c r="B279" s="11" t="s">
        <v>280</v>
      </c>
      <c r="C279" s="11" t="s">
        <v>284</v>
      </c>
    </row>
    <row r="280" spans="2:3">
      <c r="B280" s="11" t="s">
        <v>63</v>
      </c>
      <c r="C280" s="11" t="s">
        <v>341</v>
      </c>
    </row>
    <row r="281" spans="2:3">
      <c r="B281" s="11" t="s">
        <v>64</v>
      </c>
      <c r="C281" s="11" t="s">
        <v>65</v>
      </c>
    </row>
    <row r="282" spans="2:3">
      <c r="B282" s="11" t="s">
        <v>66</v>
      </c>
      <c r="C282" s="11" t="s">
        <v>67</v>
      </c>
    </row>
    <row r="283" spans="2:3">
      <c r="B283" s="11" t="s">
        <v>68</v>
      </c>
      <c r="C283" s="11" t="s">
        <v>69</v>
      </c>
    </row>
    <row r="284" spans="2:3">
      <c r="B284" s="11" t="s">
        <v>70</v>
      </c>
      <c r="C284" s="11" t="s">
        <v>71</v>
      </c>
    </row>
    <row r="285" spans="2:3">
      <c r="B285" s="11" t="s">
        <v>72</v>
      </c>
      <c r="C285" s="11" t="s">
        <v>73</v>
      </c>
    </row>
    <row r="286" spans="2:3">
      <c r="B286" s="11" t="s">
        <v>154</v>
      </c>
      <c r="C286" s="11" t="s">
        <v>271</v>
      </c>
    </row>
    <row r="287" spans="2:3">
      <c r="B287" s="11" t="s">
        <v>75</v>
      </c>
      <c r="C287" s="11" t="s">
        <v>76</v>
      </c>
    </row>
    <row r="288" spans="2:3">
      <c r="B288" s="11" t="s">
        <v>77</v>
      </c>
      <c r="C288" s="11" t="s">
        <v>78</v>
      </c>
    </row>
    <row r="289" spans="2:3">
      <c r="B289" s="11" t="s">
        <v>79</v>
      </c>
      <c r="C289" s="11" t="s">
        <v>272</v>
      </c>
    </row>
    <row r="290" spans="2:3">
      <c r="B290" s="11" t="s">
        <v>80</v>
      </c>
      <c r="C290" s="11" t="s">
        <v>81</v>
      </c>
    </row>
    <row r="291" spans="2:3">
      <c r="B291" s="11" t="s">
        <v>82</v>
      </c>
      <c r="C291" s="11" t="s">
        <v>83</v>
      </c>
    </row>
    <row r="292" spans="2:3">
      <c r="B292" s="11" t="s">
        <v>84</v>
      </c>
      <c r="C292" s="11" t="s">
        <v>85</v>
      </c>
    </row>
    <row r="293" spans="2:3">
      <c r="B293" s="11" t="s">
        <v>86</v>
      </c>
      <c r="C293" s="11" t="s">
        <v>342</v>
      </c>
    </row>
    <row r="294" spans="2:3">
      <c r="B294" s="11" t="s">
        <v>155</v>
      </c>
      <c r="C294" s="11" t="s">
        <v>344</v>
      </c>
    </row>
    <row r="295" spans="2:3">
      <c r="B295" s="11" t="s">
        <v>87</v>
      </c>
      <c r="C295" s="11" t="s">
        <v>88</v>
      </c>
    </row>
    <row r="296" spans="2:3">
      <c r="B296" s="11" t="s">
        <v>89</v>
      </c>
      <c r="C296" s="11" t="s">
        <v>90</v>
      </c>
    </row>
    <row r="297" spans="2:3">
      <c r="B297" s="11" t="s">
        <v>91</v>
      </c>
      <c r="C297" s="11" t="s">
        <v>92</v>
      </c>
    </row>
    <row r="298" spans="2:3">
      <c r="B298" s="11" t="s">
        <v>93</v>
      </c>
      <c r="C298" s="11" t="s">
        <v>94</v>
      </c>
    </row>
    <row r="299" spans="2:3">
      <c r="B299" s="11" t="s">
        <v>95</v>
      </c>
      <c r="C299" s="11" t="s">
        <v>96</v>
      </c>
    </row>
    <row r="300" spans="2:3">
      <c r="B300" s="11" t="s">
        <v>97</v>
      </c>
      <c r="C300" s="11" t="s">
        <v>98</v>
      </c>
    </row>
    <row r="301" spans="2:3">
      <c r="B301" s="11" t="s">
        <v>156</v>
      </c>
      <c r="C301" s="11" t="s">
        <v>101</v>
      </c>
    </row>
    <row r="302" spans="2:3">
      <c r="B302" s="11" t="s">
        <v>102</v>
      </c>
      <c r="C302" s="11" t="s">
        <v>103</v>
      </c>
    </row>
    <row r="303" spans="2:3">
      <c r="B303" s="11" t="s">
        <v>104</v>
      </c>
      <c r="C303" s="11" t="s">
        <v>105</v>
      </c>
    </row>
    <row r="304" spans="2:3">
      <c r="B304" s="11" t="s">
        <v>109</v>
      </c>
      <c r="C304" s="12" t="s">
        <v>174</v>
      </c>
    </row>
    <row r="305" spans="2:3">
      <c r="B305" s="11" t="s">
        <v>106</v>
      </c>
      <c r="C305" s="11" t="s">
        <v>107</v>
      </c>
    </row>
    <row r="306" spans="2:3">
      <c r="B306" s="11" t="s">
        <v>281</v>
      </c>
      <c r="C306" s="11" t="s">
        <v>343</v>
      </c>
    </row>
    <row r="307" spans="2:3">
      <c r="B307" s="11" t="s">
        <v>110</v>
      </c>
      <c r="C307" s="11" t="s">
        <v>285</v>
      </c>
    </row>
    <row r="308" spans="2:3">
      <c r="B308" s="11" t="s">
        <v>157</v>
      </c>
      <c r="C308" s="11" t="s">
        <v>286</v>
      </c>
    </row>
    <row r="309" spans="2:3">
      <c r="B309" s="11" t="s">
        <v>111</v>
      </c>
      <c r="C309" s="11" t="s">
        <v>112</v>
      </c>
    </row>
    <row r="310" spans="2:3">
      <c r="B310" s="11" t="s">
        <v>113</v>
      </c>
      <c r="C310" s="11" t="s">
        <v>114</v>
      </c>
    </row>
    <row r="311" spans="2:3">
      <c r="B311" s="11" t="s">
        <v>116</v>
      </c>
      <c r="C311" s="11" t="s">
        <v>117</v>
      </c>
    </row>
    <row r="312" spans="2:3">
      <c r="B312" s="11" t="s">
        <v>118</v>
      </c>
      <c r="C312" s="11" t="s">
        <v>119</v>
      </c>
    </row>
    <row r="313" spans="2:3">
      <c r="B313" s="11" t="s">
        <v>152</v>
      </c>
      <c r="C313" s="12" t="s">
        <v>177</v>
      </c>
    </row>
    <row r="314" spans="2:3">
      <c r="B314" s="11" t="s">
        <v>265</v>
      </c>
      <c r="C314" s="11" t="s">
        <v>287</v>
      </c>
    </row>
    <row r="315" spans="2:3">
      <c r="B315" s="11" t="s">
        <v>133</v>
      </c>
      <c r="C315" s="12" t="s">
        <v>178</v>
      </c>
    </row>
    <row r="316" spans="2:3">
      <c r="B316" s="11" t="s">
        <v>0</v>
      </c>
      <c r="C316" s="12" t="s">
        <v>134</v>
      </c>
    </row>
    <row r="317" spans="2:3">
      <c r="B317" s="11" t="s">
        <v>158</v>
      </c>
      <c r="C317" s="12" t="s">
        <v>136</v>
      </c>
    </row>
    <row r="318" spans="2:3">
      <c r="B318" s="11" t="s">
        <v>159</v>
      </c>
      <c r="C318" s="12" t="s">
        <v>138</v>
      </c>
    </row>
    <row r="319" spans="2:3">
      <c r="B319" s="11" t="s">
        <v>116</v>
      </c>
      <c r="C319" s="12" t="s">
        <v>139</v>
      </c>
    </row>
    <row r="320" spans="2:3">
      <c r="B320" s="11" t="s">
        <v>113</v>
      </c>
      <c r="C320" s="12" t="s">
        <v>140</v>
      </c>
    </row>
    <row r="321" spans="2:20">
      <c r="B321" s="11" t="s">
        <v>141</v>
      </c>
      <c r="C321" s="12" t="s">
        <v>142</v>
      </c>
    </row>
    <row r="322" spans="2:20">
      <c r="B322" s="11" t="s">
        <v>121</v>
      </c>
      <c r="C322" s="12" t="s">
        <v>288</v>
      </c>
    </row>
    <row r="323" spans="2:20">
      <c r="B323" s="11" t="s">
        <v>144</v>
      </c>
      <c r="C323" s="12" t="s">
        <v>145</v>
      </c>
    </row>
    <row r="324" spans="2:20">
      <c r="B324" s="11" t="s">
        <v>122</v>
      </c>
      <c r="C324" s="12" t="s">
        <v>146</v>
      </c>
    </row>
    <row r="325" spans="2:20">
      <c r="B325" s="11" t="s">
        <v>123</v>
      </c>
      <c r="C325" s="5" t="s">
        <v>147</v>
      </c>
    </row>
    <row r="326" spans="2:20">
      <c r="B326" s="11" t="s">
        <v>124</v>
      </c>
      <c r="C326" s="12" t="s">
        <v>289</v>
      </c>
    </row>
    <row r="327" spans="2:20">
      <c r="B327" s="11" t="s">
        <v>161</v>
      </c>
      <c r="C327" s="12" t="s">
        <v>149</v>
      </c>
    </row>
    <row r="328" spans="2:20">
      <c r="B328" s="11" t="s">
        <v>266</v>
      </c>
      <c r="C328" s="11" t="s">
        <v>274</v>
      </c>
    </row>
    <row r="331" spans="2:20">
      <c r="B331" s="345" t="s">
        <v>315</v>
      </c>
      <c r="C331" s="345"/>
      <c r="D331" s="345"/>
      <c r="E331" s="345"/>
      <c r="F331" s="345"/>
      <c r="G331" s="345"/>
      <c r="H331" s="345"/>
      <c r="I331" s="345"/>
      <c r="J331" s="345"/>
      <c r="K331" s="345"/>
      <c r="L331" s="345"/>
      <c r="M331" s="345"/>
      <c r="N331" s="345"/>
      <c r="O331" s="345"/>
      <c r="P331" s="345"/>
      <c r="Q331" s="345"/>
      <c r="R331" s="345"/>
      <c r="S331" s="345"/>
      <c r="T331" s="345"/>
    </row>
    <row r="334" spans="2:20">
      <c r="C334" s="11">
        <v>2013</v>
      </c>
    </row>
    <row r="335" spans="2:20">
      <c r="B335" s="11" t="s">
        <v>385</v>
      </c>
      <c r="C335" s="11" t="s">
        <v>293</v>
      </c>
      <c r="D335" s="11" t="s">
        <v>294</v>
      </c>
      <c r="E335" s="11" t="s">
        <v>295</v>
      </c>
      <c r="F335" s="11" t="s">
        <v>296</v>
      </c>
      <c r="G335" s="11" t="s">
        <v>297</v>
      </c>
      <c r="H335" s="11" t="s">
        <v>298</v>
      </c>
      <c r="I335" s="11" t="s">
        <v>299</v>
      </c>
      <c r="J335" s="11" t="s">
        <v>300</v>
      </c>
      <c r="K335" s="11" t="s">
        <v>301</v>
      </c>
      <c r="L335" s="11" t="s">
        <v>302</v>
      </c>
      <c r="M335" s="11" t="s">
        <v>303</v>
      </c>
      <c r="N335" s="11" t="s">
        <v>304</v>
      </c>
      <c r="O335" s="11" t="s">
        <v>384</v>
      </c>
    </row>
    <row r="336" spans="2:20">
      <c r="B336" s="11" t="s">
        <v>386</v>
      </c>
      <c r="C336" s="11" t="s">
        <v>316</v>
      </c>
      <c r="D336" s="11" t="s">
        <v>317</v>
      </c>
      <c r="E336" s="11" t="s">
        <v>318</v>
      </c>
      <c r="F336" s="11" t="s">
        <v>296</v>
      </c>
      <c r="G336" s="11" t="s">
        <v>319</v>
      </c>
      <c r="H336" s="11" t="s">
        <v>320</v>
      </c>
      <c r="I336" s="11" t="s">
        <v>321</v>
      </c>
      <c r="J336" s="11" t="s">
        <v>322</v>
      </c>
      <c r="K336" s="11" t="s">
        <v>323</v>
      </c>
      <c r="L336" s="11" t="s">
        <v>324</v>
      </c>
      <c r="M336" s="11" t="s">
        <v>325</v>
      </c>
      <c r="N336" s="11" t="s">
        <v>326</v>
      </c>
      <c r="O336" s="11" t="s">
        <v>383</v>
      </c>
    </row>
    <row r="337" spans="2:3">
      <c r="B337" s="11" t="s">
        <v>128</v>
      </c>
      <c r="C337" s="11" t="s">
        <v>1</v>
      </c>
    </row>
    <row r="338" spans="2:3">
      <c r="B338" s="11" t="s">
        <v>2</v>
      </c>
      <c r="C338" s="11" t="s">
        <v>167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305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306</v>
      </c>
      <c r="C343" s="11" t="s">
        <v>13</v>
      </c>
    </row>
    <row r="344" spans="2:3">
      <c r="B344" s="11" t="s">
        <v>307</v>
      </c>
      <c r="C344" s="11" t="s">
        <v>15</v>
      </c>
    </row>
    <row r="345" spans="2:3">
      <c r="B345" s="11" t="s">
        <v>16</v>
      </c>
      <c r="C345" s="11" t="s">
        <v>18</v>
      </c>
    </row>
    <row r="346" spans="2:3">
      <c r="B346" s="11" t="s">
        <v>19</v>
      </c>
      <c r="C346" s="11" t="s">
        <v>20</v>
      </c>
    </row>
    <row r="347" spans="2:3">
      <c r="B347" s="11" t="s">
        <v>308</v>
      </c>
      <c r="C347" s="11" t="s">
        <v>22</v>
      </c>
    </row>
    <row r="348" spans="2:3">
      <c r="B348" s="11" t="s">
        <v>309</v>
      </c>
      <c r="C348" s="11" t="s">
        <v>24</v>
      </c>
    </row>
    <row r="349" spans="2:3">
      <c r="B349" s="11" t="s">
        <v>310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175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168</v>
      </c>
    </row>
    <row r="357" spans="2:3">
      <c r="B357" s="11" t="s">
        <v>328</v>
      </c>
      <c r="C357" s="11" t="s">
        <v>41</v>
      </c>
    </row>
    <row r="358" spans="2:3">
      <c r="B358" s="11" t="s">
        <v>311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312</v>
      </c>
      <c r="C360" s="11" t="s">
        <v>48</v>
      </c>
    </row>
    <row r="361" spans="2:3">
      <c r="B361" s="11" t="s">
        <v>313</v>
      </c>
      <c r="C361" s="11" t="s">
        <v>169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314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255</v>
      </c>
      <c r="C368" s="11" t="s">
        <v>61</v>
      </c>
    </row>
    <row r="369" spans="2:3">
      <c r="B369" s="11" t="s">
        <v>62</v>
      </c>
      <c r="C369" s="11" t="s">
        <v>340</v>
      </c>
    </row>
    <row r="370" spans="2:3">
      <c r="B370" s="11" t="s">
        <v>126</v>
      </c>
      <c r="C370" s="11" t="s">
        <v>170</v>
      </c>
    </row>
    <row r="371" spans="2:3">
      <c r="B371" s="11" t="s">
        <v>63</v>
      </c>
      <c r="C371" s="11" t="s">
        <v>341</v>
      </c>
    </row>
    <row r="372" spans="2:3">
      <c r="B372" s="11" t="s">
        <v>64</v>
      </c>
      <c r="C372" s="11" t="s">
        <v>65</v>
      </c>
    </row>
    <row r="373" spans="2:3">
      <c r="B373" s="11" t="s">
        <v>66</v>
      </c>
      <c r="C373" s="11" t="s">
        <v>67</v>
      </c>
    </row>
    <row r="374" spans="2:3">
      <c r="B374" s="11" t="s">
        <v>68</v>
      </c>
      <c r="C374" s="11" t="s">
        <v>69</v>
      </c>
    </row>
    <row r="375" spans="2:3">
      <c r="B375" s="11" t="s">
        <v>70</v>
      </c>
      <c r="C375" s="11" t="s">
        <v>71</v>
      </c>
    </row>
    <row r="376" spans="2:3">
      <c r="B376" s="11" t="s">
        <v>72</v>
      </c>
      <c r="C376" s="11" t="s">
        <v>73</v>
      </c>
    </row>
    <row r="377" spans="2:3">
      <c r="B377" s="11" t="s">
        <v>129</v>
      </c>
      <c r="C377" s="11" t="s">
        <v>179</v>
      </c>
    </row>
    <row r="378" spans="2:3">
      <c r="B378" s="11" t="s">
        <v>75</v>
      </c>
      <c r="C378" s="11" t="s">
        <v>76</v>
      </c>
    </row>
    <row r="379" spans="2:3">
      <c r="B379" s="11" t="s">
        <v>77</v>
      </c>
      <c r="C379" s="11" t="s">
        <v>78</v>
      </c>
    </row>
    <row r="380" spans="2:3">
      <c r="B380" s="11" t="s">
        <v>79</v>
      </c>
      <c r="C380" s="11" t="s">
        <v>151</v>
      </c>
    </row>
    <row r="381" spans="2:3">
      <c r="B381" s="11" t="s">
        <v>80</v>
      </c>
      <c r="C381" s="11" t="s">
        <v>81</v>
      </c>
    </row>
    <row r="382" spans="2:3">
      <c r="B382" s="11" t="s">
        <v>82</v>
      </c>
      <c r="C382" s="11" t="s">
        <v>83</v>
      </c>
    </row>
    <row r="383" spans="2:3">
      <c r="B383" s="11" t="s">
        <v>84</v>
      </c>
      <c r="C383" s="11" t="s">
        <v>85</v>
      </c>
    </row>
    <row r="384" spans="2:3">
      <c r="B384" s="11" t="s">
        <v>86</v>
      </c>
      <c r="C384" s="11" t="s">
        <v>342</v>
      </c>
    </row>
    <row r="385" spans="2:3">
      <c r="B385" s="11" t="s">
        <v>130</v>
      </c>
      <c r="C385" s="11" t="s">
        <v>180</v>
      </c>
    </row>
    <row r="386" spans="2:3">
      <c r="B386" s="11" t="s">
        <v>87</v>
      </c>
      <c r="C386" s="11" t="s">
        <v>88</v>
      </c>
    </row>
    <row r="387" spans="2:3">
      <c r="B387" s="11" t="s">
        <v>89</v>
      </c>
      <c r="C387" s="11" t="s">
        <v>90</v>
      </c>
    </row>
    <row r="388" spans="2:3">
      <c r="B388" s="11" t="s">
        <v>91</v>
      </c>
      <c r="C388" s="11" t="s">
        <v>92</v>
      </c>
    </row>
    <row r="389" spans="2:3">
      <c r="B389" s="11" t="s">
        <v>93</v>
      </c>
      <c r="C389" s="11" t="s">
        <v>94</v>
      </c>
    </row>
    <row r="390" spans="2:3">
      <c r="B390" s="11" t="s">
        <v>95</v>
      </c>
      <c r="C390" s="11" t="s">
        <v>96</v>
      </c>
    </row>
    <row r="391" spans="2:3">
      <c r="B391" s="11" t="s">
        <v>97</v>
      </c>
      <c r="C391" s="11" t="s">
        <v>98</v>
      </c>
    </row>
    <row r="392" spans="2:3">
      <c r="B392" s="11" t="s">
        <v>100</v>
      </c>
      <c r="C392" s="11" t="s">
        <v>101</v>
      </c>
    </row>
    <row r="393" spans="2:3">
      <c r="B393" s="11" t="s">
        <v>102</v>
      </c>
      <c r="C393" s="11" t="s">
        <v>103</v>
      </c>
    </row>
    <row r="394" spans="2:3">
      <c r="B394" s="11" t="s">
        <v>104</v>
      </c>
      <c r="C394" s="11" t="s">
        <v>105</v>
      </c>
    </row>
    <row r="395" spans="2:3">
      <c r="B395" s="11" t="s">
        <v>106</v>
      </c>
      <c r="C395" s="11" t="s">
        <v>107</v>
      </c>
    </row>
    <row r="396" spans="2:3">
      <c r="B396" s="11" t="s">
        <v>108</v>
      </c>
      <c r="C396" s="11" t="s">
        <v>173</v>
      </c>
    </row>
    <row r="397" spans="2:3">
      <c r="B397" s="11" t="s">
        <v>109</v>
      </c>
      <c r="C397" s="11" t="s">
        <v>174</v>
      </c>
    </row>
    <row r="398" spans="2:3">
      <c r="B398" s="11" t="s">
        <v>131</v>
      </c>
      <c r="C398" s="11" t="s">
        <v>373</v>
      </c>
    </row>
    <row r="399" spans="2:3">
      <c r="B399" s="11" t="s">
        <v>111</v>
      </c>
      <c r="C399" s="11" t="s">
        <v>112</v>
      </c>
    </row>
    <row r="400" spans="2:3">
      <c r="B400" s="11" t="s">
        <v>118</v>
      </c>
      <c r="C400" s="11" t="s">
        <v>119</v>
      </c>
    </row>
    <row r="401" spans="2:3">
      <c r="B401" s="11" t="s">
        <v>152</v>
      </c>
      <c r="C401" s="11" t="s">
        <v>177</v>
      </c>
    </row>
    <row r="402" spans="2:3">
      <c r="B402" s="11" t="s">
        <v>132</v>
      </c>
      <c r="C402" s="11" t="s">
        <v>120</v>
      </c>
    </row>
    <row r="403" spans="2:3">
      <c r="B403" s="11" t="s">
        <v>133</v>
      </c>
      <c r="C403" s="11" t="s">
        <v>178</v>
      </c>
    </row>
    <row r="404" spans="2:3">
      <c r="B404" s="11" t="s">
        <v>0</v>
      </c>
      <c r="C404" s="11" t="s">
        <v>134</v>
      </c>
    </row>
    <row r="405" spans="2:3">
      <c r="B405" s="11" t="s">
        <v>135</v>
      </c>
      <c r="C405" s="11" t="s">
        <v>136</v>
      </c>
    </row>
    <row r="406" spans="2:3">
      <c r="B406" s="11" t="s">
        <v>137</v>
      </c>
      <c r="C406" s="11" t="s">
        <v>138</v>
      </c>
    </row>
    <row r="407" spans="2:3">
      <c r="B407" s="11" t="s">
        <v>116</v>
      </c>
      <c r="C407" s="11" t="s">
        <v>139</v>
      </c>
    </row>
    <row r="408" spans="2:3">
      <c r="B408" s="11" t="s">
        <v>113</v>
      </c>
      <c r="C408" s="11" t="s">
        <v>140</v>
      </c>
    </row>
    <row r="409" spans="2:3">
      <c r="B409" s="11" t="s">
        <v>141</v>
      </c>
      <c r="C409" s="11" t="s">
        <v>142</v>
      </c>
    </row>
    <row r="410" spans="2:3">
      <c r="B410" s="11" t="s">
        <v>121</v>
      </c>
      <c r="C410" s="11" t="s">
        <v>143</v>
      </c>
    </row>
    <row r="411" spans="2:3">
      <c r="B411" s="11" t="s">
        <v>144</v>
      </c>
      <c r="C411" s="11" t="s">
        <v>145</v>
      </c>
    </row>
    <row r="412" spans="2:3">
      <c r="B412" s="11" t="s">
        <v>122</v>
      </c>
      <c r="C412" s="11" t="s">
        <v>146</v>
      </c>
    </row>
    <row r="413" spans="2:3">
      <c r="B413" s="11" t="s">
        <v>123</v>
      </c>
      <c r="C413" s="11" t="s">
        <v>147</v>
      </c>
    </row>
    <row r="414" spans="2:3">
      <c r="B414" s="11" t="s">
        <v>329</v>
      </c>
      <c r="C414" s="11" t="s">
        <v>148</v>
      </c>
    </row>
    <row r="415" spans="2:3">
      <c r="B415" s="11" t="s">
        <v>125</v>
      </c>
      <c r="C415" s="11" t="s">
        <v>149</v>
      </c>
    </row>
    <row r="416" spans="2:3">
      <c r="B416" s="11" t="s">
        <v>266</v>
      </c>
      <c r="C416" s="11" t="s">
        <v>267</v>
      </c>
    </row>
    <row r="419" spans="2:23">
      <c r="B419" s="345" t="s">
        <v>387</v>
      </c>
      <c r="C419" s="352"/>
      <c r="D419" s="352"/>
      <c r="E419" s="352"/>
      <c r="F419" s="352"/>
      <c r="G419" s="352"/>
      <c r="H419" s="352"/>
      <c r="I419" s="352"/>
      <c r="J419" s="352"/>
      <c r="K419" s="352"/>
      <c r="L419" s="352"/>
      <c r="M419" s="352"/>
      <c r="N419" s="352"/>
      <c r="O419" s="352"/>
      <c r="P419" s="352"/>
      <c r="Q419" s="352"/>
      <c r="R419" s="352"/>
      <c r="S419" s="352"/>
      <c r="T419" s="352"/>
    </row>
    <row r="421" spans="2:23">
      <c r="B421" s="11" t="s">
        <v>327</v>
      </c>
    </row>
    <row r="422" spans="2:23">
      <c r="B422" s="11" t="s">
        <v>334</v>
      </c>
      <c r="O422" s="1"/>
    </row>
    <row r="424" spans="2:23">
      <c r="B424" s="11" t="s">
        <v>389</v>
      </c>
    </row>
    <row r="425" spans="2:23">
      <c r="B425" s="11" t="s">
        <v>389</v>
      </c>
    </row>
    <row r="427" spans="2:23">
      <c r="B427" s="345" t="s">
        <v>330</v>
      </c>
      <c r="C427" s="345"/>
      <c r="D427" s="345"/>
      <c r="E427" s="345"/>
      <c r="F427" s="345"/>
      <c r="G427" s="345"/>
      <c r="H427" s="345"/>
      <c r="I427" s="345"/>
      <c r="J427" s="345"/>
      <c r="K427" s="345"/>
      <c r="L427" s="345"/>
      <c r="M427" s="345"/>
      <c r="N427" s="345"/>
      <c r="O427" s="345"/>
      <c r="P427" s="345"/>
      <c r="Q427" s="345"/>
      <c r="R427" s="345"/>
      <c r="S427" s="345"/>
      <c r="T427" s="345"/>
    </row>
    <row r="429" spans="2:23">
      <c r="B429" s="11" t="s">
        <v>335</v>
      </c>
      <c r="C429" s="11" t="s">
        <v>240</v>
      </c>
      <c r="D429" s="11" t="s">
        <v>388</v>
      </c>
      <c r="E429" s="27" t="s">
        <v>390</v>
      </c>
      <c r="F429" s="27" t="s">
        <v>391</v>
      </c>
    </row>
    <row r="430" spans="2:23">
      <c r="B430" s="11" t="s">
        <v>336</v>
      </c>
      <c r="C430" s="11" t="s">
        <v>339</v>
      </c>
      <c r="D430" s="11" t="s">
        <v>388</v>
      </c>
      <c r="E430" s="27" t="s">
        <v>390</v>
      </c>
      <c r="F430" s="27" t="s">
        <v>392</v>
      </c>
      <c r="W430" s="28"/>
    </row>
    <row r="432" spans="2:23">
      <c r="B432" s="345" t="s">
        <v>345</v>
      </c>
      <c r="C432" s="345"/>
      <c r="D432" s="345"/>
      <c r="E432" s="345"/>
      <c r="F432" s="345"/>
      <c r="G432" s="345"/>
      <c r="H432" s="345"/>
      <c r="I432" s="345"/>
      <c r="J432" s="345"/>
      <c r="K432" s="345"/>
      <c r="L432" s="345"/>
      <c r="M432" s="345"/>
      <c r="N432" s="345"/>
      <c r="O432" s="345"/>
      <c r="P432" s="345"/>
      <c r="Q432" s="345"/>
      <c r="R432" s="345"/>
      <c r="S432" s="345"/>
      <c r="T432" s="345"/>
    </row>
    <row r="435" spans="2:6">
      <c r="B435" s="11" t="s">
        <v>353</v>
      </c>
      <c r="C435" s="11" t="s">
        <v>354</v>
      </c>
    </row>
    <row r="437" spans="2:6">
      <c r="B437" s="11" t="s">
        <v>346</v>
      </c>
      <c r="C437" s="11" t="s">
        <v>345</v>
      </c>
    </row>
    <row r="438" spans="2:6">
      <c r="B438" s="11" t="s">
        <v>347</v>
      </c>
      <c r="C438" s="11" t="s">
        <v>355</v>
      </c>
    </row>
    <row r="439" spans="2:6">
      <c r="B439" s="11" t="s">
        <v>348</v>
      </c>
      <c r="C439" s="11" t="s">
        <v>356</v>
      </c>
    </row>
    <row r="441" spans="2:6">
      <c r="B441" s="11" t="s">
        <v>357</v>
      </c>
      <c r="C441" s="11" t="s">
        <v>349</v>
      </c>
      <c r="D441" s="11" t="s">
        <v>350</v>
      </c>
      <c r="E441" s="11" t="s">
        <v>351</v>
      </c>
      <c r="F441" s="11" t="s">
        <v>352</v>
      </c>
    </row>
    <row r="442" spans="2:6">
      <c r="B442" s="11" t="s">
        <v>358</v>
      </c>
      <c r="C442" s="11" t="s">
        <v>359</v>
      </c>
      <c r="D442" s="11" t="s">
        <v>360</v>
      </c>
      <c r="E442" s="11" t="s">
        <v>361</v>
      </c>
      <c r="F442" s="11" t="s">
        <v>362</v>
      </c>
    </row>
    <row r="443" spans="2:6">
      <c r="B443" s="11" t="s">
        <v>363</v>
      </c>
    </row>
    <row r="444" spans="2:6">
      <c r="B444" s="11" t="s">
        <v>364</v>
      </c>
    </row>
  </sheetData>
  <mergeCells count="21">
    <mergeCell ref="B40:C41"/>
    <mergeCell ref="B419:T419"/>
    <mergeCell ref="B432:T432"/>
    <mergeCell ref="B427:T427"/>
    <mergeCell ref="B331:T331"/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C4:P7"/>
  <sheetViews>
    <sheetView workbookViewId="0">
      <selection activeCell="P5" sqref="P5:P7"/>
    </sheetView>
  </sheetViews>
  <sheetFormatPr defaultRowHeight="12.5"/>
  <cols>
    <col min="3" max="3" width="28.36328125" bestFit="1" customWidth="1"/>
  </cols>
  <sheetData>
    <row r="4" spans="3:16">
      <c r="D4" s="181" t="s">
        <v>293</v>
      </c>
      <c r="E4" s="181" t="s">
        <v>294</v>
      </c>
      <c r="F4" s="181" t="s">
        <v>295</v>
      </c>
      <c r="G4" s="181" t="s">
        <v>296</v>
      </c>
      <c r="H4" s="181" t="s">
        <v>297</v>
      </c>
      <c r="I4" s="181" t="s">
        <v>298</v>
      </c>
      <c r="J4" s="181" t="s">
        <v>299</v>
      </c>
      <c r="K4" s="181" t="s">
        <v>300</v>
      </c>
      <c r="L4" s="181" t="s">
        <v>301</v>
      </c>
      <c r="M4" s="181" t="s">
        <v>302</v>
      </c>
      <c r="N4" s="181" t="s">
        <v>303</v>
      </c>
      <c r="O4" s="181" t="s">
        <v>304</v>
      </c>
    </row>
    <row r="5" spans="3:16">
      <c r="C5" s="181" t="s">
        <v>438</v>
      </c>
      <c r="D5" s="182">
        <v>62425293.156965584</v>
      </c>
      <c r="E5" s="182">
        <v>79762187.59852089</v>
      </c>
      <c r="F5" s="182">
        <v>89318688.151918903</v>
      </c>
      <c r="G5" s="182">
        <v>106294081.27535464</v>
      </c>
      <c r="H5" s="182">
        <v>97189661.825924918</v>
      </c>
      <c r="I5" s="182">
        <v>105191801.34506513</v>
      </c>
      <c r="J5" s="182">
        <v>123272889.17858437</v>
      </c>
      <c r="K5" s="182">
        <v>125579133.65326507</v>
      </c>
      <c r="L5" s="182">
        <v>121047897.33843082</v>
      </c>
      <c r="M5" s="182">
        <v>114789505.85515907</v>
      </c>
      <c r="N5" s="182">
        <v>97406301.479715049</v>
      </c>
      <c r="O5" s="182">
        <v>145778958.57826602</v>
      </c>
      <c r="P5" s="182">
        <f>+SUM(D5:O5)</f>
        <v>1268056399.4371705</v>
      </c>
    </row>
    <row r="6" spans="3:16">
      <c r="C6" s="181" t="s">
        <v>439</v>
      </c>
      <c r="D6" s="182">
        <v>70632268.589999989</v>
      </c>
      <c r="E6" s="182">
        <v>81381758.450000018</v>
      </c>
      <c r="F6" s="182">
        <v>100495765.61000001</v>
      </c>
      <c r="G6" s="182">
        <v>107356417.33534782</v>
      </c>
      <c r="H6" s="182">
        <v>98816734.644163221</v>
      </c>
      <c r="I6" s="182">
        <v>107147051.5707173</v>
      </c>
      <c r="J6" s="182">
        <v>125666748.8575906</v>
      </c>
      <c r="K6" s="182">
        <v>127890096.38694921</v>
      </c>
      <c r="L6" s="182">
        <v>123465322.33433203</v>
      </c>
      <c r="M6" s="182">
        <v>117130344.73943919</v>
      </c>
      <c r="N6" s="182">
        <v>99294843.070796907</v>
      </c>
      <c r="O6" s="182">
        <v>149056317.49743444</v>
      </c>
      <c r="P6" s="182">
        <f>+SUM(D6:O6)</f>
        <v>1308333669.0867708</v>
      </c>
    </row>
    <row r="7" spans="3:16">
      <c r="C7" s="181" t="s">
        <v>440</v>
      </c>
      <c r="D7" s="182">
        <v>54757461.979999989</v>
      </c>
      <c r="E7" s="182">
        <v>75673443.909999996</v>
      </c>
      <c r="F7" s="182">
        <v>88296245.580000013</v>
      </c>
      <c r="G7" s="182">
        <v>103948239.19999999</v>
      </c>
      <c r="H7" s="182">
        <v>93997829.679999992</v>
      </c>
      <c r="I7" s="182">
        <v>99561632.659999996</v>
      </c>
      <c r="J7" s="182">
        <v>122021331.04999998</v>
      </c>
      <c r="K7" s="182">
        <v>125053427.64999999</v>
      </c>
      <c r="L7" s="182">
        <v>116342017.78000002</v>
      </c>
      <c r="M7" s="182">
        <v>117283627.60000001</v>
      </c>
      <c r="N7" s="182">
        <v>95781753.159999996</v>
      </c>
      <c r="O7" s="182">
        <v>142429369.22999999</v>
      </c>
      <c r="P7" s="182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B1:M80"/>
  <sheetViews>
    <sheetView workbookViewId="0">
      <selection activeCell="G63" sqref="G63"/>
    </sheetView>
  </sheetViews>
  <sheetFormatPr defaultRowHeight="13"/>
  <cols>
    <col min="2" max="2" width="43.36328125" customWidth="1"/>
    <col min="3" max="3" width="7.453125" bestFit="1" customWidth="1"/>
    <col min="4" max="4" width="7.90625" bestFit="1" customWidth="1"/>
    <col min="5" max="5" width="7.6328125" style="80" customWidth="1"/>
    <col min="6" max="6" width="6" style="80" customWidth="1"/>
    <col min="7" max="7" width="7.6328125" style="80" customWidth="1"/>
    <col min="8" max="8" width="7" style="80" bestFit="1" customWidth="1"/>
    <col min="12" max="12" width="11.5429687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" thickTop="1" thickBot="1">
      <c r="C3" s="316">
        <v>3335894492.1291356</v>
      </c>
      <c r="D3" s="316"/>
      <c r="E3" s="309">
        <v>3516156889.9792166</v>
      </c>
      <c r="F3" s="310"/>
      <c r="G3" s="310"/>
      <c r="H3" s="311"/>
    </row>
    <row r="4" spans="2:13" ht="13.5" thickTop="1">
      <c r="E4" s="83"/>
      <c r="F4" s="83"/>
      <c r="G4" s="82"/>
      <c r="H4" s="82"/>
    </row>
    <row r="5" spans="2:13" ht="13.5" thickBot="1">
      <c r="E5" s="164"/>
      <c r="F5" s="164"/>
      <c r="G5" s="164"/>
      <c r="H5" s="164"/>
    </row>
    <row r="6" spans="2:13" ht="13.5" thickTop="1">
      <c r="B6" t="s">
        <v>127</v>
      </c>
      <c r="C6" s="307">
        <v>2013</v>
      </c>
      <c r="D6" s="308"/>
      <c r="E6" s="307" t="s">
        <v>393</v>
      </c>
      <c r="F6" s="308"/>
      <c r="G6" s="307" t="s">
        <v>427</v>
      </c>
      <c r="H6" s="308"/>
      <c r="I6" s="307" t="s">
        <v>441</v>
      </c>
      <c r="J6" s="308"/>
    </row>
    <row r="7" spans="2:13" ht="13.5" thickBot="1">
      <c r="C7" s="88" t="str">
        <f>+E7</f>
        <v>mil. €</v>
      </c>
      <c r="D7" s="89" t="str">
        <f>+F7</f>
        <v>% BDP</v>
      </c>
      <c r="E7" s="88" t="s">
        <v>263</v>
      </c>
      <c r="F7" s="89" t="s">
        <v>150</v>
      </c>
      <c r="G7" s="88" t="s">
        <v>263</v>
      </c>
      <c r="H7" s="89" t="s">
        <v>150</v>
      </c>
      <c r="I7" s="184" t="s">
        <v>263</v>
      </c>
      <c r="J7" s="184" t="s">
        <v>442</v>
      </c>
    </row>
    <row r="8" spans="2:13" ht="14" thickTop="1" thickBot="1">
      <c r="B8" s="90" t="s">
        <v>128</v>
      </c>
      <c r="C8" s="165">
        <f>C9+C17+C22+C27+C34+C39</f>
        <v>1235146379.48</v>
      </c>
      <c r="D8" s="92">
        <f>C8/C$3*100</f>
        <v>37.025942588839719</v>
      </c>
      <c r="E8" s="165">
        <f>+E9+E17+E22+E27+E34+E39+E40</f>
        <v>1276056399.4371703</v>
      </c>
      <c r="F8" s="92">
        <f>E8/E$3*100</f>
        <v>36.291224748071834</v>
      </c>
      <c r="G8" s="162">
        <f>+G9+G17+G22+G27+G34+G39+G40</f>
        <v>1316333669.0867703</v>
      </c>
      <c r="H8" s="92">
        <f>G8/E$3*100</f>
        <v>37.436716002014087</v>
      </c>
      <c r="I8" s="162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54">
        <f>SUM(C10:C16)</f>
        <v>755696459.51000011</v>
      </c>
      <c r="D9" s="95">
        <f t="shared" ref="D9:D72" si="0">C9/C$3*100</f>
        <v>22.653488031261944</v>
      </c>
      <c r="E9" s="154">
        <f>+SUM(E10:E16)</f>
        <v>797828901.35953081</v>
      </c>
      <c r="F9" s="96">
        <f t="shared" ref="F9:F73" si="1">E9/E$3*100</f>
        <v>22.690366963808792</v>
      </c>
      <c r="G9" s="154">
        <f>+SUM(G10:G16)</f>
        <v>819077478.06873</v>
      </c>
      <c r="H9" s="96">
        <f t="shared" ref="H9:H72" si="2">G9/E$3*100</f>
        <v>23.294679495190881</v>
      </c>
      <c r="I9" s="154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55">
        <v>95618433.909999996</v>
      </c>
      <c r="D10" s="98">
        <f t="shared" si="0"/>
        <v>2.8663506635358695</v>
      </c>
      <c r="E10" s="155">
        <v>96011654.614494905</v>
      </c>
      <c r="F10" s="98">
        <f t="shared" si="1"/>
        <v>2.7305850568875618</v>
      </c>
      <c r="G10" s="156">
        <v>96781150.729929999</v>
      </c>
      <c r="H10" s="98">
        <f t="shared" si="2"/>
        <v>2.7524696354064582</v>
      </c>
      <c r="I10" s="156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56">
        <v>40638726.390000008</v>
      </c>
      <c r="D11" s="98">
        <f t="shared" si="0"/>
        <v>1.2182257708055488</v>
      </c>
      <c r="E11" s="156">
        <v>44395641.531501003</v>
      </c>
      <c r="F11" s="98">
        <f t="shared" si="1"/>
        <v>1.2626183336137604</v>
      </c>
      <c r="G11" s="156">
        <v>50018934.706970006</v>
      </c>
      <c r="H11" s="98">
        <f t="shared" si="2"/>
        <v>1.4225455880401758</v>
      </c>
      <c r="I11" s="156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56">
        <v>1440565.3199999998</v>
      </c>
      <c r="D12" s="98">
        <f t="shared" si="0"/>
        <v>4.318377944503151E-2</v>
      </c>
      <c r="E12" s="156">
        <v>1544536.6728920399</v>
      </c>
      <c r="F12" s="98">
        <f t="shared" si="1"/>
        <v>4.3926841754241781E-2</v>
      </c>
      <c r="G12" s="156">
        <v>1489198.0023599996</v>
      </c>
      <c r="H12" s="98">
        <f t="shared" si="2"/>
        <v>4.2353002125818169E-2</v>
      </c>
      <c r="I12" s="156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55">
        <v>429195069.32999998</v>
      </c>
      <c r="D13" s="98">
        <f t="shared" si="0"/>
        <v>12.865966544885122</v>
      </c>
      <c r="E13" s="155">
        <v>455945630.52919102</v>
      </c>
      <c r="F13" s="98">
        <f t="shared" si="1"/>
        <v>12.967158315051353</v>
      </c>
      <c r="G13" s="156">
        <v>473642045.78458995</v>
      </c>
      <c r="H13" s="98">
        <f t="shared" si="2"/>
        <v>13.470446871538474</v>
      </c>
      <c r="I13" s="156">
        <f t="shared" si="3"/>
        <v>17696415.255398929</v>
      </c>
      <c r="J13" s="98">
        <f t="shared" si="4"/>
        <v>3.8812555862986784</v>
      </c>
      <c r="L13" s="156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56">
        <v>161445470.17000002</v>
      </c>
      <c r="D14" s="98">
        <f t="shared" si="0"/>
        <v>4.8396455748502225</v>
      </c>
      <c r="E14" s="156">
        <v>171111988.52539012</v>
      </c>
      <c r="F14" s="98">
        <f t="shared" si="1"/>
        <v>4.8664491909631922</v>
      </c>
      <c r="G14" s="156">
        <v>169158715.98390999</v>
      </c>
      <c r="H14" s="98">
        <f t="shared" si="2"/>
        <v>4.8108978432105705</v>
      </c>
      <c r="I14" s="156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56">
        <v>22269382.640000001</v>
      </c>
      <c r="D15" s="98">
        <f t="shared" si="0"/>
        <v>0.66756855447746977</v>
      </c>
      <c r="E15" s="156">
        <v>23735353.696558259</v>
      </c>
      <c r="F15" s="98">
        <f t="shared" si="1"/>
        <v>0.67503682114419394</v>
      </c>
      <c r="G15" s="156">
        <v>22781578.440719999</v>
      </c>
      <c r="H15" s="98">
        <f t="shared" si="2"/>
        <v>0.64791131776985811</v>
      </c>
      <c r="I15" s="156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56">
        <v>5088811.75</v>
      </c>
      <c r="D16" s="98">
        <f t="shared" si="0"/>
        <v>0.15254714326267749</v>
      </c>
      <c r="E16" s="156">
        <v>5084095.7895035082</v>
      </c>
      <c r="F16" s="98">
        <f t="shared" si="1"/>
        <v>0.14459240439449103</v>
      </c>
      <c r="G16" s="156">
        <v>5205854.4202499995</v>
      </c>
      <c r="H16" s="98">
        <f t="shared" si="2"/>
        <v>0.14805523709952459</v>
      </c>
      <c r="I16" s="156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66">
        <f>SUM(C18:C21)</f>
        <v>398494284.19</v>
      </c>
      <c r="D17" s="96">
        <f t="shared" si="0"/>
        <v>11.94565011364196</v>
      </c>
      <c r="E17" s="154">
        <f>+SUM(E18:E21)</f>
        <v>397823173.70918262</v>
      </c>
      <c r="F17" s="96">
        <f t="shared" si="1"/>
        <v>11.314147410286179</v>
      </c>
      <c r="G17" s="154">
        <f>+SUM(G18:G21)</f>
        <v>417559652.73636997</v>
      </c>
      <c r="H17" s="96">
        <f t="shared" si="2"/>
        <v>11.87545566940951</v>
      </c>
      <c r="I17" s="154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56">
        <v>241949355.72999999</v>
      </c>
      <c r="D18" s="98">
        <f t="shared" si="0"/>
        <v>7.2529079172277937</v>
      </c>
      <c r="E18" s="156">
        <v>234882396.70208701</v>
      </c>
      <c r="F18" s="98">
        <f t="shared" si="1"/>
        <v>6.6800886323213922</v>
      </c>
      <c r="G18" s="156">
        <v>254875867.28178996</v>
      </c>
      <c r="H18" s="98">
        <f t="shared" si="2"/>
        <v>7.2487057676000486</v>
      </c>
      <c r="I18" s="156">
        <f t="shared" si="3"/>
        <v>19993470.579702944</v>
      </c>
      <c r="J18" s="98">
        <f t="shared" si="4"/>
        <v>8.5121196225963445</v>
      </c>
      <c r="L18" s="156">
        <f>+G18-C18</f>
        <v>12926511.551789969</v>
      </c>
    </row>
    <row r="19" spans="2:12">
      <c r="B19" s="97" t="s">
        <v>23</v>
      </c>
      <c r="C19" s="156">
        <v>134703897.09</v>
      </c>
      <c r="D19" s="98">
        <f t="shared" si="0"/>
        <v>4.038014313936686</v>
      </c>
      <c r="E19" s="156">
        <v>138667298.82084399</v>
      </c>
      <c r="F19" s="98">
        <f t="shared" si="1"/>
        <v>3.9437176201106214</v>
      </c>
      <c r="G19" s="156">
        <v>139196347.37307</v>
      </c>
      <c r="H19" s="98">
        <f t="shared" si="2"/>
        <v>3.9587638358734543</v>
      </c>
      <c r="I19" s="156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56">
        <v>10770190.189999999</v>
      </c>
      <c r="D20" s="98">
        <f t="shared" si="0"/>
        <v>0.32285763879558199</v>
      </c>
      <c r="E20" s="156">
        <v>11617385.520490499</v>
      </c>
      <c r="F20" s="98">
        <f t="shared" si="1"/>
        <v>0.33040008975706336</v>
      </c>
      <c r="G20" s="156">
        <v>11434714.104369998</v>
      </c>
      <c r="H20" s="98">
        <f t="shared" si="2"/>
        <v>0.3252048888079504</v>
      </c>
      <c r="I20" s="156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56">
        <v>11070841.180000002</v>
      </c>
      <c r="D21" s="98">
        <f t="shared" si="0"/>
        <v>0.33187024368189877</v>
      </c>
      <c r="E21" s="155">
        <v>12656092.6657611</v>
      </c>
      <c r="F21" s="98">
        <f t="shared" si="1"/>
        <v>0.3599410680971038</v>
      </c>
      <c r="G21" s="156">
        <v>12052723.97714</v>
      </c>
      <c r="H21" s="98">
        <f t="shared" si="2"/>
        <v>0.34278117712805589</v>
      </c>
      <c r="I21" s="156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54">
        <f>SUM(C23:C26)</f>
        <v>27069458</v>
      </c>
      <c r="D22" s="96">
        <f t="shared" si="0"/>
        <v>0.81146025642804165</v>
      </c>
      <c r="E22" s="154">
        <f>+SUM(E23:E26)</f>
        <v>20923047.198280636</v>
      </c>
      <c r="F22" s="96">
        <f t="shared" si="1"/>
        <v>0.59505442598166625</v>
      </c>
      <c r="G22" s="154">
        <f>+SUM(G23:G26)</f>
        <v>19923047.198280636</v>
      </c>
      <c r="H22" s="96">
        <f t="shared" si="2"/>
        <v>0.56661428433582772</v>
      </c>
      <c r="I22" s="154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56">
        <v>7881462.9399999995</v>
      </c>
      <c r="D23" s="98">
        <f t="shared" si="0"/>
        <v>0.23626235657620134</v>
      </c>
      <c r="E23" s="156">
        <v>8144616.5029747505</v>
      </c>
      <c r="F23" s="98">
        <f t="shared" si="1"/>
        <v>0.23163404699563594</v>
      </c>
      <c r="G23" s="156">
        <v>8144616.5029747505</v>
      </c>
      <c r="H23" s="98">
        <f t="shared" si="2"/>
        <v>0.23163404699563594</v>
      </c>
      <c r="I23" s="156">
        <f t="shared" si="3"/>
        <v>0</v>
      </c>
      <c r="J23" s="98">
        <f t="shared" si="4"/>
        <v>0</v>
      </c>
    </row>
    <row r="24" spans="2:12">
      <c r="B24" s="97" t="s">
        <v>32</v>
      </c>
      <c r="C24" s="156">
        <v>4557791.26</v>
      </c>
      <c r="D24" s="98">
        <f t="shared" si="0"/>
        <v>0.13662875941531916</v>
      </c>
      <c r="E24" s="156">
        <v>3676083.5729169641</v>
      </c>
      <c r="F24" s="98">
        <f t="shared" si="1"/>
        <v>0.10454833751569864</v>
      </c>
      <c r="G24" s="156">
        <v>5176083.5729169641</v>
      </c>
      <c r="H24" s="98">
        <f t="shared" si="2"/>
        <v>0.14720854998445643</v>
      </c>
      <c r="I24" s="156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56">
        <v>767936.98999999987</v>
      </c>
      <c r="D25" s="98">
        <f t="shared" si="0"/>
        <v>2.3020422013103413E-2</v>
      </c>
      <c r="E25" s="156">
        <v>762511.44191594806</v>
      </c>
      <c r="F25" s="98">
        <f t="shared" si="1"/>
        <v>2.1685933414662142E-2</v>
      </c>
      <c r="G25" s="156">
        <v>762511.44191594806</v>
      </c>
      <c r="H25" s="98">
        <f t="shared" si="2"/>
        <v>2.1685933414662142E-2</v>
      </c>
      <c r="I25" s="156">
        <f t="shared" si="3"/>
        <v>0</v>
      </c>
      <c r="J25" s="98">
        <f t="shared" si="4"/>
        <v>0</v>
      </c>
    </row>
    <row r="26" spans="2:12">
      <c r="B26" s="97" t="s">
        <v>37</v>
      </c>
      <c r="C26" s="155">
        <v>13862266.809999999</v>
      </c>
      <c r="D26" s="98">
        <f t="shared" si="0"/>
        <v>0.41554871842341756</v>
      </c>
      <c r="E26" s="155">
        <v>8339835.6804729737</v>
      </c>
      <c r="F26" s="98">
        <f t="shared" si="1"/>
        <v>0.23718610805566953</v>
      </c>
      <c r="G26" s="155">
        <v>5839835.6804729737</v>
      </c>
      <c r="H26" s="98">
        <f t="shared" si="2"/>
        <v>0.16608575394107319</v>
      </c>
      <c r="I26" s="155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54">
        <f>SUM(C28:C33)</f>
        <v>13233490.18</v>
      </c>
      <c r="D27" s="96">
        <f t="shared" si="0"/>
        <v>0.39669990196703492</v>
      </c>
      <c r="E27" s="154">
        <f>+SUM(E28:E33)</f>
        <v>13024243.76827177</v>
      </c>
      <c r="F27" s="96">
        <f t="shared" si="1"/>
        <v>0.37041133759957889</v>
      </c>
      <c r="G27" s="154">
        <f>+SUM(G28:G33)</f>
        <v>12724243.76827177</v>
      </c>
      <c r="H27" s="96">
        <f t="shared" si="2"/>
        <v>0.36187929510582734</v>
      </c>
      <c r="I27" s="154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56">
        <v>647266.8600000001</v>
      </c>
      <c r="D28" s="98">
        <f t="shared" si="0"/>
        <v>1.9403097475870164E-2</v>
      </c>
      <c r="E28" s="156">
        <v>698651.48499726248</v>
      </c>
      <c r="F28" s="98">
        <f t="shared" si="1"/>
        <v>1.9869747194397578E-2</v>
      </c>
      <c r="G28" s="156">
        <v>698651.48499726248</v>
      </c>
      <c r="H28" s="98">
        <f t="shared" si="2"/>
        <v>1.9869747194397578E-2</v>
      </c>
      <c r="I28" s="156">
        <f t="shared" si="3"/>
        <v>0</v>
      </c>
      <c r="J28" s="98">
        <f t="shared" si="4"/>
        <v>0</v>
      </c>
    </row>
    <row r="29" spans="2:12">
      <c r="B29" s="97" t="s">
        <v>42</v>
      </c>
      <c r="C29" s="156">
        <v>1995183.6300000001</v>
      </c>
      <c r="D29" s="98">
        <f t="shared" si="0"/>
        <v>5.9809554370125591E-2</v>
      </c>
      <c r="E29" s="156">
        <v>1997965.7673730874</v>
      </c>
      <c r="F29" s="98">
        <f t="shared" si="1"/>
        <v>5.6822429427627073E-2</v>
      </c>
      <c r="G29" s="156">
        <v>1997965.7673730874</v>
      </c>
      <c r="H29" s="98">
        <f t="shared" si="2"/>
        <v>5.6822429427627073E-2</v>
      </c>
      <c r="I29" s="156">
        <f t="shared" si="3"/>
        <v>0</v>
      </c>
      <c r="J29" s="98">
        <f t="shared" si="4"/>
        <v>0</v>
      </c>
    </row>
    <row r="30" spans="2:12">
      <c r="B30" s="97" t="s">
        <v>45</v>
      </c>
      <c r="C30" s="156">
        <v>309851.25</v>
      </c>
      <c r="D30" s="98">
        <f t="shared" si="0"/>
        <v>9.2884007791936302E-3</v>
      </c>
      <c r="E30" s="156">
        <v>424373.88097611902</v>
      </c>
      <c r="F30" s="98">
        <f t="shared" si="1"/>
        <v>1.2069253285755047E-2</v>
      </c>
      <c r="G30" s="156">
        <v>424373.88097611902</v>
      </c>
      <c r="H30" s="98">
        <f t="shared" si="2"/>
        <v>1.2069253285755047E-2</v>
      </c>
      <c r="I30" s="156">
        <f t="shared" si="3"/>
        <v>0</v>
      </c>
      <c r="J30" s="98">
        <f t="shared" si="4"/>
        <v>0</v>
      </c>
    </row>
    <row r="31" spans="2:12">
      <c r="B31" s="97" t="s">
        <v>47</v>
      </c>
      <c r="C31" s="156">
        <v>3324177.16</v>
      </c>
      <c r="D31" s="98">
        <f t="shared" si="0"/>
        <v>9.9648749918296836E-2</v>
      </c>
      <c r="E31" s="156">
        <v>3266343.0516235088</v>
      </c>
      <c r="F31" s="98">
        <f t="shared" si="1"/>
        <v>9.2895259052073062E-2</v>
      </c>
      <c r="G31" s="156">
        <v>3666343.0516235088</v>
      </c>
      <c r="H31" s="98">
        <f t="shared" si="2"/>
        <v>0.10427131571040847</v>
      </c>
      <c r="I31" s="156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56">
        <v>3659024.1899999995</v>
      </c>
      <c r="D32" s="98">
        <f t="shared" si="0"/>
        <v>0.10968644837638813</v>
      </c>
      <c r="E32" s="156">
        <v>3355752.0175728933</v>
      </c>
      <c r="F32" s="98">
        <f t="shared" si="1"/>
        <v>9.5438062708081514E-2</v>
      </c>
      <c r="G32" s="156">
        <v>3355752.0175728933</v>
      </c>
      <c r="H32" s="98">
        <f t="shared" si="2"/>
        <v>9.5438062708081514E-2</v>
      </c>
      <c r="I32" s="156">
        <f t="shared" si="3"/>
        <v>0</v>
      </c>
      <c r="J32" s="98">
        <f t="shared" si="4"/>
        <v>0</v>
      </c>
    </row>
    <row r="33" spans="2:10">
      <c r="B33" s="97" t="s">
        <v>51</v>
      </c>
      <c r="C33" s="156">
        <v>3297987.09</v>
      </c>
      <c r="D33" s="98">
        <f t="shared" si="0"/>
        <v>9.8863651047160633E-2</v>
      </c>
      <c r="E33" s="156">
        <v>3281157.5657288986</v>
      </c>
      <c r="F33" s="98">
        <f t="shared" si="1"/>
        <v>9.331658593164463E-2</v>
      </c>
      <c r="G33" s="156">
        <v>2581157.5657288986</v>
      </c>
      <c r="H33" s="98">
        <f t="shared" si="2"/>
        <v>7.340848677955765E-2</v>
      </c>
      <c r="I33" s="156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54">
        <f>SUM(C35:C38)</f>
        <v>33088194.540000003</v>
      </c>
      <c r="D34" s="96">
        <f t="shared" si="0"/>
        <v>0.99188372468223518</v>
      </c>
      <c r="E34" s="154">
        <f>+SUM(E35:E38)</f>
        <v>31410770.914738216</v>
      </c>
      <c r="F34" s="96">
        <f t="shared" si="1"/>
        <v>0.89332677402013982</v>
      </c>
      <c r="G34" s="154">
        <f>+SUM(G35:G38)</f>
        <v>31310770.914738216</v>
      </c>
      <c r="H34" s="96">
        <f t="shared" si="2"/>
        <v>0.89048275985555603</v>
      </c>
      <c r="I34" s="154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56">
        <v>6034873.3200000003</v>
      </c>
      <c r="D35" s="98">
        <f t="shared" si="0"/>
        <v>0.18090719998006413</v>
      </c>
      <c r="E35" s="156">
        <v>5533606.7424404304</v>
      </c>
      <c r="F35" s="98">
        <f t="shared" si="1"/>
        <v>0.15737655956737298</v>
      </c>
      <c r="G35" s="156">
        <v>6533606.7424404304</v>
      </c>
      <c r="H35" s="98">
        <f t="shared" si="2"/>
        <v>0.1858167012132115</v>
      </c>
      <c r="I35" s="156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56">
        <v>12316700.43</v>
      </c>
      <c r="D36" s="98">
        <f t="shared" si="0"/>
        <v>0.36921732563966259</v>
      </c>
      <c r="E36" s="156">
        <v>11824073.889814863</v>
      </c>
      <c r="F36" s="98">
        <f t="shared" si="1"/>
        <v>0.33627833625719566</v>
      </c>
      <c r="G36" s="156">
        <v>12424073.889814863</v>
      </c>
      <c r="H36" s="98">
        <f t="shared" si="2"/>
        <v>0.35334242124469878</v>
      </c>
      <c r="I36" s="156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56">
        <v>2179410.2600000002</v>
      </c>
      <c r="D37" s="98">
        <f t="shared" si="0"/>
        <v>6.5332110027526411E-2</v>
      </c>
      <c r="E37" s="156">
        <v>2220205.3434794326</v>
      </c>
      <c r="F37" s="98">
        <f t="shared" si="1"/>
        <v>6.3142954451402653E-2</v>
      </c>
      <c r="G37" s="156">
        <v>2220205.3434794326</v>
      </c>
      <c r="H37" s="98">
        <f t="shared" si="2"/>
        <v>6.3142954451402653E-2</v>
      </c>
      <c r="I37" s="156">
        <f t="shared" si="3"/>
        <v>0</v>
      </c>
      <c r="J37" s="98">
        <f t="shared" si="4"/>
        <v>0</v>
      </c>
    </row>
    <row r="38" spans="2:10">
      <c r="B38" s="97" t="s">
        <v>53</v>
      </c>
      <c r="C38" s="156">
        <v>12557210.530000001</v>
      </c>
      <c r="D38" s="98">
        <f t="shared" si="0"/>
        <v>0.37642708903498195</v>
      </c>
      <c r="E38" s="156">
        <v>11832884.939003492</v>
      </c>
      <c r="F38" s="98">
        <f t="shared" si="1"/>
        <v>0.33652892374416871</v>
      </c>
      <c r="G38" s="156">
        <v>10132884.939003492</v>
      </c>
      <c r="H38" s="98">
        <f t="shared" si="2"/>
        <v>0.28818068294624322</v>
      </c>
      <c r="I38" s="156">
        <f t="shared" si="3"/>
        <v>-1700000</v>
      </c>
      <c r="J38" s="98">
        <f t="shared" si="4"/>
        <v>-14.366741574545941</v>
      </c>
    </row>
    <row r="39" spans="2:10">
      <c r="B39" s="93" t="s">
        <v>255</v>
      </c>
      <c r="C39" s="154">
        <v>7564493.0600000005</v>
      </c>
      <c r="D39" s="96">
        <f t="shared" si="0"/>
        <v>0.22676056085850488</v>
      </c>
      <c r="E39" s="154">
        <v>7046262.4871663069</v>
      </c>
      <c r="F39" s="96">
        <f t="shared" si="1"/>
        <v>0.20039670320876826</v>
      </c>
      <c r="G39" s="154">
        <v>7738476.4003799995</v>
      </c>
      <c r="H39" s="96">
        <f t="shared" si="2"/>
        <v>0.22008336494978584</v>
      </c>
      <c r="I39" s="154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123</v>
      </c>
      <c r="C40" s="156">
        <v>6615451.54</v>
      </c>
      <c r="D40" s="98">
        <f t="shared" si="0"/>
        <v>0.19831117427750797</v>
      </c>
      <c r="E40" s="154">
        <v>8000000</v>
      </c>
      <c r="F40" s="96">
        <f t="shared" si="1"/>
        <v>0.22752113316670824</v>
      </c>
      <c r="G40" s="154">
        <v>8000000</v>
      </c>
      <c r="H40" s="96">
        <f t="shared" si="2"/>
        <v>0.22752113316670824</v>
      </c>
      <c r="I40" s="154">
        <f t="shared" si="3"/>
        <v>0</v>
      </c>
      <c r="J40" s="96">
        <f t="shared" si="4"/>
        <v>0</v>
      </c>
    </row>
    <row r="41" spans="2:10" ht="14" thickTop="1" thickBot="1">
      <c r="B41" s="90" t="s">
        <v>62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" thickTop="1" thickBot="1">
      <c r="B42" s="90" t="s">
        <v>126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63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64</v>
      </c>
      <c r="C44" s="154">
        <v>366128508.17291778</v>
      </c>
      <c r="D44" s="96">
        <f t="shared" si="0"/>
        <v>10.975422305375018</v>
      </c>
      <c r="E44" s="154">
        <v>386488693.71999997</v>
      </c>
      <c r="F44" s="96">
        <f t="shared" si="1"/>
        <v>10.991793193911903</v>
      </c>
      <c r="G44" s="154">
        <v>386488693.71999997</v>
      </c>
      <c r="H44" s="96">
        <f t="shared" si="2"/>
        <v>10.991793193911903</v>
      </c>
      <c r="I44" s="154">
        <f t="shared" si="5"/>
        <v>0</v>
      </c>
      <c r="J44" s="96">
        <f t="shared" si="4"/>
        <v>0</v>
      </c>
    </row>
    <row r="45" spans="2:10">
      <c r="B45" s="93" t="s">
        <v>75</v>
      </c>
      <c r="C45" s="154">
        <v>12022159.040000001</v>
      </c>
      <c r="D45" s="96">
        <f t="shared" si="0"/>
        <v>0.36038786803256645</v>
      </c>
      <c r="E45" s="154">
        <v>11478163.960000001</v>
      </c>
      <c r="F45" s="96">
        <f t="shared" si="1"/>
        <v>0.3264406088565589</v>
      </c>
      <c r="G45" s="154">
        <v>11478163.960000001</v>
      </c>
      <c r="H45" s="96">
        <f t="shared" si="2"/>
        <v>0.3264406088565589</v>
      </c>
      <c r="I45" s="154">
        <f t="shared" si="5"/>
        <v>0</v>
      </c>
      <c r="J45" s="96">
        <f t="shared" si="4"/>
        <v>0</v>
      </c>
    </row>
    <row r="46" spans="2:10">
      <c r="B46" s="93" t="s">
        <v>429</v>
      </c>
      <c r="C46" s="154">
        <v>90442340.840000004</v>
      </c>
      <c r="D46" s="96">
        <f t="shared" si="0"/>
        <v>2.7111870910004456</v>
      </c>
      <c r="E46" s="154">
        <v>89210330.25999999</v>
      </c>
      <c r="F46" s="96">
        <f t="shared" si="1"/>
        <v>2.5371544288664349</v>
      </c>
      <c r="G46" s="154">
        <v>29295302.830000002</v>
      </c>
      <c r="H46" s="96">
        <f t="shared" si="2"/>
        <v>0.83316256204293437</v>
      </c>
      <c r="I46" s="154">
        <f t="shared" si="5"/>
        <v>-59915027.429999992</v>
      </c>
      <c r="J46" s="96">
        <f t="shared" si="4"/>
        <v>-67.161535278907735</v>
      </c>
    </row>
    <row r="47" spans="2:10">
      <c r="B47" s="93" t="s">
        <v>430</v>
      </c>
      <c r="C47" s="154"/>
      <c r="D47" s="96">
        <f t="shared" si="0"/>
        <v>0</v>
      </c>
      <c r="E47" s="154"/>
      <c r="F47" s="96">
        <f t="shared" si="1"/>
        <v>0</v>
      </c>
      <c r="G47" s="154">
        <v>40692845.799999997</v>
      </c>
      <c r="H47" s="96">
        <f t="shared" si="2"/>
        <v>1.1573102985242654</v>
      </c>
      <c r="I47" s="154">
        <f t="shared" si="5"/>
        <v>40692845.799999997</v>
      </c>
      <c r="J47" s="96" t="e">
        <f t="shared" si="4"/>
        <v>#DIV/0!</v>
      </c>
    </row>
    <row r="48" spans="2:10">
      <c r="B48" s="93" t="s">
        <v>431</v>
      </c>
      <c r="C48" s="154">
        <v>20416485.639999997</v>
      </c>
      <c r="D48" s="96">
        <f t="shared" si="0"/>
        <v>0.61202432175752564</v>
      </c>
      <c r="E48" s="154">
        <v>21655403.200000003</v>
      </c>
      <c r="F48" s="96">
        <f t="shared" si="1"/>
        <v>0.61588273440574504</v>
      </c>
      <c r="G48" s="154">
        <v>21655403.200000003</v>
      </c>
      <c r="H48" s="96">
        <f t="shared" si="2"/>
        <v>0.61588273440574504</v>
      </c>
      <c r="I48" s="154">
        <f t="shared" si="5"/>
        <v>0</v>
      </c>
      <c r="J48" s="96">
        <f t="shared" si="4"/>
        <v>0</v>
      </c>
    </row>
    <row r="49" spans="2:10">
      <c r="B49" s="93" t="s">
        <v>80</v>
      </c>
      <c r="C49" s="154">
        <v>67427730.789999992</v>
      </c>
      <c r="D49" s="96">
        <f t="shared" si="0"/>
        <v>2.0212788788462022</v>
      </c>
      <c r="E49" s="154">
        <v>73316123.120000005</v>
      </c>
      <c r="F49" s="96">
        <f t="shared" si="1"/>
        <v>2.0851209264565371</v>
      </c>
      <c r="G49" s="154">
        <v>73316123.120000005</v>
      </c>
      <c r="H49" s="96">
        <f t="shared" si="2"/>
        <v>2.0851209264565371</v>
      </c>
      <c r="I49" s="154">
        <f t="shared" si="5"/>
        <v>0</v>
      </c>
      <c r="J49" s="96">
        <f t="shared" si="4"/>
        <v>0</v>
      </c>
    </row>
    <row r="50" spans="2:10">
      <c r="B50" s="93" t="s">
        <v>82</v>
      </c>
      <c r="C50" s="154">
        <v>7928041.8100000005</v>
      </c>
      <c r="D50" s="96">
        <f t="shared" si="0"/>
        <v>0.23765864983757101</v>
      </c>
      <c r="E50" s="154">
        <v>8172802.1399999997</v>
      </c>
      <c r="F50" s="96">
        <f t="shared" si="1"/>
        <v>0.23243565050501225</v>
      </c>
      <c r="G50" s="154">
        <v>8172802.1399999997</v>
      </c>
      <c r="H50" s="96">
        <f t="shared" si="2"/>
        <v>0.23243565050501225</v>
      </c>
      <c r="I50" s="154">
        <f t="shared" si="5"/>
        <v>0</v>
      </c>
      <c r="J50" s="96">
        <f t="shared" si="4"/>
        <v>0</v>
      </c>
    </row>
    <row r="51" spans="2:10">
      <c r="B51" s="93" t="s">
        <v>84</v>
      </c>
      <c r="C51" s="154">
        <v>17426749.959999997</v>
      </c>
      <c r="D51" s="96">
        <f t="shared" si="0"/>
        <v>0.52240111313824467</v>
      </c>
      <c r="E51" s="154">
        <v>18874600</v>
      </c>
      <c r="F51" s="96">
        <f t="shared" si="1"/>
        <v>0.53679629750854385</v>
      </c>
      <c r="G51" s="154">
        <v>18874600</v>
      </c>
      <c r="H51" s="96">
        <f t="shared" si="2"/>
        <v>0.53679629750854385</v>
      </c>
      <c r="I51" s="154">
        <f t="shared" si="5"/>
        <v>0</v>
      </c>
      <c r="J51" s="96">
        <f t="shared" si="4"/>
        <v>0</v>
      </c>
    </row>
    <row r="52" spans="2:10">
      <c r="B52" s="93" t="s">
        <v>86</v>
      </c>
      <c r="C52" s="154">
        <v>6279093.0100000007</v>
      </c>
      <c r="D52" s="96">
        <f t="shared" si="0"/>
        <v>0.18822816563339112</v>
      </c>
      <c r="E52" s="154">
        <v>5827393.7300000023</v>
      </c>
      <c r="F52" s="96">
        <f t="shared" si="1"/>
        <v>0.16573190310727137</v>
      </c>
      <c r="G52" s="154">
        <v>25049575.370000001</v>
      </c>
      <c r="H52" s="96">
        <f t="shared" si="2"/>
        <v>0.71241347169090818</v>
      </c>
      <c r="I52" s="154">
        <f t="shared" si="5"/>
        <v>19222181.640000001</v>
      </c>
      <c r="J52" s="96">
        <f>+G52/E52*100-100</f>
        <v>329.85898208734892</v>
      </c>
    </row>
    <row r="53" spans="2:10">
      <c r="B53" s="93" t="s">
        <v>130</v>
      </c>
      <c r="C53" s="154">
        <v>12216538.75</v>
      </c>
      <c r="D53" s="160">
        <f t="shared" si="0"/>
        <v>0.36621478223679643</v>
      </c>
      <c r="E53" s="154"/>
      <c r="F53" s="160">
        <f t="shared" si="1"/>
        <v>0</v>
      </c>
      <c r="G53" s="154">
        <v>10502963.32</v>
      </c>
      <c r="H53" s="160">
        <f t="shared" si="2"/>
        <v>0.2987057645218465</v>
      </c>
      <c r="I53" s="154">
        <f t="shared" si="5"/>
        <v>10502963.32</v>
      </c>
      <c r="J53" s="160" t="e">
        <f t="shared" si="4"/>
        <v>#DIV/0!</v>
      </c>
    </row>
    <row r="54" spans="2:10">
      <c r="B54" s="93" t="s">
        <v>87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89</v>
      </c>
      <c r="C55" s="156">
        <v>64036543.990000002</v>
      </c>
      <c r="D55" s="98">
        <f t="shared" si="0"/>
        <v>1.919621383142986</v>
      </c>
      <c r="E55" s="156">
        <v>58645000</v>
      </c>
      <c r="F55" s="98">
        <f t="shared" si="1"/>
        <v>1.6678721068202007</v>
      </c>
      <c r="G55" s="156">
        <v>58645000</v>
      </c>
      <c r="H55" s="98">
        <f t="shared" si="2"/>
        <v>1.6678721068202007</v>
      </c>
      <c r="I55" s="156">
        <f t="shared" si="5"/>
        <v>0</v>
      </c>
      <c r="J55" s="98">
        <f t="shared" si="4"/>
        <v>0</v>
      </c>
    </row>
    <row r="56" spans="2:10">
      <c r="B56" s="97" t="s">
        <v>91</v>
      </c>
      <c r="C56" s="156">
        <v>13086355.520000001</v>
      </c>
      <c r="D56" s="98">
        <f t="shared" si="0"/>
        <v>0.39228925108022916</v>
      </c>
      <c r="E56" s="156">
        <v>20758124</v>
      </c>
      <c r="F56" s="98">
        <f t="shared" si="1"/>
        <v>0.59036398686188019</v>
      </c>
      <c r="G56" s="156">
        <v>20758124</v>
      </c>
      <c r="H56" s="98">
        <f t="shared" si="2"/>
        <v>0.59036398686188019</v>
      </c>
      <c r="I56" s="156">
        <f t="shared" si="5"/>
        <v>0</v>
      </c>
      <c r="J56" s="98">
        <f t="shared" si="4"/>
        <v>0</v>
      </c>
    </row>
    <row r="57" spans="2:10">
      <c r="B57" s="97" t="s">
        <v>93</v>
      </c>
      <c r="C57" s="156">
        <v>383190248.31999987</v>
      </c>
      <c r="D57" s="98">
        <f t="shared" si="0"/>
        <v>11.486881531298929</v>
      </c>
      <c r="E57" s="156">
        <v>397320274.96999997</v>
      </c>
      <c r="F57" s="98">
        <f t="shared" si="1"/>
        <v>11.299844898910312</v>
      </c>
      <c r="G57" s="156">
        <v>397320274.96999997</v>
      </c>
      <c r="H57" s="98">
        <f t="shared" si="2"/>
        <v>11.299844898910312</v>
      </c>
      <c r="I57" s="156">
        <f t="shared" si="5"/>
        <v>0</v>
      </c>
      <c r="J57" s="98">
        <f t="shared" si="4"/>
        <v>0</v>
      </c>
    </row>
    <row r="58" spans="2:10">
      <c r="B58" s="97" t="s">
        <v>95</v>
      </c>
      <c r="C58" s="156">
        <v>14792096.089999998</v>
      </c>
      <c r="D58" s="98">
        <f t="shared" si="0"/>
        <v>0.44342218031478986</v>
      </c>
      <c r="E58" s="156">
        <v>14500000</v>
      </c>
      <c r="F58" s="98">
        <f t="shared" si="1"/>
        <v>0.4123820538646587</v>
      </c>
      <c r="G58" s="156">
        <v>14500000</v>
      </c>
      <c r="H58" s="98">
        <f t="shared" si="2"/>
        <v>0.4123820538646587</v>
      </c>
      <c r="I58" s="156">
        <f t="shared" si="5"/>
        <v>0</v>
      </c>
      <c r="J58" s="98">
        <f t="shared" si="4"/>
        <v>0</v>
      </c>
    </row>
    <row r="59" spans="2:10">
      <c r="B59" s="97" t="s">
        <v>432</v>
      </c>
      <c r="C59" s="156">
        <v>7862525.3600000013</v>
      </c>
      <c r="D59" s="98">
        <f t="shared" si="0"/>
        <v>0.23569466536040659</v>
      </c>
      <c r="E59" s="156">
        <v>7000000</v>
      </c>
      <c r="F59" s="98">
        <f t="shared" si="1"/>
        <v>0.19908099152086972</v>
      </c>
      <c r="G59" s="156">
        <v>7000000</v>
      </c>
      <c r="H59" s="98">
        <f t="shared" si="2"/>
        <v>0.19908099152086972</v>
      </c>
      <c r="I59" s="156">
        <f t="shared" si="5"/>
        <v>0</v>
      </c>
      <c r="J59" s="98">
        <f t="shared" si="4"/>
        <v>0</v>
      </c>
    </row>
    <row r="60" spans="2:10">
      <c r="B60" s="93" t="s">
        <v>433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433</v>
      </c>
      <c r="C61" s="156">
        <v>94307106.209999993</v>
      </c>
      <c r="D61" s="98">
        <f t="shared" si="0"/>
        <v>2.8270410359953697</v>
      </c>
      <c r="E61" s="156">
        <v>101040047.61999999</v>
      </c>
      <c r="F61" s="98">
        <f t="shared" si="1"/>
        <v>2.8735932662150696</v>
      </c>
      <c r="G61" s="156">
        <v>101040047.61999999</v>
      </c>
      <c r="H61" s="98">
        <f t="shared" si="2"/>
        <v>2.8735932662150696</v>
      </c>
      <c r="I61" s="156">
        <f t="shared" si="5"/>
        <v>0</v>
      </c>
      <c r="J61" s="98">
        <f t="shared" si="4"/>
        <v>0</v>
      </c>
    </row>
    <row r="62" spans="2:10" ht="13.5" thickBot="1">
      <c r="B62" s="97" t="s">
        <v>434</v>
      </c>
      <c r="C62" s="156"/>
      <c r="D62" s="98">
        <f t="shared" si="0"/>
        <v>0</v>
      </c>
      <c r="E62" s="156"/>
      <c r="F62" s="98">
        <f t="shared" si="1"/>
        <v>0</v>
      </c>
      <c r="G62" s="156"/>
      <c r="H62" s="98">
        <f t="shared" si="2"/>
        <v>0</v>
      </c>
      <c r="I62" s="156">
        <f t="shared" si="5"/>
        <v>0</v>
      </c>
      <c r="J62" s="98" t="e">
        <f t="shared" si="4"/>
        <v>#DIV/0!</v>
      </c>
    </row>
    <row r="63" spans="2:10" ht="14" thickTop="1" thickBot="1">
      <c r="B63" s="90" t="s">
        <v>131</v>
      </c>
      <c r="C63" s="162">
        <v>61785502.860000007</v>
      </c>
      <c r="D63" s="92">
        <f t="shared" si="0"/>
        <v>1.8521419968700925</v>
      </c>
      <c r="E63" s="162">
        <v>101820500</v>
      </c>
      <c r="F63" s="92">
        <f t="shared" si="1"/>
        <v>2.8957894424501021</v>
      </c>
      <c r="G63" s="162">
        <v>101820500</v>
      </c>
      <c r="H63" s="92">
        <f t="shared" si="2"/>
        <v>2.8957894424501021</v>
      </c>
      <c r="I63" s="162">
        <f t="shared" si="5"/>
        <v>0</v>
      </c>
      <c r="J63" s="92">
        <f t="shared" si="4"/>
        <v>0</v>
      </c>
    </row>
    <row r="64" spans="2:10" ht="13.5" thickTop="1">
      <c r="B64" s="93" t="s">
        <v>111</v>
      </c>
      <c r="C64" s="154">
        <v>2752781.9799999995</v>
      </c>
      <c r="D64" s="96">
        <f t="shared" si="0"/>
        <v>8.2520055310353516E-2</v>
      </c>
      <c r="E64" s="154">
        <v>2140000</v>
      </c>
      <c r="F64" s="96">
        <f t="shared" si="1"/>
        <v>6.0861903122094448E-2</v>
      </c>
      <c r="G64" s="154">
        <v>2140000</v>
      </c>
      <c r="H64" s="96">
        <f t="shared" si="2"/>
        <v>6.0861903122094448E-2</v>
      </c>
      <c r="I64" s="154">
        <f t="shared" si="5"/>
        <v>0</v>
      </c>
      <c r="J64" s="96">
        <f t="shared" si="4"/>
        <v>0</v>
      </c>
    </row>
    <row r="65" spans="2:10" ht="13.5" thickBot="1">
      <c r="B65" s="93" t="s">
        <v>118</v>
      </c>
      <c r="C65" s="154">
        <v>14126844.789999999</v>
      </c>
      <c r="D65" s="96">
        <f t="shared" si="0"/>
        <v>0.42347996386970665</v>
      </c>
      <c r="E65" s="154">
        <v>8854649.7699999996</v>
      </c>
      <c r="F65" s="96">
        <f t="shared" si="1"/>
        <v>0.25182749368309154</v>
      </c>
      <c r="G65" s="154">
        <v>8854649.7699999996</v>
      </c>
      <c r="H65" s="96">
        <f t="shared" si="2"/>
        <v>0.25182749368309154</v>
      </c>
      <c r="I65" s="154">
        <f t="shared" si="5"/>
        <v>0</v>
      </c>
      <c r="J65" s="96">
        <f t="shared" si="4"/>
        <v>0</v>
      </c>
    </row>
    <row r="66" spans="2:10" ht="14" thickTop="1" thickBot="1">
      <c r="B66" s="148" t="s">
        <v>113</v>
      </c>
      <c r="C66" s="163">
        <v>107239350.92999999</v>
      </c>
      <c r="D66" s="150">
        <f t="shared" si="0"/>
        <v>3.2147105126683559</v>
      </c>
      <c r="E66" s="163">
        <v>0</v>
      </c>
      <c r="F66" s="150">
        <f t="shared" si="1"/>
        <v>0</v>
      </c>
      <c r="G66" s="163">
        <v>5153201.26</v>
      </c>
      <c r="H66" s="150">
        <f t="shared" si="2"/>
        <v>0.14655777376391357</v>
      </c>
      <c r="I66" s="163">
        <f t="shared" si="5"/>
        <v>5153201.26</v>
      </c>
      <c r="J66" s="150" t="e">
        <f t="shared" si="4"/>
        <v>#DIV/0!</v>
      </c>
    </row>
    <row r="67" spans="2:10" ht="14" thickTop="1" thickBot="1">
      <c r="B67" s="183" t="s">
        <v>152</v>
      </c>
      <c r="C67" s="154">
        <v>0</v>
      </c>
      <c r="D67" s="96">
        <f t="shared" si="0"/>
        <v>0</v>
      </c>
      <c r="E67" s="154">
        <v>0</v>
      </c>
      <c r="F67" s="96">
        <f t="shared" si="1"/>
        <v>0</v>
      </c>
      <c r="G67" s="154">
        <v>0</v>
      </c>
      <c r="H67" s="96">
        <f t="shared" si="2"/>
        <v>0</v>
      </c>
      <c r="I67" s="154">
        <f t="shared" si="5"/>
        <v>0</v>
      </c>
      <c r="J67" s="96" t="e">
        <f t="shared" si="4"/>
        <v>#DIV/0!</v>
      </c>
    </row>
    <row r="68" spans="2:10" ht="14" thickTop="1" thickBot="1">
      <c r="B68" s="90" t="s">
        <v>132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" thickTop="1" thickBot="1">
      <c r="B69" s="90" t="s">
        <v>133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135</v>
      </c>
      <c r="C71" s="156">
        <v>112695950.91</v>
      </c>
      <c r="D71" s="98">
        <f t="shared" si="0"/>
        <v>3.3782828316632929</v>
      </c>
      <c r="E71" s="156">
        <v>30008345.27</v>
      </c>
      <c r="F71" s="98">
        <f t="shared" si="1"/>
        <v>0.8534415900360286</v>
      </c>
      <c r="G71" s="156">
        <v>30008345.27</v>
      </c>
      <c r="H71" s="98">
        <f t="shared" si="2"/>
        <v>0.8534415900360286</v>
      </c>
      <c r="I71" s="156">
        <f t="shared" si="5"/>
        <v>0</v>
      </c>
      <c r="J71" s="98">
        <f t="shared" si="4"/>
        <v>0</v>
      </c>
    </row>
    <row r="72" spans="2:10">
      <c r="B72" s="97" t="s">
        <v>137</v>
      </c>
      <c r="C72" s="156">
        <v>68802905.489999995</v>
      </c>
      <c r="D72" s="98">
        <f t="shared" si="0"/>
        <v>2.0625024458158605</v>
      </c>
      <c r="E72" s="156">
        <v>108080400.25</v>
      </c>
      <c r="F72" s="98">
        <f t="shared" si="1"/>
        <v>3.073821892248922</v>
      </c>
      <c r="G72" s="156">
        <v>108080400.25</v>
      </c>
      <c r="H72" s="98">
        <f t="shared" si="2"/>
        <v>3.073821892248922</v>
      </c>
      <c r="I72" s="156">
        <f t="shared" si="5"/>
        <v>0</v>
      </c>
      <c r="J72" s="98">
        <f t="shared" si="4"/>
        <v>0</v>
      </c>
    </row>
    <row r="73" spans="2:10" ht="13.5" thickBot="1">
      <c r="B73" s="97" t="s">
        <v>116</v>
      </c>
      <c r="C73" s="156">
        <v>60278571.609999992</v>
      </c>
      <c r="D73" s="98">
        <f t="shared" ref="D73:D79" si="6">C73/C$3*100</f>
        <v>1.8069687681137414</v>
      </c>
      <c r="E73" s="156">
        <v>33338159.969999999</v>
      </c>
      <c r="F73" s="98">
        <f t="shared" si="1"/>
        <v>0.94814199175842395</v>
      </c>
      <c r="G73" s="156">
        <v>33338159.969999999</v>
      </c>
      <c r="H73" s="98">
        <f t="shared" ref="H73:H79" si="7">G73/E$3*100</f>
        <v>0.94814199175842395</v>
      </c>
      <c r="I73" s="156">
        <f t="shared" si="5"/>
        <v>0</v>
      </c>
      <c r="J73" s="98">
        <f t="shared" si="4"/>
        <v>0</v>
      </c>
    </row>
    <row r="74" spans="2:10" ht="14" thickTop="1" thickBot="1">
      <c r="B74" s="90" t="s">
        <v>141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" thickTop="1" thickBot="1">
      <c r="B75" s="90" t="s">
        <v>121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144</v>
      </c>
      <c r="C76" s="156">
        <v>102834751.84999999</v>
      </c>
      <c r="D76" s="98">
        <f t="shared" si="6"/>
        <v>3.0826739902186082</v>
      </c>
      <c r="E76" s="156">
        <v>0</v>
      </c>
      <c r="F76" s="98">
        <f t="shared" si="8"/>
        <v>0</v>
      </c>
      <c r="G76" s="185">
        <v>0</v>
      </c>
      <c r="H76" s="186">
        <f t="shared" si="7"/>
        <v>0</v>
      </c>
      <c r="I76" s="156">
        <f t="shared" si="9"/>
        <v>0</v>
      </c>
      <c r="J76" s="98" t="e">
        <f t="shared" si="10"/>
        <v>#DIV/0!</v>
      </c>
    </row>
    <row r="77" spans="2:10">
      <c r="B77" s="97" t="s">
        <v>122</v>
      </c>
      <c r="C77" s="156">
        <v>230537476.81999999</v>
      </c>
      <c r="D77" s="98">
        <f t="shared" si="6"/>
        <v>6.910814396676539</v>
      </c>
      <c r="E77" s="156">
        <v>227975575.86282945</v>
      </c>
      <c r="F77" s="98">
        <f t="shared" si="8"/>
        <v>6.4836576693304764</v>
      </c>
      <c r="G77" s="185">
        <v>227975575.86282945</v>
      </c>
      <c r="H77" s="186">
        <f t="shared" si="7"/>
        <v>6.4836576693304764</v>
      </c>
      <c r="I77" s="156">
        <f t="shared" si="9"/>
        <v>0</v>
      </c>
      <c r="J77" s="98">
        <f t="shared" si="10"/>
        <v>0</v>
      </c>
    </row>
    <row r="78" spans="2:10" ht="13.5" thickBot="1">
      <c r="B78" s="103" t="s">
        <v>329</v>
      </c>
      <c r="C78" s="156">
        <v>11948846.35</v>
      </c>
      <c r="D78" s="104">
        <f t="shared" si="6"/>
        <v>0.35819017592410862</v>
      </c>
      <c r="E78" s="156">
        <v>5000000</v>
      </c>
      <c r="F78" s="104">
        <f t="shared" si="8"/>
        <v>0.14220070822919265</v>
      </c>
      <c r="G78" s="185">
        <v>5000000</v>
      </c>
      <c r="H78" s="186">
        <f t="shared" si="7"/>
        <v>0.14220070822919265</v>
      </c>
      <c r="I78" s="156">
        <f t="shared" si="9"/>
        <v>0</v>
      </c>
      <c r="J78" s="104">
        <f t="shared" si="10"/>
        <v>0</v>
      </c>
    </row>
    <row r="79" spans="2:10" ht="14" thickTop="1" thickBot="1">
      <c r="B79" s="148" t="s">
        <v>125</v>
      </c>
      <c r="C79" s="149">
        <f>-C74-SUM(C76:C78)</f>
        <v>24776977.5729177</v>
      </c>
      <c r="D79" s="150">
        <f t="shared" si="6"/>
        <v>0.74273864570290371</v>
      </c>
      <c r="E79" s="149">
        <f>-E74-SUM(E76:E78)</f>
        <v>-10502963.319999933</v>
      </c>
      <c r="F79" s="150">
        <f t="shared" si="8"/>
        <v>-0.29870576452184461</v>
      </c>
      <c r="G79" s="187">
        <f>-G74-SUM(G76:G78)</f>
        <v>-27124068.379600048</v>
      </c>
      <c r="H79" s="188">
        <f t="shared" si="7"/>
        <v>-0.77141234672723535</v>
      </c>
      <c r="I79" s="149">
        <f t="shared" si="9"/>
        <v>-16621105.059600115</v>
      </c>
      <c r="J79" s="150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/>
  <dimension ref="C4:G6"/>
  <sheetViews>
    <sheetView workbookViewId="0">
      <selection activeCell="N16" sqref="N16"/>
    </sheetView>
  </sheetViews>
  <sheetFormatPr defaultRowHeight="12.5"/>
  <cols>
    <col min="3" max="3" width="27.90625" bestFit="1" customWidth="1"/>
    <col min="4" max="4" width="15.08984375" bestFit="1" customWidth="1"/>
    <col min="5" max="7" width="16.08984375" bestFit="1" customWidth="1"/>
  </cols>
  <sheetData>
    <row r="4" spans="3:7">
      <c r="D4" t="s">
        <v>445</v>
      </c>
      <c r="E4">
        <v>2015</v>
      </c>
      <c r="F4">
        <v>2016</v>
      </c>
      <c r="G4">
        <v>2017</v>
      </c>
    </row>
    <row r="5" spans="3:7">
      <c r="C5" t="s">
        <v>443</v>
      </c>
      <c r="D5" s="182">
        <v>-26424601.993229389</v>
      </c>
      <c r="E5" s="182">
        <v>-24569497.372829676</v>
      </c>
      <c r="F5" s="182">
        <v>33498994.005818129</v>
      </c>
      <c r="G5" s="182">
        <v>103834080.12588143</v>
      </c>
    </row>
    <row r="6" spans="3:7">
      <c r="C6" t="s">
        <v>444</v>
      </c>
      <c r="D6" s="182">
        <v>-51424601.993229389</v>
      </c>
      <c r="E6" s="182">
        <v>-149569497.37282968</v>
      </c>
      <c r="F6" s="182">
        <v>-191501005.99418187</v>
      </c>
      <c r="G6" s="182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radovan.zivkovic</cp:lastModifiedBy>
  <cp:lastPrinted>2015-06-03T11:56:51Z</cp:lastPrinted>
  <dcterms:created xsi:type="dcterms:W3CDTF">2008-03-17T08:49:23Z</dcterms:created>
  <dcterms:modified xsi:type="dcterms:W3CDTF">2015-06-11T09:12:50Z</dcterms:modified>
</cp:coreProperties>
</file>