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Sheet1" sheetId="18" state="hidden" r:id="rId8"/>
    <sheet name="2015" sheetId="10" state="hidden" r:id="rId9"/>
    <sheet name="2014" sheetId="4" state="hidden" r:id="rId10"/>
    <sheet name="2013" sheetId="8" state="hidden" r:id="rId11"/>
    <sheet name="Dug" sheetId="9" state="hidden" r:id="rId12"/>
    <sheet name="DataEx" sheetId="6" state="hidden" r:id="rId13"/>
    <sheet name="Master" sheetId="2" state="hidden" r:id="rId14"/>
  </sheets>
  <externalReferences>
    <externalReference r:id="rId15"/>
  </externalReferences>
  <definedNames>
    <definedName name="_2013plan" localSheetId="10">'2013'!$A$102:$A$160</definedName>
    <definedName name="_2013plan" localSheetId="11">Dug!$A$101:$A$159</definedName>
    <definedName name="_2014plan" localSheetId="9">'2014'!$A$101:$A$159</definedName>
    <definedName name="_2015plan" localSheetId="8">'2015'!$A$102:$A$159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P32" i="17"/>
  <c r="O32" i="17"/>
  <c r="N32" i="17"/>
  <c r="M32" i="17"/>
  <c r="L32" i="17"/>
  <c r="K32" i="17"/>
  <c r="J32" i="17"/>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Q12" i="17"/>
  <c r="Q11" i="17" s="1"/>
  <c r="P12" i="17"/>
  <c r="O12" i="17"/>
  <c r="N12" i="17"/>
  <c r="M12" i="17"/>
  <c r="L12" i="17"/>
  <c r="K12" i="17"/>
  <c r="J12" i="17"/>
  <c r="J11" i="17" s="1"/>
  <c r="I12" i="17"/>
  <c r="H12" i="17"/>
  <c r="G12" i="17"/>
  <c r="R5" i="17"/>
  <c r="Q5" i="17"/>
  <c r="P5" i="17"/>
  <c r="O5" i="17"/>
  <c r="N5" i="17"/>
  <c r="M5" i="17"/>
  <c r="L5" i="17"/>
  <c r="K5" i="17"/>
  <c r="J5" i="17"/>
  <c r="H51" i="11" s="1"/>
  <c r="I5" i="17"/>
  <c r="H5" i="17"/>
  <c r="G5" i="17"/>
  <c r="G11" i="2"/>
  <c r="M42" i="17" l="1"/>
  <c r="H11" i="17"/>
  <c r="J31" i="17"/>
  <c r="I11" i="17"/>
  <c r="I10" i="17" s="1"/>
  <c r="Q31" i="17"/>
  <c r="Q29" i="17" s="1"/>
  <c r="Q30" i="17" s="1"/>
  <c r="R11" i="17"/>
  <c r="R10" i="17" s="1"/>
  <c r="N11" i="17"/>
  <c r="N10" i="17" s="1"/>
  <c r="P11" i="17"/>
  <c r="P10" i="17" s="1"/>
  <c r="G63" i="11"/>
  <c r="G64" i="11"/>
  <c r="G65" i="11"/>
  <c r="H125" i="17"/>
  <c r="H124" i="17"/>
  <c r="H12" i="11"/>
  <c r="N31" i="17"/>
  <c r="L31" i="17"/>
  <c r="L29" i="17" s="1"/>
  <c r="L30" i="17" s="1"/>
  <c r="R31" i="17"/>
  <c r="H43" i="11"/>
  <c r="H50" i="11"/>
  <c r="H28" i="11"/>
  <c r="H17"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K105" i="17"/>
  <c r="K125" i="17"/>
  <c r="O105" i="17"/>
  <c r="O150" i="17" s="1"/>
  <c r="O151" i="17" s="1"/>
  <c r="L105" i="17"/>
  <c r="L150" i="17" s="1"/>
  <c r="L156" i="17" s="1"/>
  <c r="G105" i="17"/>
  <c r="H29" i="17"/>
  <c r="H30" i="17" s="1"/>
  <c r="K31" i="17"/>
  <c r="O31" i="17"/>
  <c r="Q10" i="17"/>
  <c r="J10" i="17"/>
  <c r="J42" i="17"/>
  <c r="N42" i="17"/>
  <c r="R42" i="17"/>
  <c r="L11" i="17"/>
  <c r="L10" i="17" s="1"/>
  <c r="H10" i="17"/>
  <c r="I29" i="17"/>
  <c r="I30" i="17" s="1"/>
  <c r="K11" i="17"/>
  <c r="K10" i="17" s="1"/>
  <c r="O11" i="17"/>
  <c r="O10" i="17" s="1"/>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J29" i="17" l="1"/>
  <c r="J30" i="17" s="1"/>
  <c r="P29" i="17"/>
  <c r="P30" i="17" s="1"/>
  <c r="I65" i="11"/>
  <c r="J65" i="11"/>
  <c r="J64" i="11"/>
  <c r="I64" i="11"/>
  <c r="I63" i="11"/>
  <c r="J63" i="11"/>
  <c r="N29" i="17"/>
  <c r="N30" i="17" s="1"/>
  <c r="H19" i="11"/>
  <c r="Q125" i="17"/>
  <c r="M125" i="17"/>
  <c r="R124" i="17"/>
  <c r="R125" i="17" s="1"/>
  <c r="I124" i="17"/>
  <c r="I125" i="17" s="1"/>
  <c r="N124" i="17"/>
  <c r="N125" i="17" s="1"/>
  <c r="J125" i="17"/>
  <c r="R29" i="17"/>
  <c r="R55" i="17" s="1"/>
  <c r="R56" i="17" s="1"/>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I55" i="17"/>
  <c r="I56" i="17" s="1"/>
  <c r="G10" i="17"/>
  <c r="S10" i="17" s="1"/>
  <c r="T10" i="17" s="1"/>
  <c r="Q55" i="17"/>
  <c r="Q56" i="17" s="1"/>
  <c r="G29" i="17"/>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P55" i="17" l="1"/>
  <c r="P61" i="17" s="1"/>
  <c r="P66" i="17" s="1"/>
  <c r="P62" i="17" s="1"/>
  <c r="R30" i="17"/>
  <c r="N55" i="17"/>
  <c r="N61" i="17" s="1"/>
  <c r="N66" i="17" s="1"/>
  <c r="N62" i="17" s="1"/>
  <c r="O55" i="17"/>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M56" i="17"/>
  <c r="G30"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N56" i="17" l="1"/>
  <c r="P56" i="17"/>
  <c r="O56" i="17"/>
  <c r="K56" i="17"/>
  <c r="H56" i="11"/>
  <c r="H61" i="11"/>
  <c r="J60" i="11" s="1"/>
  <c r="S55" i="17"/>
  <c r="T55" i="17" s="1"/>
  <c r="G55" i="11"/>
  <c r="H20" i="1" s="1"/>
  <c r="I20" i="1" s="1"/>
  <c r="S30" i="17"/>
  <c r="T30" i="17" s="1"/>
  <c r="G30" i="11"/>
  <c r="S151" i="17"/>
  <c r="T151" i="17" s="1"/>
  <c r="G56" i="17"/>
  <c r="G61" i="17"/>
  <c r="G61" i="11" s="1"/>
  <c r="J161" i="17"/>
  <c r="H66" i="11" s="1"/>
  <c r="S156" i="17"/>
  <c r="T156" i="17" s="1"/>
  <c r="I61" i="11" l="1"/>
  <c r="J61" i="11"/>
  <c r="S56" i="17"/>
  <c r="T56" i="17" s="1"/>
  <c r="G56" i="11"/>
  <c r="S61" i="17"/>
  <c r="T61" i="17" s="1"/>
  <c r="G66" i="17"/>
  <c r="J157" i="17"/>
  <c r="S161" i="17"/>
  <c r="T161" i="17" s="1"/>
  <c r="G62" i="17" l="1"/>
  <c r="G62" i="11" s="1"/>
  <c r="G66" i="11"/>
  <c r="S157" i="17"/>
  <c r="T157" i="17" s="1"/>
  <c r="H62" i="11"/>
  <c r="S66" i="17"/>
  <c r="T66" i="17" s="1"/>
  <c r="S62" i="17"/>
  <c r="T62" i="17" s="1"/>
  <c r="J66" i="11" l="1"/>
  <c r="I66" i="11"/>
  <c r="J62" i="11"/>
  <c r="I62" i="11"/>
  <c r="G12" i="2"/>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L60" i="11" l="1"/>
  <c r="K12" i="11"/>
  <c r="K13" i="11"/>
  <c r="K14" i="11"/>
  <c r="K15" i="11"/>
  <c r="K16" i="11"/>
  <c r="K17" i="11"/>
  <c r="K18" i="11"/>
  <c r="K19" i="11"/>
  <c r="K20" i="11"/>
  <c r="K21" i="11"/>
  <c r="K22" i="11"/>
  <c r="K23" i="11"/>
  <c r="K24" i="11"/>
  <c r="K25" i="11"/>
  <c r="K65" i="11"/>
  <c r="M65" i="11" s="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M63" i="11" s="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M60" i="11" s="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L66" i="11" s="1"/>
  <c r="R66" i="11"/>
  <c r="T55"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6" i="11" l="1"/>
  <c r="O60" i="11"/>
  <c r="P60" i="11" s="1"/>
  <c r="O47" i="11"/>
  <c r="O59" i="11"/>
  <c r="P59" i="11" s="1"/>
  <c r="O37" i="11"/>
  <c r="Q37" i="11" s="1"/>
  <c r="O35" i="11"/>
  <c r="P35" i="11" s="1"/>
  <c r="O23" i="11"/>
  <c r="P23" i="11" s="1"/>
  <c r="O16" i="11"/>
  <c r="Q16" i="11" s="1"/>
  <c r="O65" i="11"/>
  <c r="O17" i="11"/>
  <c r="O14" i="11"/>
  <c r="Q14" i="11" s="1"/>
  <c r="O58" i="11"/>
  <c r="Q58" i="11" s="1"/>
  <c r="O48" i="11"/>
  <c r="Q48" i="11" s="1"/>
  <c r="O42" i="11"/>
  <c r="Q42" i="11" s="1"/>
  <c r="O52" i="11"/>
  <c r="Q52" i="11" s="1"/>
  <c r="O44" i="11"/>
  <c r="Q44" i="11" s="1"/>
  <c r="O32" i="11"/>
  <c r="Q32" i="11" s="1"/>
  <c r="O50" i="11"/>
  <c r="P50" i="11" s="1"/>
  <c r="O11" i="11"/>
  <c r="P11" i="11" s="1"/>
  <c r="O27" i="11"/>
  <c r="Q27" i="11" s="1"/>
  <c r="O20" i="11"/>
  <c r="P20" i="11" s="1"/>
  <c r="O18" i="11"/>
  <c r="Q18" i="11" s="1"/>
  <c r="O21" i="11"/>
  <c r="P21" i="11" s="1"/>
  <c r="O22" i="11"/>
  <c r="P22" i="11" s="1"/>
  <c r="O43" i="11"/>
  <c r="P43" i="11" s="1"/>
  <c r="O40" i="11"/>
  <c r="O57" i="11"/>
  <c r="O36" i="11"/>
  <c r="P36" i="11" s="1"/>
  <c r="O34" i="11"/>
  <c r="Q34" i="11" s="1"/>
  <c r="O33" i="11"/>
  <c r="P33" i="11" s="1"/>
  <c r="O53" i="11"/>
  <c r="P53" i="11" s="1"/>
  <c r="O38" i="11"/>
  <c r="Q38" i="11" s="1"/>
  <c r="O15" i="11"/>
  <c r="P15" i="11" s="1"/>
  <c r="O64" i="11"/>
  <c r="O24" i="11"/>
  <c r="Q24" i="11" s="1"/>
  <c r="O26" i="11"/>
  <c r="P26" i="11" s="1"/>
  <c r="O25" i="11"/>
  <c r="P25" i="11" s="1"/>
  <c r="O63" i="11"/>
  <c r="O45" i="11"/>
  <c r="P45" i="11" s="1"/>
  <c r="O31" i="11"/>
  <c r="Q31" i="11" s="1"/>
  <c r="O41" i="11"/>
  <c r="Q41" i="11" s="1"/>
  <c r="O51" i="11"/>
  <c r="O46" i="11"/>
  <c r="P46" i="11" s="1"/>
  <c r="O19" i="11"/>
  <c r="P19" i="11" s="1"/>
  <c r="O12" i="11"/>
  <c r="Q12" i="11" s="1"/>
  <c r="O28" i="11"/>
  <c r="P28" i="11" s="1"/>
  <c r="O13" i="11"/>
  <c r="Q13" i="11" s="1"/>
  <c r="O54" i="11"/>
  <c r="P54" i="11" s="1"/>
  <c r="O39" i="11"/>
  <c r="P39" i="11" s="1"/>
  <c r="O49" i="11"/>
  <c r="Q49" i="11" s="1"/>
  <c r="O10" i="11"/>
  <c r="O29" i="11"/>
  <c r="O61" i="11"/>
  <c r="O30" i="11"/>
  <c r="O66" i="11"/>
  <c r="O56" i="11"/>
  <c r="O55" i="11"/>
  <c r="O62" i="11"/>
  <c r="R62" i="11"/>
  <c r="T62" i="11" s="1"/>
  <c r="K62" i="11"/>
  <c r="S61" i="11"/>
  <c r="S65" i="11"/>
  <c r="T65" i="11"/>
  <c r="S8" i="13"/>
  <c r="G7" i="11"/>
  <c r="S8" i="17"/>
  <c r="S64" i="11"/>
  <c r="T60" i="11"/>
  <c r="S60" i="11"/>
  <c r="Q60" i="11"/>
  <c r="S63" i="11"/>
  <c r="T63"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51" i="11"/>
  <c r="Q47" i="11"/>
  <c r="P17" i="11"/>
  <c r="P40"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S160" i="13"/>
  <c r="T160" i="13" s="1"/>
  <c r="I125" i="13"/>
  <c r="I149" i="13"/>
  <c r="Q151" i="13"/>
  <c r="P124" i="13"/>
  <c r="S154" i="13"/>
  <c r="T154" i="13" s="1"/>
  <c r="O151" i="13"/>
  <c r="S143" i="13"/>
  <c r="T143" i="13" s="1"/>
  <c r="J48" i="11"/>
  <c r="I151" i="13"/>
  <c r="S158" i="13"/>
  <c r="T158" i="13" s="1"/>
  <c r="L124" i="13"/>
  <c r="P151" i="13"/>
  <c r="N151" i="13"/>
  <c r="Q125" i="13"/>
  <c r="Q149" i="13"/>
  <c r="K151" i="13"/>
  <c r="I49" i="11"/>
  <c r="S144" i="13"/>
  <c r="T144" i="13" s="1"/>
  <c r="O124" i="13"/>
  <c r="S152" i="13"/>
  <c r="T152" i="13" s="1"/>
  <c r="H151" i="13"/>
  <c r="S159" i="13"/>
  <c r="T159" i="13" s="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P32" i="11" l="1"/>
  <c r="Q53" i="1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S161" i="13"/>
  <c r="T161" i="13" s="1"/>
  <c r="G61" i="9"/>
  <c r="S61" i="9" s="1"/>
  <c r="T61" i="9" s="1"/>
  <c r="S65" i="9"/>
  <c r="T65" i="9" s="1"/>
  <c r="M61" i="11"/>
  <c r="G62" i="12"/>
  <c r="S66" i="12"/>
  <c r="S56" i="11"/>
  <c r="M56" i="11"/>
  <c r="G66" i="8"/>
  <c r="W61" i="8"/>
  <c r="X61" i="8" s="1"/>
  <c r="Q56" i="11"/>
  <c r="P156" i="12"/>
  <c r="H156" i="12"/>
  <c r="S160" i="12"/>
  <c r="T160" i="12" s="1"/>
  <c r="I56" i="11"/>
  <c r="J56" i="11"/>
  <c r="T66" i="12" l="1"/>
  <c r="S62" i="12"/>
  <c r="T62" i="12" s="1"/>
  <c r="G156" i="8"/>
  <c r="W156" i="8" s="1"/>
  <c r="X156" i="8" s="1"/>
  <c r="Q62" i="11"/>
  <c r="P62" i="11"/>
  <c r="S157" i="13"/>
  <c r="T157" i="13" s="1"/>
  <c r="M62" i="11"/>
  <c r="G62" i="8"/>
  <c r="W62" i="8" s="1"/>
  <c r="X62" i="8" s="1"/>
  <c r="W66" i="8"/>
  <c r="X66" i="8" s="1"/>
  <c r="S156" i="12"/>
  <c r="T156" i="12" s="1"/>
  <c r="L62" i="11" l="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<sst xmlns="http://schemas.openxmlformats.org/spreadsheetml/2006/main" count="1660" uniqueCount="798">
  <si>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</si>
  <si>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</si>
  <si>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</si>
  <si>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</si>
  <si>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</si>
  <si>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</si>
  <si>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</si>
  <si>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</si>
  <si>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</si>
  <si>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</si>
  <si>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</si>
  <si>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</si>
  <si>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</si>
  <si>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</si>
  <si>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</si>
  <si>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</si>
  <si>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</si>
  <si>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</si>
  <si>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</si>
  <si>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</si>
  <si>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</si>
  <si>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</si>
  <si>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</si>
  <si>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</si>
  <si>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</si>
  <si>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</si>
  <si>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</si>
  <si>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</si>
  <si>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</si>
  <si>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</si>
  <si>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</si>
  <si>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</si>
  <si>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</si>
  <si>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</si>
  <si>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</si>
  <si>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</si>
  <si>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</si>
  <si>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</si>
  <si>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</si>
  <si>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</si>
  <si>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</si>
  <si>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</si>
  <si>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</si>
  <si>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</si>
  <si>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</si>
  <si>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</si>
  <si>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</si>
  <si>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</si>
  <si>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</si>
  <si>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</si>
  <si>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</si>
  <si>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</si>
  <si>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</si>
  <si>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</si>
  <si>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</si>
  <si>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</si>
  <si>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</si>
  <si>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</si>
  <si>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</si>
  <si>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</si>
  <si>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</si>
  <si>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</si>
  <si>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</si>
  <si>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</si>
  <si>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</si>
  <si>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</si>
  <si>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</si>
  <si>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</si>
  <si>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</si>
  <si>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</si>
  <si>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</si>
  <si>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</si>
  <si>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</si>
  <si>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</si>
  <si>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</si>
  <si>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</si>
  <si>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</si>
  <si>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</si>
  <si>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</si>
  <si>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</si>
  <si>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</si>
  <si>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</si>
  <si>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</si>
  <si>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</si>
  <si>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</si>
  <si>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</si>
  <si>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</si>
  <si>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</si>
  <si>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</si>
  <si>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</si>
  <si>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</si>
  <si>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</si>
  <si>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</si>
  <si>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</si>
  <si>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</si>
  <si>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</si>
  <si>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</si>
  <si>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</si>
  <si>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</si>
  <si>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</si>
  <si>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</si>
  <si>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</si>
  <si>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</si>
  <si>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</si>
  <si>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</si>
  <si>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</si>
  <si>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</si>
  <si>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</si>
  <si>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</si>
  <si>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</si>
  <si>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</si>
  <si>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</si>
  <si>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</si>
  <si>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</si>
  <si>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</si>
  <si>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</si>
  <si>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</si>
  <si>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</si>
  <si>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</si>
  <si>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</si>
  <si>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</si>
  <si>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</si>
  <si>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</si>
  <si>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</si>
  <si>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</si>
  <si>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</si>
  <si>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</si>
  <si>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</si>
  <si>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</si>
  <si>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</si>
  <si>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</si>
  <si>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</si>
  <si>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</si>
  <si>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</si>
  <si>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</si>
  <si>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</si>
  <si>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</si>
  <si>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</si>
  <si>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</si>
  <si>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</si>
  <si>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</si>
  <si>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</si>
  <si>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</si>
  <si>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</si>
  <si>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</si>
  <si>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</si>
  <si>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</si>
  <si>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</si>
  <si>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</si>
  <si>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</si>
  <si>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</si>
  <si>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</si>
  <si>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</si>
  <si>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</si>
  <si>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</si>
  <si>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</si>
  <si>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</si>
  <si>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</si>
  <si>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</si>
  <si>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</si>
  <si>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</si>
  <si>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</si>
  <si>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</si>
  <si>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</si>
  <si>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</si>
  <si>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</si>
  <si>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</si>
  <si>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</si>
  <si>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</si>
  <si>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</si>
  <si>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</si>
  <si>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</si>
  <si>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</si>
  <si>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</si>
  <si>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</si>
  <si>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</si>
  <si>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</si>
  <si>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</si>
  <si>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</si>
  <si>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</si>
  <si>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</si>
  <si>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</si>
  <si>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</si>
  <si>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</si>
  <si>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</si>
  <si>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</si>
  <si>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</si>
  <si>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</si>
  <si>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</si>
  <si>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</si>
  <si>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</si>
  <si>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</si>
  <si>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</si>
  <si>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</si>
  <si>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</si>
  <si>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</si>
  <si>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</si>
  <si>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</si>
  <si>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</si>
  <si>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</si>
  <si>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</si>
  <si>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</si>
  <si>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</si>
  <si>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</si>
  <si>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</si>
  <si>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</si>
  <si>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</si>
  <si>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</si>
  <si>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</si>
  <si>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</si>
  <si>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</si>
  <si>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</si>
  <si>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</si>
  <si>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</si>
  <si>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</si>
  <si>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</si>
  <si>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</si>
  <si>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</si>
  <si>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</si>
  <si>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</si>
  <si>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</si>
  <si>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</si>
  <si>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</si>
  <si>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</si>
  <si>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</si>
  <si>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</si>
  <si>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</si>
  <si>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</si>
  <si>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</si>
  <si>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</si>
  <si>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</si>
  <si>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</si>
  <si>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</si>
  <si>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</si>
  <si>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</si>
  <si>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</si>
  <si>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</si>
  <si>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</si>
  <si>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</si>
  <si>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</si>
  <si>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</si>
  <si>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</si>
  <si>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</si>
  <si>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</si>
  <si>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</si>
  <si>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</si>
  <si>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</si>
  <si>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</si>
  <si>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</si>
  <si>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</si>
  <si>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</si>
  <si>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</si>
  <si>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</si>
  <si>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</si>
  <si>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</si>
  <si>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</si>
  <si>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</si>
  <si>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</si>
  <si>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</si>
  <si>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</si>
  <si>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</si>
  <si>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</si>
  <si>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</si>
  <si>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</si>
  <si>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</si>
  <si>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</si>
  <si>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</si>
  <si>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</si>
  <si>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</si>
  <si>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</si>
  <si>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</si>
  <si>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</si>
  <si>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</si>
  <si>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</si>
  <si>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</si>
  <si>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</si>
  <si>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</si>
  <si>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</si>
  <si>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</si>
  <si>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</si>
  <si>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</si>
  <si>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</si>
  <si>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</si>
  <si>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</si>
  <si>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</si>
  <si>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</si>
  <si>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</si>
  <si>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</si>
  <si>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</si>
  <si>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</si>
  <si>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</si>
  <si>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</si>
  <si>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</si>
  <si>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</si>
  <si>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</si>
  <si>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</si>
  <si>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</si>
  <si>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</si>
  <si>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</si>
  <si>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</si>
  <si>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</si>
  <si>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</si>
  <si>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</si>
  <si>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</si>
  <si>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</si>
  <si>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</si>
  <si>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</si>
  <si>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</si>
  <si>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</si>
  <si>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</si>
  <si>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</si>
  <si>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</si>
  <si>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</si>
  <si>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</si>
  <si>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</si>
  <si>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</si>
  <si>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</si>
  <si>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</si>
  <si>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</si>
  <si>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</si>
  <si>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</si>
  <si>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</si>
  <si>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</si>
  <si>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</si>
  <si>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</si>
  <si>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</si>
  <si>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</si>
  <si>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</si>
  <si>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</si>
  <si>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</si>
  <si>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</si>
  <si>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</si>
  <si>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</si>
  <si>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</si>
  <si>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</si>
  <si>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</si>
  <si>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</si>
  <si>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</si>
  <si>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</si>
  <si>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</si>
  <si>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</si>
  <si>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</si>
  <si>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</si>
  <si>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</si>
  <si>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</si>
  <si>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</si>
  <si>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</si>
  <si>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</si>
  <si>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</si>
  <si>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</si>
  <si>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</si>
  <si>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</si>
  <si>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</si>
  <si>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</si>
  <si>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</si>
  <si>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</si>
  <si>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</si>
  <si>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</si>
  <si>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</si>
  <si>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</si>
  <si>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</si>
  <si>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</si>
  <si>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</si>
  <si>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</si>
  <si>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</si>
  <si>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</si>
  <si>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</si>
  <si>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</si>
  <si>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</si>
  <si>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</si>
  <si>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</si>
  <si>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</si>
  <si>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</si>
  <si>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</si>
  <si>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</si>
  <si>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</si>
  <si>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</si>
  <si>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</si>
  <si>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</si>
  <si>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</si>
  <si>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</si>
  <si>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</si>
  <si>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</si>
  <si>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</si>
  <si>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</si>
  <si>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</si>
  <si>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</si>
  <si>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</si>
  <si>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</si>
  <si>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</si>
  <si>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</si>
  <si>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</si>
  <si>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</si>
  <si>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</si>
  <si>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</si>
  <si>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</si>
  <si>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</si>
  <si>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</si>
  <si>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</si>
  <si>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</si>
  <si>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</si>
  <si>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</si>
  <si>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</si>
  <si>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</si>
  <si>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</si>
  <si>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</si>
  <si>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</si>
  <si>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</si>
  <si>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</si>
  <si>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</si>
  <si>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</si>
  <si>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</si>
  <si>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</si>
  <si>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</si>
  <si>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</si>
  <si>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</si>
  <si>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</si>
  <si>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</si>
  <si>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</si>
  <si>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</si>
  <si>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</si>
  <si>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</si>
  <si>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</si>
  <si>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</si>
  <si>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</si>
  <si>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</si>
  <si>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</si>
  <si>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</si>
  <si>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</si>
  <si>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</si>
  <si>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</si>
  <si>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</si>
  <si>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</si>
  <si>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</si>
  <si>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</si>
  <si>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</si>
  <si>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</si>
  <si>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</si>
  <si>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</si>
  <si>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</si>
  <si>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</si>
  <si>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</si>
  <si>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</si>
  <si>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</si>
  <si>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</si>
  <si>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</si>
  <si>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</si>
  <si>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</si>
  <si>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</si>
  <si>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</si>
  <si>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</si>
  <si>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</si>
  <si>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</si>
  <si>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</si>
  <si>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</si>
  <si>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</si>
  <si>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</si>
  <si>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</si>
  <si>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</si>
  <si>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</si>
  <si>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</si>
  <si>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</si>
  <si>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</si>
  <si>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</si>
  <si>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</si>
  <si>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</si>
  <si>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</si>
  <si>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</si>
  <si>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</si>
  <si>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</si>
  <si>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</si>
  <si>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</si>
  <si>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</si>
  <si>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</si>
  <si>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</si>
  <si>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</si>
  <si>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</si>
  <si>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</si>
  <si>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</si>
  <si>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</si>
  <si>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</si>
  <si>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</si>
  <si>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</si>
  <si>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</si>
  <si>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</si>
  <si>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</si>
  <si>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</si>
  <si>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</si>
  <si>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</si>
  <si>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</si>
  <si>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</si>
  <si>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</si>
  <si>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</si>
  <si>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</si>
  <si>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</si>
  <si>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</si>
  <si>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</si>
  <si>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</si>
  <si>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</si>
  <si>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</si>
  <si>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</si>
  <si>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</si>
  <si>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</si>
  <si>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</si>
  <si>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</si>
  <si>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</si>
  <si>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</si>
  <si>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</si>
  <si>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</si>
  <si>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</si>
  <si>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</si>
  <si>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</si>
  <si>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</si>
  <si>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</si>
  <si>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</si>
  <si>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</si>
  <si>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</si>
  <si>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</si>
  <si>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</si>
  <si>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</si>
  <si>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</si>
  <si>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</si>
  <si>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</si>
  <si>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</si>
  <si>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</si>
  <si>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</si>
  <si>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</si>
  <si>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</si>
  <si>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</si>
  <si>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</si>
  <si>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</si>
  <si>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</si>
  <si>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</si>
  <si>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</si>
  <si>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</si>
  <si>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</si>
  <si>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</si>
  <si>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</si>
  <si>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</si>
  <si>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</si>
  <si>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</si>
  <si>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</si>
  <si>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</si>
  <si>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</si>
  <si>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</si>
  <si>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</si>
  <si>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</si>
  <si>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</si>
  <si>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</si>
  <si>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</si>
  <si>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</si>
  <si>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</si>
  <si>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</si>
  <si>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</si>
  <si>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</si>
  <si>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</si>
  <si>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</si>
  <si>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</si>
  <si>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</si>
  <si>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</si>
  <si>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</si>
  <si>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</si>
  <si>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</si>
  <si>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</si>
  <si>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</si>
  <si>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</si>
  <si>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</si>
  <si>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</si>
  <si>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</si>
  <si>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</si>
  <si>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</si>
  <si>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</si>
  <si>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</si>
  <si>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</si>
  <si>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</si>
  <si>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</si>
  <si>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</si>
  <si>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</si>
  <si>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</si>
  <si>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</si>
  <si>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</si>
  <si>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</si>
  <si>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</si>
  <si>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</si>
  <si>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</si>
  <si>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</si>
  <si>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</si>
  <si>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</si>
  <si>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</si>
  <si>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</si>
  <si>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</si>
  <si>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</si>
  <si>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</si>
  <si>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</si>
  <si>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</si>
  <si>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</si>
  <si>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</si>
  <si>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</si>
  <si>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</si>
  <si>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</si>
  <si>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</si>
  <si>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</si>
  <si>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</si>
  <si>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</si>
  <si>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</si>
  <si>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</si>
  <si>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</si>
  <si>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</si>
  <si>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</si>
  <si>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</si>
  <si>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</si>
  <si>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</si>
  <si>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</si>
  <si>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</si>
  <si>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</si>
  <si>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</si>
  <si>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</si>
  <si>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</si>
  <si>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</si>
  <si>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</si>
  <si>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</si>
  <si>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</si>
  <si>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</si>
  <si>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</si>
  <si>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</si>
  <si>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</si>
  <si>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</si>
  <si>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</si>
  <si>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</si>
  <si>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</si>
  <si>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</si>
  <si>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</si>
  <si>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</si>
  <si>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</si>
  <si>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</si>
  <si>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</si>
  <si>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</si>
  <si>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</si>
  <si>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</si>
  <si>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</si>
  <si>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</si>
  <si>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</si>
  <si>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</si>
  <si>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</si>
  <si>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</si>
  <si>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</si>
  <si>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</si>
  <si>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</si>
  <si>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</si>
  <si>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</si>
  <si>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</si>
  <si>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</si>
  <si>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</si>
  <si>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</si>
  <si>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</si>
  <si>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</si>
  <si>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</si>
  <si>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</si>
  <si>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</si>
  <si>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</si>
  <si>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</si>
  <si>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</si>
  <si>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</si>
  <si>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</si>
  <si>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</si>
  <si>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</si>
  <si>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</si>
  <si>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</si>
  <si>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</si>
  <si>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</si>
  <si>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</si>
  <si>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</si>
  <si>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</si>
  <si>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</si>
  <si>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</si>
  <si>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</si>
  <si>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</si>
  <si>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</si>
  <si>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</si>
  <si>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</si>
  <si>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</si>
  <si>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</si>
  <si>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</si>
  <si>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</si>
  <si>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</si>
  <si>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</si>
  <si>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</si>
  <si>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</si>
  <si>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</si>
  <si>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</si>
  <si>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</si>
  <si>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</si>
  <si>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</si>
  <si>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</si>
  <si>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</si>
  <si>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</si>
  <si>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</si>
  <si>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</si>
  <si>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</si>
  <si>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</si>
  <si>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</si>
  <si>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</si>
  <si>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</si>
  <si>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</si>
  <si>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</si>
  <si>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</si>
  <si>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</si>
  <si>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</si>
  <si>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</si>
  <si>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</si>
  <si>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</si>
  <si>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</si>
  <si>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</si>
  <si>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</si>
  <si>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</si>
  <si>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</si>
  <si>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</si>
  <si>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</si>
  <si>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</si>
  <si>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</si>
  <si>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</si>
  <si>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</si>
  <si>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</si>
  <si>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</si>
  <si>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</si>
  <si>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</si>
  <si>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</si>
  <si>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</si>
  <si>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</si>
  <si>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</si>
  <si>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</si>
  <si>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</si>
  <si>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</si>
  <si>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</si>
  <si>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</si>
  <si>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</si>
  <si>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</si>
  <si>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</si>
  <si>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</si>
  <si>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</si>
  <si>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</si>
  <si>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</si>
  <si>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</si>
  <si>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</si>
  <si>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</si>
  <si>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</si>
  <si>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</si>
  <si>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</si>
  <si>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</si>
  <si>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</si>
  <si>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</si>
  <si>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</si>
  <si>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</si>
  <si>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</si>
  <si>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</si>
  <si>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</si>
  <si>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</si>
  <si>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</si>
  <si>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</si>
  <si>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</si>
  <si>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</si>
  <si>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</si>
  <si>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</si>
  <si>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</si>
  <si>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</si>
  <si>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</si>
  <si>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</si>
  <si>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</si>
  <si>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</si>
  <si>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</si>
  <si>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</si>
  <si>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</si>
  <si>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</si>
  <si>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</si>
  <si>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</si>
  <si>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</si>
  <si>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</si>
  <si>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</si>
  <si>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</si>
  <si>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</si>
  <si>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</si>
  <si>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</si>
  <si>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</si>
  <si>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</si>
  <si>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</si>
  <si>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</si>
  <si>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</si>
  <si>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</si>
  <si>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</si>
  <si>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</si>
  <si>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</si>
  <si>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</si>
  <si>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</si>
  <si>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</si>
  <si>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</si>
  <si>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</si>
  <si>
    <t>Tekuća budžetska potrošnja</t>
  </si>
  <si>
    <t>Current Budgetary Consumption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</si>
</sst>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0" fillId="4" borderId="1" xfId="0" applyFont="1" applyFill="1" applyBorder="1" applyAlignment="1" applyProtection="1">
      <alignment horizontal="center" vertical="center"/>
      <protection hidden="1"/>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19" xfId="0" applyFill="1" applyBorder="1" applyAlignment="1">
      <alignment horizontal="center"/>
    </xf>
    <xf numFmtId="0" fontId="0" fillId="2" borderId="0"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211420592"/>
        <c:axId val="-211422768"/>
      </c:lineChart>
      <c:catAx>
        <c:axId val="-211420592"/>
        <c:scaling>
          <c:orientation val="minMax"/>
        </c:scaling>
        <c:delete val="0"/>
        <c:axPos val="b"/>
        <c:numFmt formatCode="General" sourceLinked="0"/>
        <c:majorTickMark val="out"/>
        <c:minorTickMark val="none"/>
        <c:tickLblPos val="nextTo"/>
        <c:txPr>
          <a:bodyPr/>
          <a:lstStyle/>
          <a:p>
            <a:pPr>
              <a:defRPr lang="en-US" sz="600"/>
            </a:pPr>
            <a:endParaRPr lang="en-US"/>
          </a:p>
        </c:txPr>
        <c:crossAx val="-211422768"/>
        <c:crosses val="autoZero"/>
        <c:auto val="1"/>
        <c:lblAlgn val="ctr"/>
        <c:lblOffset val="100"/>
        <c:tickLblSkip val="3"/>
        <c:noMultiLvlLbl val="0"/>
      </c:catAx>
      <c:valAx>
        <c:axId val="-211422768"/>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211420592"/>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279744624"/>
        <c:axId val="-279982400"/>
      </c:lineChart>
      <c:catAx>
        <c:axId val="-279744624"/>
        <c:scaling>
          <c:orientation val="minMax"/>
        </c:scaling>
        <c:delete val="0"/>
        <c:axPos val="b"/>
        <c:numFmt formatCode="General" sourceLinked="0"/>
        <c:majorTickMark val="out"/>
        <c:minorTickMark val="none"/>
        <c:tickLblPos val="low"/>
        <c:txPr>
          <a:bodyPr/>
          <a:lstStyle/>
          <a:p>
            <a:pPr>
              <a:defRPr lang="en-US" sz="600"/>
            </a:pPr>
            <a:endParaRPr lang="en-US"/>
          </a:p>
        </c:txPr>
        <c:crossAx val="-279982400"/>
        <c:crosses val="autoZero"/>
        <c:auto val="1"/>
        <c:lblAlgn val="ctr"/>
        <c:lblOffset val="100"/>
        <c:tickLblSkip val="3"/>
        <c:noMultiLvlLbl val="0"/>
      </c:catAx>
      <c:valAx>
        <c:axId val="-279982400"/>
        <c:scaling>
          <c:orientation val="minMax"/>
        </c:scaling>
        <c:delete val="0"/>
        <c:axPos val="l"/>
        <c:numFmt formatCode="###,000" sourceLinked="1"/>
        <c:majorTickMark val="out"/>
        <c:minorTickMark val="none"/>
        <c:tickLblPos val="nextTo"/>
        <c:txPr>
          <a:bodyPr/>
          <a:lstStyle/>
          <a:p>
            <a:pPr>
              <a:defRPr lang="en-US" sz="500"/>
            </a:pPr>
            <a:endParaRPr lang="en-US"/>
          </a:p>
        </c:txPr>
        <c:crossAx val="-27974462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a:t>
          </a:r>
          <a:r>
            <a:rPr lang="sr-Latn-ME"/>
            <a:t>the period </a:t>
          </a:r>
          <a:r>
            <a:rPr lang="en-US"/>
            <a:t>January</a:t>
          </a:r>
          <a:r>
            <a:rPr lang="sr-Latn-ME"/>
            <a:t>-May</a:t>
          </a:r>
          <a:r>
            <a:rPr lang="sr-Latn-ME" baseline="0"/>
            <a:t> </a:t>
          </a:r>
          <a:r>
            <a:rPr lang="en-US"/>
            <a:t>2019 amounted to  </a:t>
          </a:r>
          <a:r>
            <a:rPr lang="sr-Latn-ME"/>
            <a:t>680,5</a:t>
          </a:r>
          <a:r>
            <a:rPr lang="en-US"/>
            <a:t> million</a:t>
          </a:r>
          <a:r>
            <a:rPr lang="sr-Latn-ME"/>
            <a:t> €</a:t>
          </a:r>
          <a:r>
            <a:rPr lang="en-US"/>
            <a:t> and </a:t>
          </a:r>
          <a:r>
            <a:rPr lang="sr-Latn-ME"/>
            <a:t>the</a:t>
          </a:r>
          <a:r>
            <a:rPr lang="sr-Latn-ME" baseline="0"/>
            <a:t>y </a:t>
          </a:r>
          <a:r>
            <a:rPr lang="en-US"/>
            <a:t>were by </a:t>
          </a:r>
          <a:r>
            <a:rPr lang="sr-Latn-ME"/>
            <a:t>24,5</a:t>
          </a:r>
          <a:r>
            <a:rPr lang="en-US"/>
            <a:t> million</a:t>
          </a:r>
          <a:r>
            <a:rPr lang="sr-Latn-ME"/>
            <a:t> €</a:t>
          </a:r>
          <a:r>
            <a:rPr lang="en-US"/>
            <a:t> or </a:t>
          </a:r>
          <a:r>
            <a:rPr lang="sr-Latn-ME"/>
            <a:t>3,7</a:t>
          </a:r>
          <a:r>
            <a:rPr lang="en-US"/>
            <a:t>% higher than the plan. Compared to the same </a:t>
          </a:r>
          <a:r>
            <a:rPr lang="sr-Latn-ME"/>
            <a:t>period</a:t>
          </a:r>
          <a:r>
            <a:rPr lang="en-US"/>
            <a:t> of the previous year, revenues were higher by </a:t>
          </a:r>
          <a:r>
            <a:rPr lang="sr-Latn-ME"/>
            <a:t>57,4</a:t>
          </a:r>
          <a:r>
            <a:rPr lang="sr-Latn-ME" baseline="0"/>
            <a:t> </a:t>
          </a:r>
          <a:r>
            <a:rPr lang="en-US"/>
            <a:t>million</a:t>
          </a:r>
          <a:r>
            <a:rPr lang="sr-Latn-ME"/>
            <a:t> €</a:t>
          </a:r>
          <a:r>
            <a:rPr lang="en-US"/>
            <a:t> or </a:t>
          </a:r>
          <a:r>
            <a:rPr lang="sr-Latn-ME"/>
            <a:t>9,2</a:t>
          </a:r>
          <a:r>
            <a:rPr lang="en-US"/>
            <a:t>%. </a:t>
          </a:r>
          <a:r>
            <a:rPr lang="en-US" b="1"/>
            <a:t>Budget expenditures </a:t>
          </a:r>
          <a:r>
            <a:rPr lang="en-US"/>
            <a:t>in </a:t>
          </a:r>
          <a:r>
            <a:rPr lang="sr-Latn-ME"/>
            <a:t>the</a:t>
          </a:r>
          <a:r>
            <a:rPr lang="sr-Latn-ME" baseline="0"/>
            <a:t> period </a:t>
          </a:r>
          <a:r>
            <a:rPr lang="en-US"/>
            <a:t>January</a:t>
          </a:r>
          <a:r>
            <a:rPr lang="sr-Latn-ME"/>
            <a:t>-May</a:t>
          </a:r>
          <a:r>
            <a:rPr lang="en-US"/>
            <a:t> 2019 amounted to </a:t>
          </a:r>
          <a:r>
            <a:rPr lang="sr-Latn-ME"/>
            <a:t>733,9</a:t>
          </a:r>
          <a:r>
            <a:rPr lang="en-US"/>
            <a:t> million </a:t>
          </a:r>
          <a:r>
            <a:rPr lang="sr-Latn-ME"/>
            <a:t>€ </a:t>
          </a:r>
          <a:r>
            <a:rPr lang="en-US"/>
            <a:t>or </a:t>
          </a:r>
          <a:r>
            <a:rPr lang="sr-Latn-ME"/>
            <a:t>15,3</a:t>
          </a:r>
          <a:r>
            <a:rPr lang="en-US"/>
            <a:t>% of GDP and were higher by </a:t>
          </a:r>
          <a:r>
            <a:rPr lang="sr-Latn-ME"/>
            <a:t>40,3 </a:t>
          </a:r>
          <a:r>
            <a:rPr lang="en-US"/>
            <a:t>million</a:t>
          </a:r>
          <a:r>
            <a:rPr lang="sr-Latn-ME" baseline="0"/>
            <a:t> </a:t>
          </a:r>
          <a:r>
            <a:rPr lang="en-US"/>
            <a:t>€ or </a:t>
          </a:r>
          <a:r>
            <a:rPr lang="sr-Latn-ME"/>
            <a:t>5,8</a:t>
          </a:r>
          <a:r>
            <a:rPr lang="en-US"/>
            <a:t>% compared to the same </a:t>
          </a:r>
          <a:r>
            <a:rPr lang="sr-Latn-ME"/>
            <a:t>period</a:t>
          </a:r>
          <a:r>
            <a:rPr lang="en-US"/>
            <a:t> of the previous year. Compared to the plan, expenditures were lower by </a:t>
          </a:r>
          <a:r>
            <a:rPr lang="sr-Latn-ME"/>
            <a:t>125,6</a:t>
          </a:r>
          <a:r>
            <a:rPr lang="en-US"/>
            <a:t> million</a:t>
          </a:r>
          <a:r>
            <a:rPr lang="sr-Latn-ME"/>
            <a:t> €</a:t>
          </a:r>
          <a:r>
            <a:rPr lang="en-US"/>
            <a:t> or </a:t>
          </a:r>
          <a:r>
            <a:rPr lang="sr-Latn-ME"/>
            <a:t>14,6</a:t>
          </a:r>
          <a:r>
            <a:rPr lang="en-US"/>
            <a:t>%. In</a:t>
          </a:r>
          <a:r>
            <a:rPr lang="sr-Latn-ME"/>
            <a:t> the</a:t>
          </a:r>
          <a:r>
            <a:rPr lang="sr-Latn-ME" baseline="0"/>
            <a:t> period</a:t>
          </a:r>
          <a:r>
            <a:rPr lang="en-US"/>
            <a:t> January</a:t>
          </a:r>
          <a:r>
            <a:rPr lang="sr-Latn-ME"/>
            <a:t>-May</a:t>
          </a:r>
          <a:r>
            <a:rPr lang="en-US"/>
            <a:t> 2019, the </a:t>
          </a:r>
          <a:r>
            <a:rPr lang="en-US" b="1"/>
            <a:t>budget deficit </a:t>
          </a:r>
          <a:r>
            <a:rPr lang="en-US"/>
            <a:t>amounted to </a:t>
          </a:r>
          <a:r>
            <a:rPr lang="sr-Latn-ME"/>
            <a:t>53,4</a:t>
          </a:r>
          <a:r>
            <a:rPr lang="en-US"/>
            <a:t> million</a:t>
          </a:r>
          <a:r>
            <a:rPr lang="sr-Latn-ME"/>
            <a:t> €</a:t>
          </a:r>
          <a:r>
            <a:rPr lang="en-US"/>
            <a:t> or </a:t>
          </a:r>
          <a:r>
            <a:rPr lang="sr-Latn-ME"/>
            <a:t>1,1</a:t>
          </a:r>
          <a:r>
            <a:rPr lang="en-US"/>
            <a:t>%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835998" cy="264560"/>
    <xdr:sp macro="" textlink="Master!G279">
      <xdr:nvSpPr>
        <xdr:cNvPr id="15" name="TextBox 14"/>
        <xdr:cNvSpPr txBox="1"/>
      </xdr:nvSpPr>
      <xdr:spPr>
        <a:xfrm>
          <a:off x="1276350" y="1419225"/>
          <a:ext cx="83599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10</xdr:col>
      <xdr:colOff>657225</xdr:colOff>
      <xdr:row>2</xdr:row>
      <xdr:rowOff>9524</xdr:rowOff>
    </xdr:from>
    <xdr:to>
      <xdr:col>13</xdr:col>
      <xdr:colOff>447675</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733425</xdr:colOff>
      <xdr:row>0</xdr:row>
      <xdr:rowOff>104775</xdr:rowOff>
    </xdr:from>
    <xdr:to>
      <xdr:col>16</xdr:col>
      <xdr:colOff>131456</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13</xdr:col>
      <xdr:colOff>733425</xdr:colOff>
      <xdr:row>2</xdr:row>
      <xdr:rowOff>9525</xdr:rowOff>
    </xdr:from>
    <xdr:to>
      <xdr:col>16</xdr:col>
      <xdr:colOff>131456</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13</xdr:col>
      <xdr:colOff>752475</xdr:colOff>
      <xdr:row>3</xdr:row>
      <xdr:rowOff>133350</xdr:rowOff>
    </xdr:from>
    <xdr:to>
      <xdr:col>16</xdr:col>
      <xdr:colOff>150506</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2019-05</v>
      </c>
      <c r="O6" s="168" t="str">
        <f>+CONCATENATE(N6,"p")</f>
        <v>2019-05p</v>
      </c>
      <c r="P6" s="152"/>
      <c r="Q6" s="152"/>
      <c r="R6" s="168" t="str">
        <f>+IF(Master!B3-10&gt;=0,CONCATENATE(Master!B4-1,"-",Master!B3),CONCATENATE(Master!B4-1,"-0",Master!B3))</f>
        <v>2018-05</v>
      </c>
      <c r="S6" s="152"/>
      <c r="T6" s="152"/>
    </row>
    <row r="7" spans="1:20">
      <c r="A7" s="169"/>
      <c r="B7" s="454" t="s">
        <v>706</v>
      </c>
      <c r="C7" s="455"/>
      <c r="D7" s="455"/>
      <c r="E7" s="455"/>
      <c r="F7" s="455"/>
      <c r="G7" s="463" t="s">
        <v>704</v>
      </c>
      <c r="H7" s="464"/>
      <c r="I7" s="464"/>
      <c r="J7" s="464"/>
      <c r="K7" s="464"/>
      <c r="L7" s="464"/>
      <c r="M7" s="465"/>
      <c r="N7" s="466" t="str">
        <f>+Master!G242</f>
        <v>December</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May 2018</v>
      </c>
      <c r="L8" s="450" t="str">
        <f>+I8</f>
        <v>Deviation</v>
      </c>
      <c r="M8" s="462"/>
      <c r="N8" s="171" t="str">
        <f>+G8</f>
        <v>Execution</v>
      </c>
      <c r="O8" s="170" t="str">
        <f>+H8</f>
        <v>Plan</v>
      </c>
      <c r="P8" s="450" t="str">
        <f>+I8</f>
        <v>Deviation</v>
      </c>
      <c r="Q8" s="450"/>
      <c r="R8" s="170" t="str">
        <f>+CONCATENATE(Master!G244," ",Master!B4-1)</f>
        <v>May 2018</v>
      </c>
      <c r="S8" s="450" t="str">
        <f>+P8</f>
        <v>Deviation</v>
      </c>
      <c r="T8" s="451"/>
    </row>
    <row r="9" spans="1:20" ht="15.75" thickBot="1">
      <c r="A9" s="169"/>
      <c r="B9" s="459"/>
      <c r="C9" s="460"/>
      <c r="D9" s="460"/>
      <c r="E9" s="460"/>
      <c r="F9" s="461"/>
      <c r="G9" s="162" t="s">
        <v>427</v>
      </c>
      <c r="H9" s="162" t="s">
        <v>427</v>
      </c>
      <c r="I9" s="162" t="s">
        <v>427</v>
      </c>
      <c r="J9" s="162" t="s">
        <v>692</v>
      </c>
      <c r="K9" s="162" t="s">
        <v>427</v>
      </c>
      <c r="L9" s="162" t="s">
        <v>427</v>
      </c>
      <c r="M9" s="172" t="s">
        <v>692</v>
      </c>
      <c r="N9" s="173" t="s">
        <v>427</v>
      </c>
      <c r="O9" s="162" t="s">
        <v>427</v>
      </c>
      <c r="P9" s="162" t="s">
        <v>427</v>
      </c>
      <c r="Q9" s="162" t="s">
        <v>692</v>
      </c>
      <c r="R9" s="162" t="s">
        <v>427</v>
      </c>
      <c r="S9" s="162" t="s">
        <v>427</v>
      </c>
      <c r="T9" s="174" t="s">
        <v>692</v>
      </c>
    </row>
    <row r="10" spans="1:20" ht="15.75" thickBot="1">
      <c r="A10" s="175">
        <v>7</v>
      </c>
      <c r="B10" s="496" t="str">
        <f>+VLOOKUP($A10,Master!$D$27:$G$225,4,FALSE)</f>
        <v>Total Revenues</v>
      </c>
      <c r="C10" s="497"/>
      <c r="D10" s="497"/>
      <c r="E10" s="497"/>
      <c r="F10" s="497"/>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98" t="str">
        <f>+VLOOKUP($A11,Master!$D$27:$G$225,4,FALSE)</f>
        <v>Taxes</v>
      </c>
      <c r="C11" s="499"/>
      <c r="D11" s="499"/>
      <c r="E11" s="499"/>
      <c r="F11" s="499"/>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84" t="str">
        <f>+VLOOKUP($A12,Master!$D$27:$G$225,4,FALSE)</f>
        <v>Personal Income Tax</v>
      </c>
      <c r="C12" s="485"/>
      <c r="D12" s="485"/>
      <c r="E12" s="485"/>
      <c r="F12" s="48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84" t="str">
        <f>+VLOOKUP($A13,Master!$D$27:$G$225,4,FALSE)</f>
        <v>Corporate Income Tax</v>
      </c>
      <c r="C13" s="485"/>
      <c r="D13" s="485"/>
      <c r="E13" s="485"/>
      <c r="F13" s="48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84" t="str">
        <f>+VLOOKUP($A14,Master!$D$27:$G$225,4,FALSE)</f>
        <v xml:space="preserve">Taxes on Sales of Property </v>
      </c>
      <c r="C14" s="485"/>
      <c r="D14" s="485"/>
      <c r="E14" s="485"/>
      <c r="F14" s="48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84" t="str">
        <f>+VLOOKUP($A15,Master!$D$27:$G$225,4,FALSE)</f>
        <v>Value Added Tax</v>
      </c>
      <c r="C15" s="485"/>
      <c r="D15" s="485"/>
      <c r="E15" s="485"/>
      <c r="F15" s="48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84" t="str">
        <f>+VLOOKUP($A16,Master!$D$27:$G$225,4,FALSE)</f>
        <v>Excises</v>
      </c>
      <c r="C16" s="485"/>
      <c r="D16" s="485"/>
      <c r="E16" s="485"/>
      <c r="F16" s="48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84" t="str">
        <f>+VLOOKUP($A17,Master!$D$27:$G$225,4,FALSE)</f>
        <v>Tax on International Trade and Transactions</v>
      </c>
      <c r="C17" s="485"/>
      <c r="D17" s="485"/>
      <c r="E17" s="485"/>
      <c r="F17" s="48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84" t="e">
        <f>+VLOOKUP($A18,Master!$D$27:$G$225,4,FALSE)</f>
        <v>#N/A</v>
      </c>
      <c r="C18" s="485"/>
      <c r="D18" s="485"/>
      <c r="E18" s="485"/>
      <c r="F18" s="48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84" t="str">
        <f>+VLOOKUP($A19,Master!$D$27:$G$225,4,FALSE)</f>
        <v>Other Republic Taxes</v>
      </c>
      <c r="C19" s="485"/>
      <c r="D19" s="485"/>
      <c r="E19" s="485"/>
      <c r="F19" s="48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94" t="str">
        <f>+VLOOKUP($A20,Master!$D$27:$G$225,4,FALSE)</f>
        <v>Contributions</v>
      </c>
      <c r="C20" s="495"/>
      <c r="D20" s="495"/>
      <c r="E20" s="495"/>
      <c r="F20" s="495"/>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84" t="str">
        <f>+VLOOKUP($A21,Master!$D$27:$G$225,4,FALSE)</f>
        <v>Contributions for Pension and Disability Insurance</v>
      </c>
      <c r="C21" s="485"/>
      <c r="D21" s="485"/>
      <c r="E21" s="485"/>
      <c r="F21" s="48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84" t="str">
        <f>+VLOOKUP($A22,Master!$D$27:$G$225,4,FALSE)</f>
        <v>Contributions for Health Insurance</v>
      </c>
      <c r="C22" s="485"/>
      <c r="D22" s="485"/>
      <c r="E22" s="485"/>
      <c r="F22" s="48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84" t="str">
        <f>+VLOOKUP($A23,Master!$D$27:$G$225,4,FALSE)</f>
        <v>Contributions for  Unemployment Insurance</v>
      </c>
      <c r="C23" s="485"/>
      <c r="D23" s="485"/>
      <c r="E23" s="485"/>
      <c r="F23" s="48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84" t="str">
        <f>+VLOOKUP($A24,Master!$D$27:$G$225,4,FALSE)</f>
        <v>Other contributions</v>
      </c>
      <c r="C24" s="485"/>
      <c r="D24" s="485"/>
      <c r="E24" s="485"/>
      <c r="F24" s="48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86" t="str">
        <f>+VLOOKUP($A25,Master!$D$27:$G$225,4,FALSE)</f>
        <v>Duties</v>
      </c>
      <c r="C25" s="487"/>
      <c r="D25" s="487"/>
      <c r="E25" s="487"/>
      <c r="F25" s="48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86" t="str">
        <f>+VLOOKUP($A26,Master!$D$27:$G$225,4,FALSE)</f>
        <v>Fees</v>
      </c>
      <c r="C26" s="487"/>
      <c r="D26" s="487"/>
      <c r="E26" s="487"/>
      <c r="F26" s="48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86" t="str">
        <f>+VLOOKUP($A27,Master!$D$27:$G$225,4,FALSE)</f>
        <v>Other revenues</v>
      </c>
      <c r="C27" s="487"/>
      <c r="D27" s="487"/>
      <c r="E27" s="487"/>
      <c r="F27" s="48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86" t="str">
        <f>+VLOOKUP($A28,Master!$D$27:$G$225,4,FALSE)</f>
        <v>Receipts from Repayment of Loans and Funds Carried over from Previous Year</v>
      </c>
      <c r="C28" s="487"/>
      <c r="D28" s="487"/>
      <c r="E28" s="487"/>
      <c r="F28" s="48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88" t="str">
        <f>+VLOOKUP($A29,Master!$D$27:$G$225,4,FALSE)</f>
        <v>Grants and Transfers</v>
      </c>
      <c r="C29" s="489"/>
      <c r="D29" s="489"/>
      <c r="E29" s="489"/>
      <c r="F29" s="489"/>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74" t="str">
        <f>+VLOOKUP($A30,Master!$D$27:$G$225,4,FALSE)</f>
        <v>Total Expenditures</v>
      </c>
      <c r="C30" s="475"/>
      <c r="D30" s="475"/>
      <c r="E30" s="475"/>
      <c r="F30" s="475"/>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90" t="str">
        <f>+VLOOKUP($A31,Master!$D$27:$G$225,4,FALSE)</f>
        <v>Current Budgetary Consumption</v>
      </c>
      <c r="C31" s="491"/>
      <c r="D31" s="491"/>
      <c r="E31" s="491"/>
      <c r="F31" s="491"/>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92" t="str">
        <f>+VLOOKUP($A32,Master!$D$27:$G$225,4,FALSE)</f>
        <v>Current Expenditures</v>
      </c>
      <c r="C32" s="493"/>
      <c r="D32" s="493"/>
      <c r="E32" s="493"/>
      <c r="F32" s="493"/>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84" t="str">
        <f>+VLOOKUP($A33,Master!$D$27:$G$225,4,FALSE)</f>
        <v>Gross Salaries and Contributions</v>
      </c>
      <c r="C33" s="485"/>
      <c r="D33" s="485"/>
      <c r="E33" s="485"/>
      <c r="F33" s="48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84" t="str">
        <f>+VLOOKUP($A34,Master!$D$27:$G$225,4,FALSE)</f>
        <v>Other Personal Income</v>
      </c>
      <c r="C34" s="485"/>
      <c r="D34" s="485"/>
      <c r="E34" s="485"/>
      <c r="F34" s="48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84" t="str">
        <f>+VLOOKUP($A35,Master!$D$27:$G$225,4,FALSE)</f>
        <v>Expenditures for Supplies</v>
      </c>
      <c r="C35" s="485"/>
      <c r="D35" s="485"/>
      <c r="E35" s="485"/>
      <c r="F35" s="48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84" t="str">
        <f>+VLOOKUP($A36,Master!$D$27:$G$225,4,FALSE)</f>
        <v>Expenditures for Services</v>
      </c>
      <c r="C36" s="485"/>
      <c r="D36" s="485"/>
      <c r="E36" s="485"/>
      <c r="F36" s="48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84" t="str">
        <f>+VLOOKUP($A37,Master!$D$27:$G$225,4,FALSE)</f>
        <v>Current Maintenance</v>
      </c>
      <c r="C37" s="485"/>
      <c r="D37" s="485"/>
      <c r="E37" s="485"/>
      <c r="F37" s="48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84" t="str">
        <f>+VLOOKUP($A38,Master!$D$27:$G$225,4,FALSE)</f>
        <v>Interests</v>
      </c>
      <c r="C38" s="485"/>
      <c r="D38" s="485"/>
      <c r="E38" s="485"/>
      <c r="F38" s="48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84" t="str">
        <f>+VLOOKUP($A39,Master!$D$27:$G$225,4,FALSE)</f>
        <v>Rent</v>
      </c>
      <c r="C39" s="485"/>
      <c r="D39" s="485"/>
      <c r="E39" s="485"/>
      <c r="F39" s="48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84" t="str">
        <f>+VLOOKUP($A40,Master!$D$27:$G$225,4,FALSE)</f>
        <v>Subsidies</v>
      </c>
      <c r="C40" s="485"/>
      <c r="D40" s="485"/>
      <c r="E40" s="485"/>
      <c r="F40" s="48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84" t="str">
        <f>+VLOOKUP($A41,Master!$D$27:$G$225,4,FALSE)</f>
        <v>Other expenditures</v>
      </c>
      <c r="C41" s="485"/>
      <c r="D41" s="485"/>
      <c r="E41" s="485"/>
      <c r="F41" s="48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84" t="str">
        <f>+VLOOKUP($A42,Master!$D$27:$G$225,4,FALSE)</f>
        <v>Current Capital Expenditure</v>
      </c>
      <c r="C42" s="485"/>
      <c r="D42" s="485"/>
      <c r="E42" s="485"/>
      <c r="F42" s="48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80" t="str">
        <f>+VLOOKUP($A43,Master!$D$27:$G$225,4,FALSE)</f>
        <v>Social Security Transfers</v>
      </c>
      <c r="C43" s="481"/>
      <c r="D43" s="481"/>
      <c r="E43" s="481"/>
      <c r="F43" s="48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84" t="str">
        <f>+VLOOKUP($A44,Master!$D$27:$G$225,4,FALSE)</f>
        <v>Social Security</v>
      </c>
      <c r="C44" s="485"/>
      <c r="D44" s="485"/>
      <c r="E44" s="485"/>
      <c r="F44" s="48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84" t="str">
        <f>+VLOOKUP($A45,Master!$D$27:$G$225,4,FALSE)</f>
        <v>Funds for redundant labor</v>
      </c>
      <c r="C45" s="485"/>
      <c r="D45" s="485"/>
      <c r="E45" s="485"/>
      <c r="F45" s="48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84" t="str">
        <f>+VLOOKUP($A46,Master!$D$27:$G$225,4,FALSE)</f>
        <v>Pension and Disability Insurance</v>
      </c>
      <c r="C46" s="485"/>
      <c r="D46" s="485"/>
      <c r="E46" s="485"/>
      <c r="F46" s="48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84" t="str">
        <f>+VLOOKUP($A47,Master!$D$27:$G$225,4,FALSE)</f>
        <v>Other Health Care Transfers</v>
      </c>
      <c r="C47" s="485"/>
      <c r="D47" s="485"/>
      <c r="E47" s="485"/>
      <c r="F47" s="48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84" t="str">
        <f>+VLOOKUP($A48,Master!$D$27:$G$225,4,FALSE)</f>
        <v>Other Health Care Insurance</v>
      </c>
      <c r="C48" s="485"/>
      <c r="D48" s="485"/>
      <c r="E48" s="485"/>
      <c r="F48" s="48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82" t="str">
        <f>+VLOOKUP($A49,Master!$D$27:$G$225,4,FALSE)</f>
        <v xml:space="preserve">Transfers to Institutions, Individuals, NGO and Public Sector </v>
      </c>
      <c r="C49" s="483"/>
      <c r="D49" s="483"/>
      <c r="E49" s="483"/>
      <c r="F49" s="483"/>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82" t="str">
        <f>+VLOOKUP($A50,Master!$D$27:$G$225,4,FALSE)</f>
        <v>Capital Expenditure</v>
      </c>
      <c r="C50" s="483"/>
      <c r="D50" s="483"/>
      <c r="E50" s="483"/>
      <c r="F50" s="483"/>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52" t="str">
        <f>+VLOOKUP($A51,Master!$D$27:$G$225,4,FALSE)</f>
        <v>Credits and Borrowings</v>
      </c>
      <c r="C51" s="453"/>
      <c r="D51" s="453"/>
      <c r="E51" s="453"/>
      <c r="F51" s="45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52" t="str">
        <f>+VLOOKUP($A52,Master!$D$27:$G$225,4,FALSE)</f>
        <v>Reserves</v>
      </c>
      <c r="C52" s="453"/>
      <c r="D52" s="453"/>
      <c r="E52" s="453"/>
      <c r="F52" s="45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0" t="str">
        <f>+VLOOKUP($A53,Master!$D$27:$G$225,4,FALSE)</f>
        <v>Repayment of Guarantees</v>
      </c>
      <c r="C53" s="471"/>
      <c r="D53" s="471"/>
      <c r="E53" s="471"/>
      <c r="F53" s="471"/>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0" t="str">
        <f>+VLOOKUP($A54,Master!$D$27:$G$225,4,FALSE)</f>
        <v>Repayments of Arrears</v>
      </c>
      <c r="C54" s="471"/>
      <c r="D54" s="471"/>
      <c r="E54" s="471"/>
      <c r="F54" s="471"/>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0" t="str">
        <f>+VLOOKUP($A55,Master!$D$27:$G$227,4,FALSE)</f>
        <v>Net increase of liabilities</v>
      </c>
      <c r="C55" s="471"/>
      <c r="D55" s="471"/>
      <c r="E55" s="471"/>
      <c r="F55" s="471"/>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80" t="str">
        <f>+VLOOKUP($A58,Master!$D$27:$G$225,4,FALSE)</f>
        <v>Repayment of Debt</v>
      </c>
      <c r="C58" s="481"/>
      <c r="D58" s="481"/>
      <c r="E58" s="481"/>
      <c r="F58" s="48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68" t="str">
        <f>+VLOOKUP($A59,Master!$D$27:$G$225,4,FALSE)</f>
        <v>Repayment of Domestic Debt</v>
      </c>
      <c r="C59" s="469"/>
      <c r="D59" s="469"/>
      <c r="E59" s="469"/>
      <c r="F59" s="469"/>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52" t="str">
        <f>+VLOOKUP($A60,Master!$D$27:$G$225,4,FALSE)</f>
        <v>Repayment of Foreign Debt</v>
      </c>
      <c r="C60" s="453"/>
      <c r="D60" s="453"/>
      <c r="E60" s="453"/>
      <c r="F60" s="45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697</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72" t="str">
        <f>+VLOOKUP($A62,Master!$D$27:$G$225,4,FALSE)</f>
        <v>Financing needs</v>
      </c>
      <c r="C62" s="473"/>
      <c r="D62" s="473"/>
      <c r="E62" s="473"/>
      <c r="F62" s="473"/>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74" t="str">
        <f>+VLOOKUP($A63,Master!$D$27:$G$225,4,FALSE)</f>
        <v>Financing</v>
      </c>
      <c r="C63" s="475"/>
      <c r="D63" s="475"/>
      <c r="E63" s="475"/>
      <c r="F63" s="475"/>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68" t="str">
        <f>+VLOOKUP($A64,Master!$D$27:$G$225,4,FALSE)</f>
        <v>Domestic Loans and Borrowings</v>
      </c>
      <c r="C64" s="469"/>
      <c r="D64" s="469"/>
      <c r="E64" s="469"/>
      <c r="F64" s="469"/>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52" t="str">
        <f>+VLOOKUP($A65,Master!$D$27:$G$225,4,FALSE)</f>
        <v>Foreign Loans and Borrowings</v>
      </c>
      <c r="C65" s="453"/>
      <c r="D65" s="453"/>
      <c r="E65" s="453"/>
      <c r="F65" s="45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52" t="str">
        <f>+VLOOKUP($A66,Master!$D$27:$G$225,4,FALSE)</f>
        <v>Revenues from Selling Assets</v>
      </c>
      <c r="C66" s="453"/>
      <c r="D66" s="453"/>
      <c r="E66" s="453"/>
      <c r="F66" s="45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B10:F10"/>
    <mergeCell ref="B11:F11"/>
    <mergeCell ref="B12:F12"/>
    <mergeCell ref="B13:F13"/>
    <mergeCell ref="B14:F14"/>
    <mergeCell ref="B26:F26"/>
    <mergeCell ref="B15:F15"/>
    <mergeCell ref="B16:F16"/>
    <mergeCell ref="B17:F17"/>
    <mergeCell ref="B18:F18"/>
    <mergeCell ref="B19:F19"/>
    <mergeCell ref="B20:F20"/>
    <mergeCell ref="B21:F21"/>
    <mergeCell ref="B22:F22"/>
    <mergeCell ref="B23:F23"/>
    <mergeCell ref="B24:F24"/>
    <mergeCell ref="B25:F25"/>
    <mergeCell ref="B38:F38"/>
    <mergeCell ref="B27:F27"/>
    <mergeCell ref="B28:F28"/>
    <mergeCell ref="B29:F29"/>
    <mergeCell ref="B30:F30"/>
    <mergeCell ref="B31:F31"/>
    <mergeCell ref="B32:F32"/>
    <mergeCell ref="B33:F33"/>
    <mergeCell ref="B34:F34"/>
    <mergeCell ref="B35:F35"/>
    <mergeCell ref="B36:F36"/>
    <mergeCell ref="B37:F37"/>
    <mergeCell ref="B50:F50"/>
    <mergeCell ref="B39:F39"/>
    <mergeCell ref="B40:F40"/>
    <mergeCell ref="B41:F41"/>
    <mergeCell ref="B42:F42"/>
    <mergeCell ref="B43:F43"/>
    <mergeCell ref="B44:F44"/>
    <mergeCell ref="B45:F45"/>
    <mergeCell ref="B46:F46"/>
    <mergeCell ref="B47:F47"/>
    <mergeCell ref="B48:F48"/>
    <mergeCell ref="B49:F49"/>
    <mergeCell ref="B52:F52"/>
    <mergeCell ref="B53:F53"/>
    <mergeCell ref="B56:F56"/>
    <mergeCell ref="B57:F57"/>
    <mergeCell ref="B58:F58"/>
    <mergeCell ref="B55:F55"/>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529</v>
      </c>
      <c r="H6" s="259" t="s">
        <v>530</v>
      </c>
      <c r="I6" s="259" t="s">
        <v>531</v>
      </c>
      <c r="J6" s="259" t="s">
        <v>532</v>
      </c>
      <c r="K6" s="259" t="s">
        <v>533</v>
      </c>
      <c r="L6" s="259" t="s">
        <v>534</v>
      </c>
      <c r="M6" s="259" t="s">
        <v>535</v>
      </c>
      <c r="N6" s="259" t="s">
        <v>536</v>
      </c>
      <c r="O6" s="259" t="s">
        <v>537</v>
      </c>
      <c r="P6" s="259" t="s">
        <v>538</v>
      </c>
      <c r="Q6" s="259" t="s">
        <v>539</v>
      </c>
      <c r="R6" s="259" t="s">
        <v>540</v>
      </c>
      <c r="S6" s="258"/>
      <c r="T6" s="258"/>
    </row>
    <row r="7" spans="1:20" ht="15" customHeight="1" thickBot="1">
      <c r="A7" s="169"/>
      <c r="B7" s="557" t="str">
        <f>+Master!G251</f>
        <v>Budget Execution</v>
      </c>
      <c r="C7" s="455"/>
      <c r="D7" s="455"/>
      <c r="E7" s="455"/>
      <c r="F7" s="455"/>
      <c r="G7" s="463">
        <v>2014</v>
      </c>
      <c r="H7" s="464"/>
      <c r="I7" s="464"/>
      <c r="J7" s="464"/>
      <c r="K7" s="464"/>
      <c r="L7" s="464"/>
      <c r="M7" s="464"/>
      <c r="N7" s="464"/>
      <c r="O7" s="464"/>
      <c r="P7" s="464"/>
      <c r="Q7" s="464"/>
      <c r="R7" s="467"/>
      <c r="S7" s="260" t="str">
        <f>+Master!G248</f>
        <v>GDP</v>
      </c>
      <c r="T7" s="261">
        <v>3457880000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704</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96" t="str">
        <f>+VLOOKUP($A10,Master!$D$27:$G$225,4,FALSE)</f>
        <v>Total Revenues</v>
      </c>
      <c r="C10" s="497"/>
      <c r="D10" s="497"/>
      <c r="E10" s="497"/>
      <c r="F10" s="497"/>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98" t="str">
        <f>+VLOOKUP($A11,Master!$D$27:$G$225,4,FALSE)</f>
        <v>Taxes</v>
      </c>
      <c r="C11" s="499"/>
      <c r="D11" s="499"/>
      <c r="E11" s="499"/>
      <c r="F11" s="499"/>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84" t="str">
        <f>+VLOOKUP($A12,Master!$D$27:$G$225,4,FALSE)</f>
        <v>Personal Income Tax</v>
      </c>
      <c r="C12" s="485"/>
      <c r="D12" s="485"/>
      <c r="E12" s="485"/>
      <c r="F12" s="48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84" t="str">
        <f>+VLOOKUP($A13,Master!$D$27:$G$225,4,FALSE)</f>
        <v>Corporate Income Tax</v>
      </c>
      <c r="C13" s="485"/>
      <c r="D13" s="485"/>
      <c r="E13" s="485"/>
      <c r="F13" s="48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84" t="str">
        <f>+VLOOKUP($A14,Master!$D$27:$G$225,4,FALSE)</f>
        <v xml:space="preserve">Taxes on Sales of Property </v>
      </c>
      <c r="C14" s="485"/>
      <c r="D14" s="485"/>
      <c r="E14" s="485"/>
      <c r="F14" s="48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84" t="str">
        <f>+VLOOKUP($A15,Master!$D$27:$G$225,4,FALSE)</f>
        <v>Value Added Tax</v>
      </c>
      <c r="C15" s="485"/>
      <c r="D15" s="485"/>
      <c r="E15" s="485"/>
      <c r="F15" s="48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84" t="str">
        <f>+VLOOKUP($A16,Master!$D$27:$G$225,4,FALSE)</f>
        <v>Excises</v>
      </c>
      <c r="C16" s="485"/>
      <c r="D16" s="485"/>
      <c r="E16" s="485"/>
      <c r="F16" s="48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84" t="str">
        <f>+VLOOKUP($A17,Master!$D$27:$G$225,4,FALSE)</f>
        <v>Tax on International Trade and Transactions</v>
      </c>
      <c r="C17" s="485"/>
      <c r="D17" s="485"/>
      <c r="E17" s="485"/>
      <c r="F17" s="48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84" t="str">
        <f>+VLOOKUP($A18,Master!$D$27:$G$225,4,FALSE)</f>
        <v>Other Republic Taxes</v>
      </c>
      <c r="C18" s="485"/>
      <c r="D18" s="485"/>
      <c r="E18" s="485"/>
      <c r="F18" s="48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94" t="str">
        <f>+VLOOKUP($A19,Master!$D$27:$G$225,4,FALSE)</f>
        <v>Contributions</v>
      </c>
      <c r="C19" s="495"/>
      <c r="D19" s="495"/>
      <c r="E19" s="495"/>
      <c r="F19" s="495"/>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84" t="str">
        <f>+VLOOKUP($A20,Master!$D$27:$G$225,4,FALSE)</f>
        <v>Contributions for Pension and Disability Insurance</v>
      </c>
      <c r="C20" s="485"/>
      <c r="D20" s="485"/>
      <c r="E20" s="485"/>
      <c r="F20" s="48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84" t="str">
        <f>+VLOOKUP($A21,Master!$D$27:$G$225,4,FALSE)</f>
        <v>Contributions for Health Insurance</v>
      </c>
      <c r="C21" s="485"/>
      <c r="D21" s="485"/>
      <c r="E21" s="485"/>
      <c r="F21" s="48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84" t="str">
        <f>+VLOOKUP($A22,Master!$D$27:$G$225,4,FALSE)</f>
        <v>Contributions for  Unemployment Insurance</v>
      </c>
      <c r="C22" s="485"/>
      <c r="D22" s="485"/>
      <c r="E22" s="485"/>
      <c r="F22" s="48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84" t="str">
        <f>+VLOOKUP($A23,Master!$D$27:$G$225,4,FALSE)</f>
        <v>Other contributions</v>
      </c>
      <c r="C23" s="485"/>
      <c r="D23" s="485"/>
      <c r="E23" s="485"/>
      <c r="F23" s="48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86" t="str">
        <f>+VLOOKUP($A24,Master!$D$27:$G$225,4,FALSE)</f>
        <v>Duties</v>
      </c>
      <c r="C24" s="487"/>
      <c r="D24" s="487"/>
      <c r="E24" s="487"/>
      <c r="F24" s="48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86" t="str">
        <f>+VLOOKUP($A25,Master!$D$27:$G$225,4,FALSE)</f>
        <v>Fees</v>
      </c>
      <c r="C25" s="487"/>
      <c r="D25" s="487"/>
      <c r="E25" s="487"/>
      <c r="F25" s="48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86" t="str">
        <f>+VLOOKUP($A26,Master!$D$27:$G$225,4,FALSE)</f>
        <v>Other revenues</v>
      </c>
      <c r="C26" s="487"/>
      <c r="D26" s="487"/>
      <c r="E26" s="487"/>
      <c r="F26" s="48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86" t="str">
        <f>+VLOOKUP($A27,Master!$D$27:$G$225,4,FALSE)</f>
        <v>Receipts from Repayment of Loans and Funds Carried over from Previous Year</v>
      </c>
      <c r="C27" s="487"/>
      <c r="D27" s="487"/>
      <c r="E27" s="487"/>
      <c r="F27" s="48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88" t="str">
        <f>+VLOOKUP($A28,Master!$D$27:$G$225,4,FALSE)</f>
        <v>Grants and Transfers</v>
      </c>
      <c r="C28" s="489"/>
      <c r="D28" s="489"/>
      <c r="E28" s="489"/>
      <c r="F28" s="489"/>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74" t="str">
        <f>+VLOOKUP($A29,Master!$D$27:$G$225,4,FALSE)</f>
        <v>Total Expenditures</v>
      </c>
      <c r="C29" s="475"/>
      <c r="D29" s="475"/>
      <c r="E29" s="475"/>
      <c r="F29" s="475"/>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90" t="str">
        <f>+VLOOKUP($A30,Master!$D$27:$G$225,4,FALSE)</f>
        <v>Current Budgetary Consumption</v>
      </c>
      <c r="C30" s="491"/>
      <c r="D30" s="491"/>
      <c r="E30" s="491"/>
      <c r="F30" s="491"/>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92" t="str">
        <f>+VLOOKUP($A31,Master!$D$27:$G$225,4,FALSE)</f>
        <v>Current Expenditures</v>
      </c>
      <c r="C31" s="493"/>
      <c r="D31" s="493"/>
      <c r="E31" s="493"/>
      <c r="F31" s="493"/>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84" t="str">
        <f>+VLOOKUP($A32,Master!$D$27:$G$225,4,FALSE)</f>
        <v>Gross Salaries and Contributions</v>
      </c>
      <c r="C32" s="485"/>
      <c r="D32" s="485"/>
      <c r="E32" s="485"/>
      <c r="F32" s="48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84" t="str">
        <f>+VLOOKUP($A33,Master!$D$27:$G$225,4,FALSE)</f>
        <v>Other Personal Income</v>
      </c>
      <c r="C33" s="485"/>
      <c r="D33" s="485"/>
      <c r="E33" s="485"/>
      <c r="F33" s="48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84" t="str">
        <f>+VLOOKUP($A34,Master!$D$27:$G$225,4,FALSE)</f>
        <v>Expenditures for Supplies</v>
      </c>
      <c r="C34" s="485"/>
      <c r="D34" s="485"/>
      <c r="E34" s="485"/>
      <c r="F34" s="48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84" t="str">
        <f>+VLOOKUP($A35,Master!$D$27:$G$225,4,FALSE)</f>
        <v>Expenditures for Services</v>
      </c>
      <c r="C35" s="485"/>
      <c r="D35" s="485"/>
      <c r="E35" s="485"/>
      <c r="F35" s="48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84" t="str">
        <f>+VLOOKUP($A36,Master!$D$27:$G$225,4,FALSE)</f>
        <v>Current Maintenance</v>
      </c>
      <c r="C36" s="485"/>
      <c r="D36" s="485"/>
      <c r="E36" s="485"/>
      <c r="F36" s="48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84" t="str">
        <f>+VLOOKUP($A37,Master!$D$27:$G$225,4,FALSE)</f>
        <v>Interests</v>
      </c>
      <c r="C37" s="485"/>
      <c r="D37" s="485"/>
      <c r="E37" s="485"/>
      <c r="F37" s="48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84" t="str">
        <f>+VLOOKUP($A38,Master!$D$27:$G$225,4,FALSE)</f>
        <v>Rent</v>
      </c>
      <c r="C38" s="485"/>
      <c r="D38" s="485"/>
      <c r="E38" s="485"/>
      <c r="F38" s="48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84" t="str">
        <f>+VLOOKUP($A39,Master!$D$27:$G$225,4,FALSE)</f>
        <v>Subsidies</v>
      </c>
      <c r="C39" s="485"/>
      <c r="D39" s="485"/>
      <c r="E39" s="485"/>
      <c r="F39" s="48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84" t="str">
        <f>+VLOOKUP($A40,Master!$D$27:$G$225,4,FALSE)</f>
        <v>Other expenditures</v>
      </c>
      <c r="C40" s="485"/>
      <c r="D40" s="485"/>
      <c r="E40" s="485"/>
      <c r="F40" s="48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84" t="str">
        <f>+VLOOKUP($A41,Master!$D$27:$G$225,4,FALSE)</f>
        <v>Current Capital Expenditure</v>
      </c>
      <c r="C41" s="485"/>
      <c r="D41" s="485"/>
      <c r="E41" s="485"/>
      <c r="F41" s="48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80" t="str">
        <f>+VLOOKUP($A42,Master!$D$27:$G$225,4,FALSE)</f>
        <v>Social Security Transfers</v>
      </c>
      <c r="C42" s="481"/>
      <c r="D42" s="481"/>
      <c r="E42" s="481"/>
      <c r="F42" s="48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84" t="str">
        <f>+VLOOKUP($A43,Master!$D$27:$G$225,4,FALSE)</f>
        <v>Social Security</v>
      </c>
      <c r="C43" s="485"/>
      <c r="D43" s="485"/>
      <c r="E43" s="485"/>
      <c r="F43" s="48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84" t="str">
        <f>+VLOOKUP($A44,Master!$D$27:$G$225,4,FALSE)</f>
        <v>Funds for redundant labor</v>
      </c>
      <c r="C44" s="485"/>
      <c r="D44" s="485"/>
      <c r="E44" s="485"/>
      <c r="F44" s="48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84" t="str">
        <f>+VLOOKUP($A45,Master!$D$27:$G$225,4,FALSE)</f>
        <v>Pension and Disability Insurance</v>
      </c>
      <c r="C45" s="485"/>
      <c r="D45" s="485"/>
      <c r="E45" s="485"/>
      <c r="F45" s="48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84" t="str">
        <f>+VLOOKUP($A46,Master!$D$27:$G$225,4,FALSE)</f>
        <v>Other Health Care Transfers</v>
      </c>
      <c r="C46" s="485"/>
      <c r="D46" s="485"/>
      <c r="E46" s="485"/>
      <c r="F46" s="48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84" t="str">
        <f>+VLOOKUP($A47,Master!$D$27:$G$225,4,FALSE)</f>
        <v>Other Health Care Insurance</v>
      </c>
      <c r="C47" s="485"/>
      <c r="D47" s="485"/>
      <c r="E47" s="485"/>
      <c r="F47" s="48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82" t="str">
        <f>+VLOOKUP($A48,Master!$D$27:$G$225,4,FALSE)</f>
        <v xml:space="preserve">Transfers to Institutions, Individuals, NGO and Public Sector </v>
      </c>
      <c r="C48" s="483"/>
      <c r="D48" s="483"/>
      <c r="E48" s="483"/>
      <c r="F48" s="483"/>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82" t="str">
        <f>+VLOOKUP($A49,Master!$D$27:$G$225,4,FALSE)</f>
        <v>Capital Expenditure</v>
      </c>
      <c r="C49" s="483"/>
      <c r="D49" s="483"/>
      <c r="E49" s="483"/>
      <c r="F49" s="483"/>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52" t="str">
        <f>+VLOOKUP($A50,Master!$D$27:$G$225,4,FALSE)</f>
        <v>Credits and Borrowings</v>
      </c>
      <c r="C50" s="453"/>
      <c r="D50" s="453"/>
      <c r="E50" s="453"/>
      <c r="F50" s="45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52" t="str">
        <f>+VLOOKUP($A51,Master!$D$27:$G$225,4,FALSE)</f>
        <v>Reserves</v>
      </c>
      <c r="C51" s="453"/>
      <c r="D51" s="453"/>
      <c r="E51" s="453"/>
      <c r="F51" s="45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0" t="str">
        <f>+VLOOKUP($A52,Master!$D$27:$G$225,4,FALSE)</f>
        <v>Repayment of Guarantees</v>
      </c>
      <c r="C52" s="471"/>
      <c r="D52" s="471"/>
      <c r="E52" s="471"/>
      <c r="F52" s="471"/>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0" t="str">
        <f>+VLOOKUP($A53,Master!$D$27:$G$225,4,TRUE)</f>
        <v>Repayments of Arrears</v>
      </c>
      <c r="C53" s="471"/>
      <c r="D53" s="471"/>
      <c r="E53" s="471"/>
      <c r="F53" s="471"/>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16" t="str">
        <f>+VLOOKUP($A54,Master!$D$27:$G$227,4,FALSE)</f>
        <v>Net increase of liabilities</v>
      </c>
      <c r="C54" s="517"/>
      <c r="D54" s="517"/>
      <c r="E54" s="517"/>
      <c r="F54" s="51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80" t="str">
        <f>+VLOOKUP($A57,Master!$D$27:$G$225,4,FALSE)</f>
        <v>Repayment of Debt</v>
      </c>
      <c r="C57" s="481"/>
      <c r="D57" s="481"/>
      <c r="E57" s="481"/>
      <c r="F57" s="48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68" t="str">
        <f>+VLOOKUP($A58,Master!$D$27:$G$225,4,FALSE)</f>
        <v>Repayment of Domestic Debt</v>
      </c>
      <c r="C58" s="469"/>
      <c r="D58" s="469"/>
      <c r="E58" s="469"/>
      <c r="F58" s="469"/>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52" t="str">
        <f>+VLOOKUP($A59,Master!$D$27:$G$225,4,FALSE)</f>
        <v>Repayment of Foreign Debt</v>
      </c>
      <c r="C59" s="453"/>
      <c r="D59" s="453"/>
      <c r="E59" s="453"/>
      <c r="F59" s="45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72" t="str">
        <f>+VLOOKUP($A60,Master!$D$27:$G$225,4,FALSE)</f>
        <v>Financing needs</v>
      </c>
      <c r="C60" s="473"/>
      <c r="D60" s="473"/>
      <c r="E60" s="473"/>
      <c r="F60" s="473"/>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74" t="str">
        <f>+VLOOKUP($A61,Master!$D$27:$G$225,4,FALSE)</f>
        <v>Financing</v>
      </c>
      <c r="C61" s="475"/>
      <c r="D61" s="475"/>
      <c r="E61" s="475"/>
      <c r="F61" s="475"/>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68" t="str">
        <f>+VLOOKUP($A62,Master!$D$27:$G$225,4,FALSE)</f>
        <v>Domestic Loans and Borrowings</v>
      </c>
      <c r="C62" s="469"/>
      <c r="D62" s="469"/>
      <c r="E62" s="469"/>
      <c r="F62" s="469"/>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52" t="str">
        <f>+VLOOKUP($A63,Master!$D$27:$G$225,4,FALSE)</f>
        <v>Foreign Loans and Borrowings</v>
      </c>
      <c r="C63" s="453"/>
      <c r="D63" s="453"/>
      <c r="E63" s="453"/>
      <c r="F63" s="45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52" t="str">
        <f>+VLOOKUP($A64,Master!$D$27:$G$225,4,FALSE)</f>
        <v>Revenues from Selling Assets</v>
      </c>
      <c r="C64" s="453"/>
      <c r="D64" s="453"/>
      <c r="E64" s="453"/>
      <c r="F64" s="45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39" t="str">
        <f>+Master!G252</f>
        <v>Planned Budget Execution</v>
      </c>
      <c r="C101" s="540"/>
      <c r="D101" s="540"/>
      <c r="E101" s="540"/>
      <c r="F101" s="540"/>
      <c r="G101" s="532">
        <v>2014</v>
      </c>
      <c r="H101" s="533"/>
      <c r="I101" s="533"/>
      <c r="J101" s="533"/>
      <c r="K101" s="533"/>
      <c r="L101" s="533"/>
      <c r="M101" s="533"/>
      <c r="N101" s="533"/>
      <c r="O101" s="533"/>
      <c r="P101" s="533"/>
      <c r="Q101" s="533"/>
      <c r="R101" s="534"/>
      <c r="S101" s="115" t="str">
        <f>+S7</f>
        <v>GDP</v>
      </c>
      <c r="T101" s="116">
        <v>3393200615</v>
      </c>
    </row>
    <row r="102" spans="1:21" ht="15.75" customHeight="1">
      <c r="B102" s="541"/>
      <c r="C102" s="542"/>
      <c r="D102" s="542"/>
      <c r="E102" s="542"/>
      <c r="F102" s="543"/>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32" t="str">
        <f>+Master!G246</f>
        <v>Jan - Dec</v>
      </c>
      <c r="T102" s="534">
        <f>+T8</f>
        <v>0</v>
      </c>
    </row>
    <row r="103" spans="1:21" ht="13.5" thickBot="1">
      <c r="B103" s="544"/>
      <c r="C103" s="545"/>
      <c r="D103" s="545"/>
      <c r="E103" s="545"/>
      <c r="F103" s="546"/>
      <c r="G103" s="68" t="s">
        <v>427</v>
      </c>
      <c r="H103" s="68" t="s">
        <v>427</v>
      </c>
      <c r="I103" s="68" t="s">
        <v>427</v>
      </c>
      <c r="J103" s="68" t="s">
        <v>427</v>
      </c>
      <c r="K103" s="68" t="s">
        <v>427</v>
      </c>
      <c r="L103" s="68" t="s">
        <v>427</v>
      </c>
      <c r="M103" s="68" t="s">
        <v>427</v>
      </c>
      <c r="N103" s="68" t="s">
        <v>427</v>
      </c>
      <c r="O103" s="68" t="s">
        <v>427</v>
      </c>
      <c r="P103" s="68" t="s">
        <v>427</v>
      </c>
      <c r="Q103" s="68" t="s">
        <v>427</v>
      </c>
      <c r="R103" s="68" t="s">
        <v>427</v>
      </c>
      <c r="S103" s="66" t="s">
        <v>427</v>
      </c>
      <c r="T103" s="67" t="str">
        <f>+T9</f>
        <v>% GDP</v>
      </c>
    </row>
    <row r="104" spans="1:21" ht="13.5" thickBot="1">
      <c r="A104" s="137" t="str">
        <f t="shared" ref="A104:A111" si="16">+CONCATENATE(A10,"p")</f>
        <v>7p</v>
      </c>
      <c r="B104" s="535" t="str">
        <f>+VLOOKUP(LEFT($A104,LEN(A104)-1)*1,Master!$D$27:$G$225,4,FALSE)</f>
        <v>Total Revenues</v>
      </c>
      <c r="C104" s="536"/>
      <c r="D104" s="536"/>
      <c r="E104" s="536"/>
      <c r="F104" s="536"/>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37" t="str">
        <f>+VLOOKUP(LEFT($A105,LEN(A105)-1)*1,Master!$D$27:$G$225,4,FALSE)</f>
        <v>Taxes</v>
      </c>
      <c r="C105" s="538"/>
      <c r="D105" s="538"/>
      <c r="E105" s="538"/>
      <c r="F105" s="538"/>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18" t="str">
        <f>+VLOOKUP(LEFT($A106,LEN(A106)-1)*1,Master!$D$27:$G$225,4,FALSE)</f>
        <v>Personal Income Tax</v>
      </c>
      <c r="C106" s="519"/>
      <c r="D106" s="519"/>
      <c r="E106" s="519"/>
      <c r="F106" s="519"/>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18" t="str">
        <f>+VLOOKUP(LEFT($A107,LEN(A107)-1)*1,Master!$D$27:$G$225,4,FALSE)</f>
        <v>Corporate Income Tax</v>
      </c>
      <c r="C107" s="519"/>
      <c r="D107" s="519"/>
      <c r="E107" s="519"/>
      <c r="F107" s="519"/>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18" t="str">
        <f>+VLOOKUP(LEFT($A108,LEN(A108)-1)*1,Master!$D$27:$G$225,4,FALSE)</f>
        <v xml:space="preserve">Taxes on Sales of Property </v>
      </c>
      <c r="C108" s="519"/>
      <c r="D108" s="519"/>
      <c r="E108" s="519"/>
      <c r="F108" s="519"/>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18" t="str">
        <f>+VLOOKUP(LEFT($A109,LEN(A109)-1)*1,Master!$D$27:$G$225,4,FALSE)</f>
        <v>Value Added Tax</v>
      </c>
      <c r="C109" s="519"/>
      <c r="D109" s="519"/>
      <c r="E109" s="519"/>
      <c r="F109" s="519"/>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18" t="str">
        <f>+VLOOKUP(LEFT($A110,LEN(A110)-1)*1,Master!$D$27:$G$225,4,FALSE)</f>
        <v>Excises</v>
      </c>
      <c r="C110" s="519"/>
      <c r="D110" s="519"/>
      <c r="E110" s="519"/>
      <c r="F110" s="519"/>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18" t="str">
        <f>+VLOOKUP(LEFT($A111,LEN(A111)-1)*1,Master!$D$27:$G$225,4,FALSE)</f>
        <v>Tax on International Trade and Transactions</v>
      </c>
      <c r="C111" s="519"/>
      <c r="D111" s="519"/>
      <c r="E111" s="519"/>
      <c r="F111" s="519"/>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18" t="e">
        <f>+VLOOKUP(LEFT($A112,LEN(A112)-1)*1,Master!$D$27:$G$225,4,FALSE)</f>
        <v>#REF!</v>
      </c>
      <c r="C112" s="519"/>
      <c r="D112" s="519"/>
      <c r="E112" s="519"/>
      <c r="F112" s="519"/>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18" t="str">
        <f>+VLOOKUP(LEFT($A113,LEN(A113)-1)*1,Master!$D$27:$G$225,4,FALSE)</f>
        <v>Other Republic Taxes</v>
      </c>
      <c r="C113" s="519"/>
      <c r="D113" s="519"/>
      <c r="E113" s="519"/>
      <c r="F113" s="519"/>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0" t="str">
        <f>+VLOOKUP(LEFT($A114,LEN(A114)-1)*1,Master!$D$27:$G$225,4,FALSE)</f>
        <v>Contributions</v>
      </c>
      <c r="C114" s="531"/>
      <c r="D114" s="531"/>
      <c r="E114" s="531"/>
      <c r="F114" s="531"/>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18" t="str">
        <f>+VLOOKUP(LEFT($A115,LEN(A115)-1)*1,Master!$D$27:$G$225,4,FALSE)</f>
        <v>Contributions for Pension and Disability Insurance</v>
      </c>
      <c r="C115" s="519"/>
      <c r="D115" s="519"/>
      <c r="E115" s="519"/>
      <c r="F115" s="519"/>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18" t="str">
        <f>+VLOOKUP(LEFT($A116,LEN(A116)-1)*1,Master!$D$27:$G$225,4,FALSE)</f>
        <v>Contributions for Health Insurance</v>
      </c>
      <c r="C116" s="519"/>
      <c r="D116" s="519"/>
      <c r="E116" s="519"/>
      <c r="F116" s="519"/>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18" t="str">
        <f>+VLOOKUP(LEFT($A117,LEN(A117)-1)*1,Master!$D$27:$G$225,4,FALSE)</f>
        <v>Contributions for  Unemployment Insurance</v>
      </c>
      <c r="C117" s="519"/>
      <c r="D117" s="519"/>
      <c r="E117" s="519"/>
      <c r="F117" s="519"/>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18" t="str">
        <f>+VLOOKUP(LEFT($A118,LEN(A118)-1)*1,Master!$D$27:$G$225,4,FALSE)</f>
        <v>Other contributions</v>
      </c>
      <c r="C118" s="519"/>
      <c r="D118" s="519"/>
      <c r="E118" s="519"/>
      <c r="F118" s="519"/>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22" t="str">
        <f>+VLOOKUP(LEFT($A119,LEN(A119)-1)*1,Master!$D$27:$G$225,4,FALSE)</f>
        <v>Duties</v>
      </c>
      <c r="C119" s="523"/>
      <c r="D119" s="523"/>
      <c r="E119" s="523"/>
      <c r="F119" s="523"/>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22" t="str">
        <f>+VLOOKUP(LEFT($A120,LEN(A120)-1)*1,Master!$D$27:$G$225,4,FALSE)</f>
        <v>Fees</v>
      </c>
      <c r="C120" s="523"/>
      <c r="D120" s="523"/>
      <c r="E120" s="523"/>
      <c r="F120" s="523"/>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22" t="str">
        <f>+VLOOKUP(LEFT($A121,LEN(A121)-1)*1,Master!$D$27:$G$225,4,FALSE)</f>
        <v>Other revenues</v>
      </c>
      <c r="C121" s="523"/>
      <c r="D121" s="523"/>
      <c r="E121" s="523"/>
      <c r="F121" s="523"/>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22" t="str">
        <f>+VLOOKUP(LEFT($A122,LEN(A122)-1)*1,Master!$D$27:$G$225,4,FALSE)</f>
        <v>Receipts from Repayment of Loans and Funds Carried over from Previous Year</v>
      </c>
      <c r="C122" s="523"/>
      <c r="D122" s="523"/>
      <c r="E122" s="523"/>
      <c r="F122" s="523"/>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24" t="str">
        <f>+VLOOKUP(LEFT($A123,LEN(A123)-1)*1,Master!$D$27:$G$225,4,FALSE)</f>
        <v>Grants and Transfers</v>
      </c>
      <c r="C123" s="525"/>
      <c r="D123" s="525"/>
      <c r="E123" s="525"/>
      <c r="F123" s="52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08" t="str">
        <f>+VLOOKUP(LEFT($A124,LEN(A124)-1)*1,Master!$D$27:$G$225,4,FALSE)</f>
        <v>Total Expenditures</v>
      </c>
      <c r="C124" s="509"/>
      <c r="D124" s="509"/>
      <c r="E124" s="509"/>
      <c r="F124" s="509"/>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26" t="str">
        <f>+VLOOKUP(LEFT($A125,LEN(A125)-1)*1,Master!$D$27:$G$225,4,FALSE)</f>
        <v>Current Budgetary Consumption</v>
      </c>
      <c r="C125" s="527"/>
      <c r="D125" s="527"/>
      <c r="E125" s="527"/>
      <c r="F125" s="527"/>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28" t="str">
        <f>+VLOOKUP(LEFT($A126,LEN(A126)-1)*1,Master!$D$27:$G$225,4,FALSE)</f>
        <v>Current Expenditures</v>
      </c>
      <c r="C126" s="529"/>
      <c r="D126" s="529"/>
      <c r="E126" s="529"/>
      <c r="F126" s="529"/>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18" t="str">
        <f>+VLOOKUP(LEFT($A127,LEN(A127)-1)*1,Master!$D$27:$G$225,4,FALSE)</f>
        <v>Gross Salaries and Contributions</v>
      </c>
      <c r="C127" s="519"/>
      <c r="D127" s="519"/>
      <c r="E127" s="519"/>
      <c r="F127" s="519"/>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18" t="str">
        <f>+VLOOKUP(LEFT($A128,LEN(A128)-1)*1,Master!$D$27:$G$225,4,FALSE)</f>
        <v>Other Personal Income</v>
      </c>
      <c r="C128" s="519"/>
      <c r="D128" s="519"/>
      <c r="E128" s="519"/>
      <c r="F128" s="519"/>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18" t="str">
        <f>+VLOOKUP(LEFT($A129,LEN(A129)-1)*1,Master!$D$27:$G$225,4,FALSE)</f>
        <v>Expenditures for Supplies</v>
      </c>
      <c r="C129" s="519"/>
      <c r="D129" s="519"/>
      <c r="E129" s="519"/>
      <c r="F129" s="519"/>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18" t="str">
        <f>+VLOOKUP(LEFT($A130,LEN(A130)-1)*1,Master!$D$27:$G$225,4,FALSE)</f>
        <v>Expenditures for Services</v>
      </c>
      <c r="C130" s="519"/>
      <c r="D130" s="519"/>
      <c r="E130" s="519"/>
      <c r="F130" s="519"/>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18" t="str">
        <f>+VLOOKUP(LEFT($A131,LEN(A131)-1)*1,Master!$D$27:$G$225,4,FALSE)</f>
        <v>Current Maintenance</v>
      </c>
      <c r="C131" s="519"/>
      <c r="D131" s="519"/>
      <c r="E131" s="519"/>
      <c r="F131" s="519"/>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18" t="str">
        <f>+VLOOKUP(LEFT($A132,LEN(A132)-1)*1,Master!$D$27:$G$225,4,FALSE)</f>
        <v>Interests</v>
      </c>
      <c r="C132" s="519"/>
      <c r="D132" s="519"/>
      <c r="E132" s="519"/>
      <c r="F132" s="519"/>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18" t="str">
        <f>+VLOOKUP(LEFT($A133,LEN(A133)-1)*1,Master!$D$27:$G$225,4,FALSE)</f>
        <v>Rent</v>
      </c>
      <c r="C133" s="519"/>
      <c r="D133" s="519"/>
      <c r="E133" s="519"/>
      <c r="F133" s="519"/>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18" t="str">
        <f>+VLOOKUP(LEFT($A134,LEN(A134)-1)*1,Master!$D$27:$G$225,4,FALSE)</f>
        <v>Subsidies</v>
      </c>
      <c r="C134" s="519"/>
      <c r="D134" s="519"/>
      <c r="E134" s="519"/>
      <c r="F134" s="519"/>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18" t="str">
        <f>+VLOOKUP(LEFT($A135,LEN(A135)-1)*1,Master!$D$27:$G$225,4,FALSE)</f>
        <v>Other expenditures</v>
      </c>
      <c r="C135" s="519"/>
      <c r="D135" s="519"/>
      <c r="E135" s="519"/>
      <c r="F135" s="519"/>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18" t="str">
        <f>+VLOOKUP(LEFT($A136,LEN(A136)-1)*1,Master!$D$27:$G$225,4,FALSE)</f>
        <v>Current Capital Expenditure</v>
      </c>
      <c r="C136" s="519"/>
      <c r="D136" s="519"/>
      <c r="E136" s="519"/>
      <c r="F136" s="519"/>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14" t="str">
        <f>+VLOOKUP(LEFT($A137,LEN(A137)-1)*1,Master!$D$27:$G$225,4,FALSE)</f>
        <v>Social Security Transfers</v>
      </c>
      <c r="C137" s="515"/>
      <c r="D137" s="515"/>
      <c r="E137" s="515"/>
      <c r="F137" s="51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18" t="str">
        <f>+VLOOKUP(LEFT($A138,LEN(A138)-1)*1,Master!$D$27:$G$225,4,FALSE)</f>
        <v>Social Security</v>
      </c>
      <c r="C138" s="519"/>
      <c r="D138" s="519"/>
      <c r="E138" s="519"/>
      <c r="F138" s="519"/>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18" t="str">
        <f>+VLOOKUP(LEFT($A139,LEN(A139)-1)*1,Master!$D$27:$G$225,4,FALSE)</f>
        <v>Funds for redundant labor</v>
      </c>
      <c r="C139" s="519"/>
      <c r="D139" s="519"/>
      <c r="E139" s="519"/>
      <c r="F139" s="519"/>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18" t="str">
        <f>+VLOOKUP(LEFT($A140,LEN(A140)-1)*1,Master!$D$27:$G$225,4,FALSE)</f>
        <v>Pension and Disability Insurance</v>
      </c>
      <c r="C140" s="519"/>
      <c r="D140" s="519"/>
      <c r="E140" s="519"/>
      <c r="F140" s="519"/>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18" t="str">
        <f>+VLOOKUP(LEFT($A141,LEN(A141)-1)*1,Master!$D$27:$G$225,4,FALSE)</f>
        <v>Other Health Care Transfers</v>
      </c>
      <c r="C141" s="519"/>
      <c r="D141" s="519"/>
      <c r="E141" s="519"/>
      <c r="F141" s="519"/>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18" t="str">
        <f>+VLOOKUP(LEFT($A142,LEN(A142)-1)*1,Master!$D$27:$G$225,4,FALSE)</f>
        <v>Other Health Care Insurance</v>
      </c>
      <c r="C142" s="519"/>
      <c r="D142" s="519"/>
      <c r="E142" s="519"/>
      <c r="F142" s="519"/>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20" t="str">
        <f>+VLOOKUP(LEFT($A143,LEN(A143)-1)*1,Master!$D$27:$G$225,4,FALSE)</f>
        <v xml:space="preserve">Transfers to Institutions, Individuals, NGO and Public Sector </v>
      </c>
      <c r="C143" s="521"/>
      <c r="D143" s="521"/>
      <c r="E143" s="521"/>
      <c r="F143" s="521"/>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20" t="str">
        <f>+VLOOKUP(LEFT($A144,LEN(A144)-1)*1,Master!$D$27:$G$225,4,FALSE)</f>
        <v>Capital Expenditure</v>
      </c>
      <c r="C144" s="521"/>
      <c r="D144" s="521"/>
      <c r="E144" s="521"/>
      <c r="F144" s="521"/>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02" t="str">
        <f>+VLOOKUP(LEFT($A145,LEN(A145)-1)*1,Master!$D$27:$G$225,4,FALSE)</f>
        <v>Credits and Borrowings</v>
      </c>
      <c r="C145" s="503"/>
      <c r="D145" s="503"/>
      <c r="E145" s="503"/>
      <c r="F145" s="503"/>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02" t="str">
        <f>+VLOOKUP(LEFT($A146,LEN(A146)-1)*1,Master!$D$27:$G$225,4,FALSE)</f>
        <v>Reserves</v>
      </c>
      <c r="C146" s="503"/>
      <c r="D146" s="503"/>
      <c r="E146" s="503"/>
      <c r="F146" s="503"/>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16" t="str">
        <f>+VLOOKUP(LEFT($A147,LEN(A147)-1)*1,Master!$D$27:$G$225,4,FALSE)</f>
        <v>Repayment of Guarantees</v>
      </c>
      <c r="C147" s="517"/>
      <c r="D147" s="517"/>
      <c r="E147" s="517"/>
      <c r="F147" s="51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10" t="str">
        <f>+VLOOKUP(LEFT($A148,LEN(A148)-1)*1,Master!$D$27:$G$225,4,FALSE)</f>
        <v>Surplus / deficit</v>
      </c>
      <c r="C148" s="511"/>
      <c r="D148" s="511"/>
      <c r="E148" s="511"/>
      <c r="F148" s="511"/>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12" t="str">
        <f>+VLOOKUP(LEFT($A149,LEN(A149)-1)*1,Master!$D$27:$G$225,4,FALSE)</f>
        <v>Primary balance</v>
      </c>
      <c r="C149" s="513"/>
      <c r="D149" s="513"/>
      <c r="E149" s="513"/>
      <c r="F149" s="513"/>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14" t="str">
        <f>+VLOOKUP(LEFT($A150,LEN(A150)-1)*1,Master!$D$27:$G$225,4,FALSE)</f>
        <v>Repayment of Debt</v>
      </c>
      <c r="C150" s="515"/>
      <c r="D150" s="515"/>
      <c r="E150" s="515"/>
      <c r="F150" s="51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04" t="str">
        <f>+VLOOKUP(LEFT($A151,LEN(A151)-1)*1,Master!$D$27:$G$225,4,FALSE)</f>
        <v>Repayment of Domestic Debt</v>
      </c>
      <c r="C151" s="505"/>
      <c r="D151" s="505"/>
      <c r="E151" s="505"/>
      <c r="F151" s="505"/>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02" t="str">
        <f>+VLOOKUP(LEFT($A152,LEN(A152)-1)*1,Master!$D$27:$G$225,4,FALSE)</f>
        <v>Repayment of Foreign Debt</v>
      </c>
      <c r="C152" s="503"/>
      <c r="D152" s="503"/>
      <c r="E152" s="503"/>
      <c r="F152" s="503"/>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16" t="str">
        <f>+VLOOKUP(LEFT($A153,LEN(A153)-1)*1,Master!$D$27:$G$225,4,FALSE)</f>
        <v>Repayments of Arrears</v>
      </c>
      <c r="C153" s="517"/>
      <c r="D153" s="517"/>
      <c r="E153" s="517"/>
      <c r="F153" s="51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06" t="str">
        <f>+VLOOKUP(LEFT($A154,LEN(A154)-1)*1,Master!$D$27:$G$225,4,FALSE)</f>
        <v>Financing needs</v>
      </c>
      <c r="C154" s="507"/>
      <c r="D154" s="507"/>
      <c r="E154" s="507"/>
      <c r="F154" s="507"/>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08" t="str">
        <f>+VLOOKUP(LEFT($A155,LEN(A155)-1)*1,Master!$D$27:$G$225,4,FALSE)</f>
        <v>Financing</v>
      </c>
      <c r="C155" s="509"/>
      <c r="D155" s="509"/>
      <c r="E155" s="509"/>
      <c r="F155" s="509"/>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04" t="str">
        <f>+VLOOKUP(LEFT($A156,LEN(A156)-1)*1,Master!$D$27:$G$225,4,FALSE)</f>
        <v>Domestic Loans and Borrowings</v>
      </c>
      <c r="C156" s="505"/>
      <c r="D156" s="505"/>
      <c r="E156" s="505"/>
      <c r="F156" s="505"/>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02" t="str">
        <f>+VLOOKUP(LEFT($A157,LEN(A157)-1)*1,Master!$D$27:$G$225,4,FALSE)</f>
        <v>Foreign Loans and Borrowings</v>
      </c>
      <c r="C157" s="503"/>
      <c r="D157" s="503"/>
      <c r="E157" s="503"/>
      <c r="F157" s="503"/>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02" t="str">
        <f>+VLOOKUP(LEFT($A158,LEN(A158)-1)*1,Master!$D$27:$G$225,4,FALSE)</f>
        <v>Revenues from Selling Assets</v>
      </c>
      <c r="C158" s="503"/>
      <c r="D158" s="503"/>
      <c r="E158" s="503"/>
      <c r="F158" s="503"/>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S102:T102"/>
    <mergeCell ref="B104:F104"/>
    <mergeCell ref="B105:F105"/>
    <mergeCell ref="B106:F106"/>
    <mergeCell ref="B107:F107"/>
    <mergeCell ref="B62:F62"/>
    <mergeCell ref="B63:F63"/>
    <mergeCell ref="B64:F64"/>
    <mergeCell ref="B101:F103"/>
    <mergeCell ref="G101:R101"/>
    <mergeCell ref="B113:F113"/>
    <mergeCell ref="B114:F114"/>
    <mergeCell ref="B115:F115"/>
    <mergeCell ref="B116:F116"/>
    <mergeCell ref="B117:F117"/>
    <mergeCell ref="B108:F108"/>
    <mergeCell ref="B109:F109"/>
    <mergeCell ref="B110:F110"/>
    <mergeCell ref="B111:F111"/>
    <mergeCell ref="B112:F112"/>
    <mergeCell ref="B123:F123"/>
    <mergeCell ref="B124:F124"/>
    <mergeCell ref="B125:F125"/>
    <mergeCell ref="B126:F126"/>
    <mergeCell ref="B127:F127"/>
    <mergeCell ref="B118:F118"/>
    <mergeCell ref="B119:F119"/>
    <mergeCell ref="B120:F120"/>
    <mergeCell ref="B121:F121"/>
    <mergeCell ref="B122:F122"/>
    <mergeCell ref="B133:F133"/>
    <mergeCell ref="B134:F134"/>
    <mergeCell ref="B135:F135"/>
    <mergeCell ref="B136:F136"/>
    <mergeCell ref="B137:F137"/>
    <mergeCell ref="B128:F128"/>
    <mergeCell ref="B129:F129"/>
    <mergeCell ref="B130:F130"/>
    <mergeCell ref="B131:F131"/>
    <mergeCell ref="B132:F132"/>
    <mergeCell ref="B143:F143"/>
    <mergeCell ref="B144:F144"/>
    <mergeCell ref="B145:F145"/>
    <mergeCell ref="B146:F146"/>
    <mergeCell ref="B147:F147"/>
    <mergeCell ref="B138:F138"/>
    <mergeCell ref="B139:F139"/>
    <mergeCell ref="B140:F140"/>
    <mergeCell ref="B141:F141"/>
    <mergeCell ref="B142:F142"/>
    <mergeCell ref="B158:F158"/>
    <mergeCell ref="B153:F153"/>
    <mergeCell ref="B154:F154"/>
    <mergeCell ref="B155:F155"/>
    <mergeCell ref="B156:F156"/>
    <mergeCell ref="B157:F157"/>
    <mergeCell ref="B148:F148"/>
    <mergeCell ref="B149:F149"/>
    <mergeCell ref="B150:F150"/>
    <mergeCell ref="B151:F151"/>
    <mergeCell ref="B152:F152"/>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517</v>
      </c>
      <c r="H6" s="69" t="s">
        <v>518</v>
      </c>
      <c r="I6" s="69" t="s">
        <v>519</v>
      </c>
      <c r="J6" s="69"/>
      <c r="K6" s="69" t="s">
        <v>520</v>
      </c>
      <c r="L6" s="69" t="s">
        <v>521</v>
      </c>
      <c r="M6" s="69" t="s">
        <v>522</v>
      </c>
      <c r="N6" s="69"/>
      <c r="O6" s="69" t="s">
        <v>523</v>
      </c>
      <c r="P6" s="69" t="s">
        <v>524</v>
      </c>
      <c r="Q6" s="69" t="s">
        <v>525</v>
      </c>
      <c r="R6" s="69"/>
      <c r="S6" s="69" t="s">
        <v>526</v>
      </c>
      <c r="T6" s="69" t="s">
        <v>527</v>
      </c>
      <c r="U6" s="69" t="s">
        <v>528</v>
      </c>
      <c r="V6" s="69"/>
    </row>
    <row r="7" spans="1:24" ht="15" customHeight="1" thickBot="1">
      <c r="B7" s="539" t="str">
        <f>+Master!G251</f>
        <v>Budget Execution</v>
      </c>
      <c r="C7" s="540"/>
      <c r="D7" s="540"/>
      <c r="E7" s="540"/>
      <c r="F7" s="540"/>
      <c r="G7" s="532">
        <v>2013</v>
      </c>
      <c r="H7" s="533"/>
      <c r="I7" s="533"/>
      <c r="J7" s="533"/>
      <c r="K7" s="533"/>
      <c r="L7" s="533"/>
      <c r="M7" s="533"/>
      <c r="N7" s="533"/>
      <c r="O7" s="533"/>
      <c r="P7" s="533"/>
      <c r="Q7" s="533"/>
      <c r="R7" s="533"/>
      <c r="S7" s="533"/>
      <c r="T7" s="533"/>
      <c r="U7" s="534"/>
      <c r="V7" s="360"/>
      <c r="W7" s="115" t="str">
        <f>+Master!G248</f>
        <v>GDP</v>
      </c>
      <c r="X7" s="116">
        <v>3327000000</v>
      </c>
    </row>
    <row r="8" spans="1:24" ht="16.5" customHeight="1">
      <c r="B8" s="541"/>
      <c r="C8" s="542"/>
      <c r="D8" s="542"/>
      <c r="E8" s="542"/>
      <c r="F8" s="543"/>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32" t="s">
        <v>705</v>
      </c>
      <c r="X8" s="534"/>
    </row>
    <row r="9" spans="1:24" ht="13.5" thickBot="1">
      <c r="B9" s="544"/>
      <c r="C9" s="545"/>
      <c r="D9" s="545"/>
      <c r="E9" s="545"/>
      <c r="F9" s="546"/>
      <c r="G9" s="68" t="s">
        <v>427</v>
      </c>
      <c r="H9" s="68" t="s">
        <v>427</v>
      </c>
      <c r="I9" s="68" t="s">
        <v>427</v>
      </c>
      <c r="J9" s="68"/>
      <c r="K9" s="68" t="s">
        <v>427</v>
      </c>
      <c r="L9" s="68" t="s">
        <v>427</v>
      </c>
      <c r="M9" s="68" t="s">
        <v>427</v>
      </c>
      <c r="N9" s="68"/>
      <c r="O9" s="68" t="s">
        <v>427</v>
      </c>
      <c r="P9" s="68" t="s">
        <v>427</v>
      </c>
      <c r="Q9" s="68" t="s">
        <v>427</v>
      </c>
      <c r="R9" s="68"/>
      <c r="S9" s="68" t="s">
        <v>427</v>
      </c>
      <c r="T9" s="68" t="s">
        <v>427</v>
      </c>
      <c r="U9" s="68" t="s">
        <v>427</v>
      </c>
      <c r="V9" s="68"/>
      <c r="W9" s="66" t="s">
        <v>427</v>
      </c>
      <c r="X9" s="67" t="str">
        <f>+Master!G249</f>
        <v>% GDP</v>
      </c>
    </row>
    <row r="10" spans="1:24" ht="13.5" thickBot="1">
      <c r="A10" s="72">
        <v>7</v>
      </c>
      <c r="B10" s="535" t="str">
        <f>+VLOOKUP($A10,Master!$D$27:$G$225,4,FALSE)</f>
        <v>Total Revenues</v>
      </c>
      <c r="C10" s="536"/>
      <c r="D10" s="536"/>
      <c r="E10" s="536"/>
      <c r="F10" s="536"/>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37" t="str">
        <f>+VLOOKUP($A11,Master!$D$27:$G$225,4,FALSE)</f>
        <v>Taxes</v>
      </c>
      <c r="C11" s="538"/>
      <c r="D11" s="538"/>
      <c r="E11" s="538"/>
      <c r="F11" s="538"/>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18" t="str">
        <f>+VLOOKUP($A12,Master!$D$27:$G$225,4,FALSE)</f>
        <v>Personal Income Tax</v>
      </c>
      <c r="C12" s="519"/>
      <c r="D12" s="519"/>
      <c r="E12" s="519"/>
      <c r="F12" s="519"/>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18" t="str">
        <f>+VLOOKUP($A13,Master!$D$27:$G$225,4,FALSE)</f>
        <v>Corporate Income Tax</v>
      </c>
      <c r="C13" s="519"/>
      <c r="D13" s="519"/>
      <c r="E13" s="519"/>
      <c r="F13" s="519"/>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18" t="str">
        <f>+VLOOKUP($A14,Master!$D$27:$G$225,4,FALSE)</f>
        <v xml:space="preserve">Taxes on Sales of Property </v>
      </c>
      <c r="C14" s="519"/>
      <c r="D14" s="519"/>
      <c r="E14" s="519"/>
      <c r="F14" s="519"/>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18" t="str">
        <f>+VLOOKUP($A15,Master!$D$27:$G$225,4,FALSE)</f>
        <v>Value Added Tax</v>
      </c>
      <c r="C15" s="519"/>
      <c r="D15" s="519"/>
      <c r="E15" s="519"/>
      <c r="F15" s="519"/>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18" t="str">
        <f>+VLOOKUP($A16,Master!$D$27:$G$225,4,FALSE)</f>
        <v>Excises</v>
      </c>
      <c r="C16" s="519"/>
      <c r="D16" s="519"/>
      <c r="E16" s="519"/>
      <c r="F16" s="519"/>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18" t="str">
        <f>+VLOOKUP($A17,Master!$D$27:$G$225,4,FALSE)</f>
        <v>Tax on International Trade and Transactions</v>
      </c>
      <c r="C17" s="519"/>
      <c r="D17" s="519"/>
      <c r="E17" s="519"/>
      <c r="F17" s="519"/>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18" t="e">
        <f>+VLOOKUP($A18,Master!$D$27:$G$225,4,FALSE)</f>
        <v>#N/A</v>
      </c>
      <c r="C18" s="519"/>
      <c r="D18" s="519"/>
      <c r="E18" s="519"/>
      <c r="F18" s="519"/>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18" t="str">
        <f>+VLOOKUP($A19,Master!$D$27:$G$225,4,FALSE)</f>
        <v>Other Republic Taxes</v>
      </c>
      <c r="C19" s="519"/>
      <c r="D19" s="519"/>
      <c r="E19" s="519"/>
      <c r="F19" s="519"/>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0" t="str">
        <f>+VLOOKUP($A20,Master!$D$27:$G$225,4,FALSE)</f>
        <v>Contributions</v>
      </c>
      <c r="C20" s="531"/>
      <c r="D20" s="531"/>
      <c r="E20" s="531"/>
      <c r="F20" s="531"/>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18" t="str">
        <f>+VLOOKUP($A21,Master!$D$27:$G$225,4,FALSE)</f>
        <v>Contributions for Pension and Disability Insurance</v>
      </c>
      <c r="C21" s="519"/>
      <c r="D21" s="519"/>
      <c r="E21" s="519"/>
      <c r="F21" s="519"/>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18" t="str">
        <f>+VLOOKUP($A22,Master!$D$27:$G$225,4,FALSE)</f>
        <v>Contributions for Health Insurance</v>
      </c>
      <c r="C22" s="519"/>
      <c r="D22" s="519"/>
      <c r="E22" s="519"/>
      <c r="F22" s="519"/>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18" t="str">
        <f>+VLOOKUP($A23,Master!$D$27:$G$225,4,FALSE)</f>
        <v>Contributions for  Unemployment Insurance</v>
      </c>
      <c r="C23" s="519"/>
      <c r="D23" s="519"/>
      <c r="E23" s="519"/>
      <c r="F23" s="519"/>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18" t="str">
        <f>+VLOOKUP($A24,Master!$D$27:$G$225,4,FALSE)</f>
        <v>Other contributions</v>
      </c>
      <c r="C24" s="519"/>
      <c r="D24" s="519"/>
      <c r="E24" s="519"/>
      <c r="F24" s="519"/>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22" t="str">
        <f>+VLOOKUP($A25,Master!$D$27:$G$225,4,FALSE)</f>
        <v>Duties</v>
      </c>
      <c r="C25" s="523"/>
      <c r="D25" s="523"/>
      <c r="E25" s="523"/>
      <c r="F25" s="523"/>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22" t="str">
        <f>+VLOOKUP($A26,Master!$D$27:$G$225,4,FALSE)</f>
        <v>Fees</v>
      </c>
      <c r="C26" s="523"/>
      <c r="D26" s="523"/>
      <c r="E26" s="523"/>
      <c r="F26" s="523"/>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22" t="str">
        <f>+VLOOKUP($A27,Master!$D$27:$G$225,4,FALSE)</f>
        <v>Other revenues</v>
      </c>
      <c r="C27" s="523"/>
      <c r="D27" s="523"/>
      <c r="E27" s="523"/>
      <c r="F27" s="523"/>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22" t="str">
        <f>+VLOOKUP($A28,Master!$D$27:$G$225,4,FALSE)</f>
        <v>Receipts from Repayment of Loans and Funds Carried over from Previous Year</v>
      </c>
      <c r="C28" s="523"/>
      <c r="D28" s="523"/>
      <c r="E28" s="523"/>
      <c r="F28" s="523"/>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24" t="str">
        <f>+VLOOKUP($A29,Master!$D$27:$G$225,4,FALSE)</f>
        <v>Grants and Transfers</v>
      </c>
      <c r="C29" s="525"/>
      <c r="D29" s="525"/>
      <c r="E29" s="525"/>
      <c r="F29" s="52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08" t="str">
        <f>+VLOOKUP($A30,Master!$D$27:$G$225,4,FALSE)</f>
        <v>Total Expenditures</v>
      </c>
      <c r="C30" s="509"/>
      <c r="D30" s="509"/>
      <c r="E30" s="509"/>
      <c r="F30" s="509"/>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26" t="str">
        <f>+VLOOKUP($A31,Master!$D$27:$G$225,4,FALSE)</f>
        <v>Current Budgetary Consumption</v>
      </c>
      <c r="C31" s="527"/>
      <c r="D31" s="527"/>
      <c r="E31" s="527"/>
      <c r="F31" s="527"/>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28" t="str">
        <f>+VLOOKUP($A32,Master!$D$27:$G$225,4,FALSE)</f>
        <v>Current Expenditures</v>
      </c>
      <c r="C32" s="529"/>
      <c r="D32" s="529"/>
      <c r="E32" s="529"/>
      <c r="F32" s="529"/>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18" t="str">
        <f>+VLOOKUP($A33,Master!$D$27:$G$225,4,FALSE)</f>
        <v>Gross Salaries and Contributions</v>
      </c>
      <c r="C33" s="519"/>
      <c r="D33" s="519"/>
      <c r="E33" s="519"/>
      <c r="F33" s="519"/>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18" t="str">
        <f>+VLOOKUP($A34,Master!$D$27:$G$225,4,FALSE)</f>
        <v>Other Personal Income</v>
      </c>
      <c r="C34" s="519"/>
      <c r="D34" s="519"/>
      <c r="E34" s="519"/>
      <c r="F34" s="519"/>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18" t="str">
        <f>+VLOOKUP($A35,Master!$D$27:$G$225,4,FALSE)</f>
        <v>Expenditures for Supplies</v>
      </c>
      <c r="C35" s="519"/>
      <c r="D35" s="519"/>
      <c r="E35" s="519"/>
      <c r="F35" s="519"/>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18" t="str">
        <f>+VLOOKUP($A36,Master!$D$27:$G$225,4,FALSE)</f>
        <v>Expenditures for Services</v>
      </c>
      <c r="C36" s="519"/>
      <c r="D36" s="519"/>
      <c r="E36" s="519"/>
      <c r="F36" s="519"/>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18" t="str">
        <f>+VLOOKUP($A37,Master!$D$27:$G$225,4,FALSE)</f>
        <v>Current Maintenance</v>
      </c>
      <c r="C37" s="519"/>
      <c r="D37" s="519"/>
      <c r="E37" s="519"/>
      <c r="F37" s="519"/>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18" t="str">
        <f>+VLOOKUP($A38,Master!$D$27:$G$225,4,FALSE)</f>
        <v>Interests</v>
      </c>
      <c r="C38" s="519"/>
      <c r="D38" s="519"/>
      <c r="E38" s="519"/>
      <c r="F38" s="519"/>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18" t="str">
        <f>+VLOOKUP($A39,Master!$D$27:$G$225,4,FALSE)</f>
        <v>Rent</v>
      </c>
      <c r="C39" s="519"/>
      <c r="D39" s="519"/>
      <c r="E39" s="519"/>
      <c r="F39" s="519"/>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18" t="str">
        <f>+VLOOKUP($A40,Master!$D$27:$G$225,4,FALSE)</f>
        <v>Subsidies</v>
      </c>
      <c r="C40" s="519"/>
      <c r="D40" s="519"/>
      <c r="E40" s="519"/>
      <c r="F40" s="519"/>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18" t="str">
        <f>+VLOOKUP($A41,Master!$D$27:$G$225,4,FALSE)</f>
        <v>Other expenditures</v>
      </c>
      <c r="C41" s="519"/>
      <c r="D41" s="519"/>
      <c r="E41" s="519"/>
      <c r="F41" s="519"/>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18" t="str">
        <f>+VLOOKUP($A42,Master!$D$27:$G$225,4,FALSE)</f>
        <v>Current Capital Expenditure</v>
      </c>
      <c r="C42" s="519"/>
      <c r="D42" s="519"/>
      <c r="E42" s="519"/>
      <c r="F42" s="519"/>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14" t="str">
        <f>+VLOOKUP($A43,Master!$D$27:$G$225,4,FALSE)</f>
        <v>Social Security Transfers</v>
      </c>
      <c r="C43" s="515"/>
      <c r="D43" s="515"/>
      <c r="E43" s="515"/>
      <c r="F43" s="51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18" t="str">
        <f>+VLOOKUP($A44,Master!$D$27:$G$225,4,FALSE)</f>
        <v>Social Security</v>
      </c>
      <c r="C44" s="519"/>
      <c r="D44" s="519"/>
      <c r="E44" s="519"/>
      <c r="F44" s="519"/>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18" t="str">
        <f>+VLOOKUP($A45,Master!$D$27:$G$225,4,FALSE)</f>
        <v>Funds for redundant labor</v>
      </c>
      <c r="C45" s="519"/>
      <c r="D45" s="519"/>
      <c r="E45" s="519"/>
      <c r="F45" s="519"/>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18" t="str">
        <f>+VLOOKUP($A46,Master!$D$27:$G$225,4,FALSE)</f>
        <v>Pension and Disability Insurance</v>
      </c>
      <c r="C46" s="519"/>
      <c r="D46" s="519"/>
      <c r="E46" s="519"/>
      <c r="F46" s="519"/>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18" t="str">
        <f>+VLOOKUP($A47,Master!$D$27:$G$225,4,FALSE)</f>
        <v>Other Health Care Transfers</v>
      </c>
      <c r="C47" s="519"/>
      <c r="D47" s="519"/>
      <c r="E47" s="519"/>
      <c r="F47" s="519"/>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18" t="str">
        <f>+VLOOKUP($A48,Master!$D$27:$G$225,4,FALSE)</f>
        <v>Other Health Care Insurance</v>
      </c>
      <c r="C48" s="519"/>
      <c r="D48" s="519"/>
      <c r="E48" s="519"/>
      <c r="F48" s="519"/>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20" t="str">
        <f>+VLOOKUP($A49,Master!$D$27:$G$225,4,FALSE)</f>
        <v xml:space="preserve">Transfers to Institutions, Individuals, NGO and Public Sector </v>
      </c>
      <c r="C49" s="521"/>
      <c r="D49" s="521"/>
      <c r="E49" s="521"/>
      <c r="F49" s="521"/>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20" t="str">
        <f>+VLOOKUP($A50,Master!$D$27:$G$225,4,FALSE)</f>
        <v>Capital Expenditure</v>
      </c>
      <c r="C50" s="521"/>
      <c r="D50" s="521"/>
      <c r="E50" s="521"/>
      <c r="F50" s="521"/>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02" t="str">
        <f>+VLOOKUP($A51,Master!$D$27:$G$225,4,FALSE)</f>
        <v>Credits and Borrowings</v>
      </c>
      <c r="C51" s="503"/>
      <c r="D51" s="503"/>
      <c r="E51" s="503"/>
      <c r="F51" s="503"/>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02" t="str">
        <f>+VLOOKUP($A52,Master!$D$27:$G$225,4,FALSE)</f>
        <v>Reserves</v>
      </c>
      <c r="C52" s="503"/>
      <c r="D52" s="503"/>
      <c r="E52" s="503"/>
      <c r="F52" s="503"/>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16" t="str">
        <f>+VLOOKUP($A53,Master!$D$27:$G$225,4,FALSE)</f>
        <v>Repayment of Guarantees</v>
      </c>
      <c r="C53" s="517"/>
      <c r="D53" s="517"/>
      <c r="E53" s="517"/>
      <c r="F53" s="51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16" t="str">
        <f>+VLOOKUP($A54,Master!$D$27:$G$225,4,FALSE)</f>
        <v>Repayments of Arrears</v>
      </c>
      <c r="C54" s="517"/>
      <c r="D54" s="517"/>
      <c r="E54" s="517"/>
      <c r="F54" s="51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16" t="str">
        <f>+VLOOKUP($A55,Master!$D$27:$G$227,4,FALSE)</f>
        <v>Net increase of liabilities</v>
      </c>
      <c r="C55" s="517"/>
      <c r="D55" s="517"/>
      <c r="E55" s="517"/>
      <c r="F55" s="51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10" t="str">
        <f>+VLOOKUP($A56,Master!$D$27:$G$225,4,FALSE)</f>
        <v>Surplus / deficit</v>
      </c>
      <c r="C56" s="511"/>
      <c r="D56" s="511"/>
      <c r="E56" s="511"/>
      <c r="F56" s="511"/>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12" t="str">
        <f>+VLOOKUP($A57,Master!$D$27:$G$225,4,FALSE)</f>
        <v>Primary balance</v>
      </c>
      <c r="C57" s="513"/>
      <c r="D57" s="513"/>
      <c r="E57" s="513"/>
      <c r="F57" s="513"/>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14" t="str">
        <f>+VLOOKUP($A58,Master!$D$27:$G$225,4,FALSE)</f>
        <v>Repayment of Debt</v>
      </c>
      <c r="C58" s="515"/>
      <c r="D58" s="515"/>
      <c r="E58" s="515"/>
      <c r="F58" s="51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04" t="str">
        <f>+VLOOKUP($A59,Master!$D$27:$G$225,4,FALSE)</f>
        <v>Repayment of Domestic Debt</v>
      </c>
      <c r="C59" s="505"/>
      <c r="D59" s="505"/>
      <c r="E59" s="505"/>
      <c r="F59" s="505"/>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02" t="str">
        <f>+VLOOKUP($A60,Master!$D$27:$G$225,4,FALSE)</f>
        <v>Repayment of Foreign Debt</v>
      </c>
      <c r="C60" s="503"/>
      <c r="D60" s="503"/>
      <c r="E60" s="503"/>
      <c r="F60" s="503"/>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06" t="str">
        <f>+VLOOKUP($A61,Master!$D$27:$G$225,4,FALSE)</f>
        <v>Financing needs</v>
      </c>
      <c r="C61" s="507"/>
      <c r="D61" s="507"/>
      <c r="E61" s="507"/>
      <c r="F61" s="507"/>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08" t="str">
        <f>+VLOOKUP($A62,Master!$D$27:$G$225,4,FALSE)</f>
        <v>Financing</v>
      </c>
      <c r="C62" s="509"/>
      <c r="D62" s="509"/>
      <c r="E62" s="509"/>
      <c r="F62" s="509"/>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04" t="str">
        <f>+VLOOKUP($A63,Master!$D$27:$G$225,4,FALSE)</f>
        <v>Domestic Loans and Borrowings</v>
      </c>
      <c r="C63" s="505"/>
      <c r="D63" s="505"/>
      <c r="E63" s="505"/>
      <c r="F63" s="505"/>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02" t="str">
        <f>+VLOOKUP($A64,Master!$D$27:$G$225,4,FALSE)</f>
        <v>Foreign Loans and Borrowings</v>
      </c>
      <c r="C64" s="503"/>
      <c r="D64" s="503"/>
      <c r="E64" s="503"/>
      <c r="F64" s="503"/>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02" t="str">
        <f>+VLOOKUP($A65,Master!$D$27:$G$225,4,FALSE)</f>
        <v>Revenues from Selling Assets</v>
      </c>
      <c r="C65" s="503"/>
      <c r="D65" s="503"/>
      <c r="E65" s="503"/>
      <c r="F65" s="503"/>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57" t="str">
        <f>+Master!G252</f>
        <v>Planned Budget Execution</v>
      </c>
      <c r="C102" s="455"/>
      <c r="D102" s="455"/>
      <c r="E102" s="455"/>
      <c r="F102" s="455"/>
      <c r="G102" s="463">
        <v>2013</v>
      </c>
      <c r="H102" s="464"/>
      <c r="I102" s="464"/>
      <c r="J102" s="464"/>
      <c r="K102" s="464"/>
      <c r="L102" s="464"/>
      <c r="M102" s="464"/>
      <c r="N102" s="464"/>
      <c r="O102" s="464"/>
      <c r="P102" s="464"/>
      <c r="Q102" s="464"/>
      <c r="R102" s="464"/>
      <c r="S102" s="464"/>
      <c r="T102" s="464"/>
      <c r="U102" s="467"/>
      <c r="V102" s="363"/>
      <c r="W102" s="260" t="str">
        <f>+W7</f>
        <v>GDP</v>
      </c>
      <c r="X102" s="261">
        <v>3393200615</v>
      </c>
    </row>
    <row r="103" spans="1:24" ht="15.75" customHeight="1">
      <c r="A103" s="169"/>
      <c r="B103" s="456"/>
      <c r="C103" s="457"/>
      <c r="D103" s="457"/>
      <c r="E103" s="457"/>
      <c r="F103" s="458"/>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63" t="str">
        <f>+Master!G246</f>
        <v>Jan - Dec</v>
      </c>
      <c r="X103" s="467">
        <f>+X8</f>
        <v>0</v>
      </c>
    </row>
    <row r="104" spans="1:24" ht="13.5" thickBot="1">
      <c r="A104" s="169"/>
      <c r="B104" s="459"/>
      <c r="C104" s="460"/>
      <c r="D104" s="460"/>
      <c r="E104" s="460"/>
      <c r="F104" s="461"/>
      <c r="G104" s="162" t="s">
        <v>427</v>
      </c>
      <c r="H104" s="162" t="s">
        <v>427</v>
      </c>
      <c r="I104" s="162" t="s">
        <v>427</v>
      </c>
      <c r="J104" s="162"/>
      <c r="K104" s="162" t="s">
        <v>427</v>
      </c>
      <c r="L104" s="162" t="s">
        <v>427</v>
      </c>
      <c r="M104" s="162" t="s">
        <v>427</v>
      </c>
      <c r="N104" s="162"/>
      <c r="O104" s="162" t="s">
        <v>427</v>
      </c>
      <c r="P104" s="162" t="s">
        <v>427</v>
      </c>
      <c r="Q104" s="162" t="s">
        <v>427</v>
      </c>
      <c r="R104" s="162"/>
      <c r="S104" s="162" t="s">
        <v>427</v>
      </c>
      <c r="T104" s="162" t="s">
        <v>427</v>
      </c>
      <c r="U104" s="162" t="s">
        <v>427</v>
      </c>
      <c r="V104" s="162"/>
      <c r="W104" s="262" t="s">
        <v>427</v>
      </c>
      <c r="X104" s="263" t="str">
        <f>+X9</f>
        <v>% GDP</v>
      </c>
    </row>
    <row r="105" spans="1:24" ht="13.5" thickBot="1">
      <c r="A105" s="297" t="str">
        <f t="shared" ref="A105:A148" si="21">+CONCATENATE(A10,"p")</f>
        <v>7p</v>
      </c>
      <c r="B105" s="496" t="str">
        <f>+VLOOKUP(LEFT($A105,LEN(A105)-1)*1,Master!$D$27:$G$225,4,FALSE)</f>
        <v>Total Revenues</v>
      </c>
      <c r="C105" s="497"/>
      <c r="D105" s="497"/>
      <c r="E105" s="497"/>
      <c r="F105" s="497"/>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98" t="str">
        <f>+VLOOKUP(LEFT($A106,LEN(A106)-1)*1,Master!$D$27:$G$225,4,FALSE)</f>
        <v>Taxes</v>
      </c>
      <c r="C106" s="499"/>
      <c r="D106" s="499"/>
      <c r="E106" s="499"/>
      <c r="F106" s="499"/>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84" t="str">
        <f>+VLOOKUP(LEFT($A107,LEN(A107)-1)*1,Master!$D$27:$G$225,4,FALSE)</f>
        <v>Personal Income Tax</v>
      </c>
      <c r="C107" s="485"/>
      <c r="D107" s="485"/>
      <c r="E107" s="485"/>
      <c r="F107" s="48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84" t="str">
        <f>+VLOOKUP(LEFT($A108,LEN(A108)-1)*1,Master!$D$27:$G$225,4,FALSE)</f>
        <v>Corporate Income Tax</v>
      </c>
      <c r="C108" s="485"/>
      <c r="D108" s="485"/>
      <c r="E108" s="485"/>
      <c r="F108" s="48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84" t="str">
        <f>+VLOOKUP(LEFT($A109,LEN(A109)-1)*1,Master!$D$27:$G$225,4,FALSE)</f>
        <v xml:space="preserve">Taxes on Sales of Property </v>
      </c>
      <c r="C109" s="485"/>
      <c r="D109" s="485"/>
      <c r="E109" s="485"/>
      <c r="F109" s="48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84" t="str">
        <f>+VLOOKUP(LEFT($A110,LEN(A110)-1)*1,Master!$D$27:$G$225,4,FALSE)</f>
        <v>Value Added Tax</v>
      </c>
      <c r="C110" s="485"/>
      <c r="D110" s="485"/>
      <c r="E110" s="485"/>
      <c r="F110" s="48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84" t="str">
        <f>+VLOOKUP(LEFT($A111,LEN(A111)-1)*1,Master!$D$27:$G$225,4,FALSE)</f>
        <v>Excises</v>
      </c>
      <c r="C111" s="485"/>
      <c r="D111" s="485"/>
      <c r="E111" s="485"/>
      <c r="F111" s="48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84" t="str">
        <f>+VLOOKUP(LEFT($A112,LEN(A112)-1)*1,Master!$D$27:$G$225,4,FALSE)</f>
        <v>Tax on International Trade and Transactions</v>
      </c>
      <c r="C112" s="485"/>
      <c r="D112" s="485"/>
      <c r="E112" s="485"/>
      <c r="F112" s="48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84" t="e">
        <f>+VLOOKUP(LEFT($A113,LEN(A113)-1)*1,Master!$D$27:$G$225,4,FALSE)</f>
        <v>#N/A</v>
      </c>
      <c r="C113" s="485"/>
      <c r="D113" s="485"/>
      <c r="E113" s="485"/>
      <c r="F113" s="48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84" t="str">
        <f>+VLOOKUP(LEFT($A114,LEN(A114)-1)*1,Master!$D$27:$G$225,4,FALSE)</f>
        <v>Other Republic Taxes</v>
      </c>
      <c r="C114" s="485"/>
      <c r="D114" s="485"/>
      <c r="E114" s="485"/>
      <c r="F114" s="48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94" t="str">
        <f>+VLOOKUP(LEFT($A115,LEN(A115)-1)*1,Master!$D$27:$G$225,4,FALSE)</f>
        <v>Contributions</v>
      </c>
      <c r="C115" s="495"/>
      <c r="D115" s="495"/>
      <c r="E115" s="495"/>
      <c r="F115" s="495"/>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84" t="str">
        <f>+VLOOKUP(LEFT($A116,LEN(A116)-1)*1,Master!$D$27:$G$225,4,FALSE)</f>
        <v>Contributions for Pension and Disability Insurance</v>
      </c>
      <c r="C116" s="485"/>
      <c r="D116" s="485"/>
      <c r="E116" s="485"/>
      <c r="F116" s="48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84" t="str">
        <f>+VLOOKUP(LEFT($A117,LEN(A117)-1)*1,Master!$D$27:$G$225,4,FALSE)</f>
        <v>Contributions for Health Insurance</v>
      </c>
      <c r="C117" s="485"/>
      <c r="D117" s="485"/>
      <c r="E117" s="485"/>
      <c r="F117" s="48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84" t="str">
        <f>+VLOOKUP(LEFT($A118,LEN(A118)-1)*1,Master!$D$27:$G$225,4,FALSE)</f>
        <v>Contributions for  Unemployment Insurance</v>
      </c>
      <c r="C118" s="485"/>
      <c r="D118" s="485"/>
      <c r="E118" s="485"/>
      <c r="F118" s="48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84" t="str">
        <f>+VLOOKUP(LEFT($A119,LEN(A119)-1)*1,Master!$D$27:$G$225,4,FALSE)</f>
        <v>Other contributions</v>
      </c>
      <c r="C119" s="485"/>
      <c r="D119" s="485"/>
      <c r="E119" s="485"/>
      <c r="F119" s="48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86" t="str">
        <f>+VLOOKUP(LEFT($A120,LEN(A120)-1)*1,Master!$D$27:$G$225,4,FALSE)</f>
        <v>Duties</v>
      </c>
      <c r="C120" s="487"/>
      <c r="D120" s="487"/>
      <c r="E120" s="487"/>
      <c r="F120" s="48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86" t="str">
        <f>+VLOOKUP(LEFT($A121,LEN(A121)-1)*1,Master!$D$27:$G$225,4,FALSE)</f>
        <v>Fees</v>
      </c>
      <c r="C121" s="487"/>
      <c r="D121" s="487"/>
      <c r="E121" s="487"/>
      <c r="F121" s="48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86" t="str">
        <f>+VLOOKUP(LEFT($A122,LEN(A122)-1)*1,Master!$D$27:$G$225,4,FALSE)</f>
        <v>Other revenues</v>
      </c>
      <c r="C122" s="487"/>
      <c r="D122" s="487"/>
      <c r="E122" s="487"/>
      <c r="F122" s="48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86" t="str">
        <f>+VLOOKUP(LEFT($A123,LEN(A123)-1)*1,Master!$D$27:$G$225,4,FALSE)</f>
        <v>Receipts from Repayment of Loans and Funds Carried over from Previous Year</v>
      </c>
      <c r="C123" s="487"/>
      <c r="D123" s="487"/>
      <c r="E123" s="487"/>
      <c r="F123" s="48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88" t="str">
        <f>+VLOOKUP(LEFT($A124,LEN(A124)-1)*1,Master!$D$27:$G$225,4,FALSE)</f>
        <v>Grants and Transfers</v>
      </c>
      <c r="C124" s="489"/>
      <c r="D124" s="489"/>
      <c r="E124" s="489"/>
      <c r="F124" s="489"/>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74" t="str">
        <f>+VLOOKUP(LEFT($A125,LEN(A125)-1)*1,Master!$D$27:$G$225,4,FALSE)</f>
        <v>Total Expenditures</v>
      </c>
      <c r="C125" s="475"/>
      <c r="D125" s="475"/>
      <c r="E125" s="475"/>
      <c r="F125" s="475"/>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90" t="str">
        <f>+VLOOKUP(LEFT($A126,LEN(A126)-1)*1,Master!$D$27:$G$225,4,FALSE)</f>
        <v>Current Budgetary Consumption</v>
      </c>
      <c r="C126" s="491"/>
      <c r="D126" s="491"/>
      <c r="E126" s="491"/>
      <c r="F126" s="491"/>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92" t="str">
        <f>+VLOOKUP(LEFT($A127,LEN(A127)-1)*1,Master!$D$27:$G$225,4,FALSE)</f>
        <v>Current Expenditures</v>
      </c>
      <c r="C127" s="493"/>
      <c r="D127" s="493"/>
      <c r="E127" s="493"/>
      <c r="F127" s="493"/>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84" t="str">
        <f>+VLOOKUP(LEFT($A128,LEN(A128)-1)*1,Master!$D$27:$G$225,4,FALSE)</f>
        <v>Gross Salaries and Contributions</v>
      </c>
      <c r="C128" s="485"/>
      <c r="D128" s="485"/>
      <c r="E128" s="485"/>
      <c r="F128" s="48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84" t="str">
        <f>+VLOOKUP(LEFT($A129,LEN(A129)-1)*1,Master!$D$27:$G$225,4,FALSE)</f>
        <v>Other Personal Income</v>
      </c>
      <c r="C129" s="485"/>
      <c r="D129" s="485"/>
      <c r="E129" s="485"/>
      <c r="F129" s="48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84" t="str">
        <f>+VLOOKUP(LEFT($A130,LEN(A130)-1)*1,Master!$D$27:$G$225,4,FALSE)</f>
        <v>Expenditures for Supplies</v>
      </c>
      <c r="C130" s="485"/>
      <c r="D130" s="485"/>
      <c r="E130" s="485"/>
      <c r="F130" s="48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84" t="str">
        <f>+VLOOKUP(LEFT($A131,LEN(A131)-1)*1,Master!$D$27:$G$225,4,FALSE)</f>
        <v>Expenditures for Services</v>
      </c>
      <c r="C131" s="485"/>
      <c r="D131" s="485"/>
      <c r="E131" s="485"/>
      <c r="F131" s="48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84" t="str">
        <f>+VLOOKUP(LEFT($A132,LEN(A132)-1)*1,Master!$D$27:$G$225,4,FALSE)</f>
        <v>Current Maintenance</v>
      </c>
      <c r="C132" s="485"/>
      <c r="D132" s="485"/>
      <c r="E132" s="485"/>
      <c r="F132" s="48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84" t="str">
        <f>+VLOOKUP(LEFT($A133,LEN(A133)-1)*1,Master!$D$27:$G$225,4,FALSE)</f>
        <v>Interests</v>
      </c>
      <c r="C133" s="485"/>
      <c r="D133" s="485"/>
      <c r="E133" s="485"/>
      <c r="F133" s="48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84" t="str">
        <f>+VLOOKUP(LEFT($A134,LEN(A134)-1)*1,Master!$D$27:$G$225,4,FALSE)</f>
        <v>Rent</v>
      </c>
      <c r="C134" s="485"/>
      <c r="D134" s="485"/>
      <c r="E134" s="485"/>
      <c r="F134" s="48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84" t="str">
        <f>+VLOOKUP(LEFT($A135,LEN(A135)-1)*1,Master!$D$27:$G$225,4,FALSE)</f>
        <v>Subsidies</v>
      </c>
      <c r="C135" s="485"/>
      <c r="D135" s="485"/>
      <c r="E135" s="485"/>
      <c r="F135" s="48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84" t="str">
        <f>+VLOOKUP(LEFT($A136,LEN(A136)-1)*1,Master!$D$27:$G$225,4,FALSE)</f>
        <v>Other expenditures</v>
      </c>
      <c r="C136" s="485"/>
      <c r="D136" s="485"/>
      <c r="E136" s="485"/>
      <c r="F136" s="48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84" t="str">
        <f>+VLOOKUP(LEFT($A137,LEN(A137)-1)*1,Master!$D$27:$G$225,4,FALSE)</f>
        <v>Current Capital Expenditure</v>
      </c>
      <c r="C137" s="485"/>
      <c r="D137" s="485"/>
      <c r="E137" s="485"/>
      <c r="F137" s="48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80" t="str">
        <f>+VLOOKUP(LEFT($A138,LEN(A138)-1)*1,Master!$D$27:$G$225,4,FALSE)</f>
        <v>Social Security Transfers</v>
      </c>
      <c r="C138" s="481"/>
      <c r="D138" s="481"/>
      <c r="E138" s="481"/>
      <c r="F138" s="48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84" t="str">
        <f>+VLOOKUP(LEFT($A139,LEN(A139)-1)*1,Master!$D$27:$G$225,4,FALSE)</f>
        <v>Social Security</v>
      </c>
      <c r="C139" s="485"/>
      <c r="D139" s="485"/>
      <c r="E139" s="485"/>
      <c r="F139" s="48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84" t="str">
        <f>+VLOOKUP(LEFT($A140,LEN(A140)-1)*1,Master!$D$27:$G$225,4,FALSE)</f>
        <v>Funds for redundant labor</v>
      </c>
      <c r="C140" s="485"/>
      <c r="D140" s="485"/>
      <c r="E140" s="485"/>
      <c r="F140" s="48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84" t="str">
        <f>+VLOOKUP(LEFT($A141,LEN(A141)-1)*1,Master!$D$27:$G$225,4,FALSE)</f>
        <v>Pension and Disability Insurance</v>
      </c>
      <c r="C141" s="485"/>
      <c r="D141" s="485"/>
      <c r="E141" s="485"/>
      <c r="F141" s="48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84" t="str">
        <f>+VLOOKUP(LEFT($A142,LEN(A142)-1)*1,Master!$D$27:$G$225,4,FALSE)</f>
        <v>Other Health Care Transfers</v>
      </c>
      <c r="C142" s="485"/>
      <c r="D142" s="485"/>
      <c r="E142" s="485"/>
      <c r="F142" s="48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84" t="str">
        <f>+VLOOKUP(LEFT($A143,LEN(A143)-1)*1,Master!$D$27:$G$225,4,FALSE)</f>
        <v>Other Health Care Insurance</v>
      </c>
      <c r="C143" s="485"/>
      <c r="D143" s="485"/>
      <c r="E143" s="485"/>
      <c r="F143" s="48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82" t="str">
        <f>+VLOOKUP(LEFT($A144,LEN(A144)-1)*1,Master!$D$27:$G$225,4,FALSE)</f>
        <v xml:space="preserve">Transfers to Institutions, Individuals, NGO and Public Sector </v>
      </c>
      <c r="C144" s="483"/>
      <c r="D144" s="483"/>
      <c r="E144" s="483"/>
      <c r="F144" s="483"/>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82" t="str">
        <f>+VLOOKUP(LEFT($A145,LEN(A145)-1)*1,Master!$D$27:$G$225,4,FALSE)</f>
        <v>Capital Expenditure</v>
      </c>
      <c r="C145" s="483"/>
      <c r="D145" s="483"/>
      <c r="E145" s="483"/>
      <c r="F145" s="483"/>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52" t="str">
        <f>+VLOOKUP(LEFT($A146,LEN(A146)-1)*1,Master!$D$27:$G$225,4,FALSE)</f>
        <v>Credits and Borrowings</v>
      </c>
      <c r="C146" s="453"/>
      <c r="D146" s="453"/>
      <c r="E146" s="453"/>
      <c r="F146" s="45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52" t="str">
        <f>+VLOOKUP(LEFT($A147,LEN(A147)-1)*1,Master!$D$27:$G$225,4,FALSE)</f>
        <v>Reserves</v>
      </c>
      <c r="C147" s="453"/>
      <c r="D147" s="453"/>
      <c r="E147" s="453"/>
      <c r="F147" s="45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0" t="str">
        <f>+VLOOKUP(LEFT($A148,LEN(A148)-1)*1,Master!$D$27:$G$225,4,FALSE)</f>
        <v>Repayment of Guarantees</v>
      </c>
      <c r="C148" s="471"/>
      <c r="D148" s="471"/>
      <c r="E148" s="471"/>
      <c r="F148" s="471"/>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80" t="str">
        <f>+VLOOKUP(LEFT($A151,LEN(A151)-1)*1,Master!$D$27:$G$225,4,FALSE)</f>
        <v>Repayment of Debt</v>
      </c>
      <c r="C151" s="481"/>
      <c r="D151" s="481"/>
      <c r="E151" s="481"/>
      <c r="F151" s="48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68" t="str">
        <f>+VLOOKUP(LEFT($A152,LEN(A152)-1)*1,Master!$D$27:$G$225,4,FALSE)</f>
        <v>Repayment of Domestic Debt</v>
      </c>
      <c r="C152" s="469"/>
      <c r="D152" s="469"/>
      <c r="E152" s="469"/>
      <c r="F152" s="469"/>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52" t="str">
        <f>+VLOOKUP(LEFT($A153,LEN(A153)-1)*1,Master!$D$27:$G$225,4,FALSE)</f>
        <v>Repayment of Foreign Debt</v>
      </c>
      <c r="C153" s="453"/>
      <c r="D153" s="453"/>
      <c r="E153" s="453"/>
      <c r="F153" s="45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0" t="str">
        <f>+VLOOKUP(LEFT($A154,LEN(A154)-1)*1,Master!$D$27:$G$225,4,FALSE)</f>
        <v>Repayments of Arrears</v>
      </c>
      <c r="C154" s="471"/>
      <c r="D154" s="471"/>
      <c r="E154" s="471"/>
      <c r="F154" s="471"/>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72" t="str">
        <f>+VLOOKUP(LEFT($A155,LEN(A155)-1)*1,Master!$D$27:$G$225,4,FALSE)</f>
        <v>Financing needs</v>
      </c>
      <c r="C155" s="473"/>
      <c r="D155" s="473"/>
      <c r="E155" s="473"/>
      <c r="F155" s="473"/>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74" t="str">
        <f>+VLOOKUP(LEFT($A156,LEN(A156)-1)*1,Master!$D$27:$G$225,4,FALSE)</f>
        <v>Financing</v>
      </c>
      <c r="C156" s="475"/>
      <c r="D156" s="475"/>
      <c r="E156" s="475"/>
      <c r="F156" s="475"/>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68" t="str">
        <f>+VLOOKUP(LEFT($A157,LEN(A157)-1)*1,Master!$D$27:$G$225,4,FALSE)</f>
        <v>Domestic Loans and Borrowings</v>
      </c>
      <c r="C157" s="469"/>
      <c r="D157" s="469"/>
      <c r="E157" s="469"/>
      <c r="F157" s="469"/>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52" t="str">
        <f>+VLOOKUP(LEFT($A158,LEN(A158)-1)*1,Master!$D$27:$G$225,4,FALSE)</f>
        <v>Foreign Loans and Borrowings</v>
      </c>
      <c r="C158" s="453"/>
      <c r="D158" s="453"/>
      <c r="E158" s="453"/>
      <c r="F158" s="45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52" t="str">
        <f>+VLOOKUP(LEFT($A159,LEN(A159)-1)*1,Master!$D$27:$G$225,4,FALSE)</f>
        <v>Revenues from Selling Assets</v>
      </c>
      <c r="C159" s="453"/>
      <c r="D159" s="453"/>
      <c r="E159" s="453"/>
      <c r="F159" s="45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7:F9"/>
    <mergeCell ref="G7:U7"/>
    <mergeCell ref="W8:X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7:F57"/>
    <mergeCell ref="B58:F58"/>
    <mergeCell ref="B59:F59"/>
    <mergeCell ref="B60:F60"/>
    <mergeCell ref="B54:F54"/>
    <mergeCell ref="B61:F61"/>
    <mergeCell ref="B49:F49"/>
    <mergeCell ref="B50:F50"/>
    <mergeCell ref="B51:F51"/>
    <mergeCell ref="B52:F52"/>
    <mergeCell ref="B53:F53"/>
    <mergeCell ref="B56:F56"/>
    <mergeCell ref="B55:F55"/>
    <mergeCell ref="W103:X103"/>
    <mergeCell ref="B105:F105"/>
    <mergeCell ref="B106:F106"/>
    <mergeCell ref="B107:F107"/>
    <mergeCell ref="B108:F108"/>
    <mergeCell ref="B109:F109"/>
    <mergeCell ref="B62:F62"/>
    <mergeCell ref="B63:F63"/>
    <mergeCell ref="B64:F64"/>
    <mergeCell ref="B65:F65"/>
    <mergeCell ref="B102:F104"/>
    <mergeCell ref="G102:U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517</v>
      </c>
      <c r="H6" s="69" t="s">
        <v>518</v>
      </c>
      <c r="I6" s="69" t="s">
        <v>519</v>
      </c>
      <c r="J6" s="69" t="s">
        <v>520</v>
      </c>
      <c r="K6" s="69" t="s">
        <v>521</v>
      </c>
      <c r="L6" s="69" t="s">
        <v>522</v>
      </c>
      <c r="M6" s="69" t="s">
        <v>523</v>
      </c>
      <c r="N6" s="69" t="s">
        <v>524</v>
      </c>
      <c r="O6" s="69" t="s">
        <v>525</v>
      </c>
      <c r="P6" s="69" t="s">
        <v>526</v>
      </c>
      <c r="Q6" s="69" t="s">
        <v>527</v>
      </c>
      <c r="R6" s="69" t="s">
        <v>528</v>
      </c>
    </row>
    <row r="7" spans="1:20" ht="15" customHeight="1" thickBot="1">
      <c r="B7" s="539" t="str">
        <f>+Master!G251</f>
        <v>Budget Execution</v>
      </c>
      <c r="C7" s="540"/>
      <c r="D7" s="540"/>
      <c r="E7" s="540"/>
      <c r="F7" s="540"/>
      <c r="G7" s="532">
        <v>2013</v>
      </c>
      <c r="H7" s="533"/>
      <c r="I7" s="533"/>
      <c r="J7" s="533"/>
      <c r="K7" s="533"/>
      <c r="L7" s="533"/>
      <c r="M7" s="533"/>
      <c r="N7" s="533"/>
      <c r="O7" s="533"/>
      <c r="P7" s="533"/>
      <c r="Q7" s="533"/>
      <c r="R7" s="534"/>
      <c r="S7" s="115" t="str">
        <f>+Master!G248</f>
        <v>GDP</v>
      </c>
      <c r="T7" s="116">
        <v>3393200615</v>
      </c>
    </row>
    <row r="8" spans="1:20" ht="16.5" customHeight="1">
      <c r="B8" s="541"/>
      <c r="C8" s="542"/>
      <c r="D8" s="542"/>
      <c r="E8" s="542"/>
      <c r="F8" s="543"/>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32" t="str">
        <f>+Master!G245</f>
        <v>Jan - May</v>
      </c>
      <c r="T8" s="534"/>
    </row>
    <row r="9" spans="1:20" ht="13.5" thickBot="1">
      <c r="B9" s="544"/>
      <c r="C9" s="545"/>
      <c r="D9" s="545"/>
      <c r="E9" s="545"/>
      <c r="F9" s="546"/>
      <c r="G9" s="68" t="s">
        <v>427</v>
      </c>
      <c r="H9" s="68" t="s">
        <v>427</v>
      </c>
      <c r="I9" s="68" t="s">
        <v>427</v>
      </c>
      <c r="J9" s="68" t="s">
        <v>427</v>
      </c>
      <c r="K9" s="68" t="s">
        <v>427</v>
      </c>
      <c r="L9" s="68" t="s">
        <v>427</v>
      </c>
      <c r="M9" s="68" t="s">
        <v>427</v>
      </c>
      <c r="N9" s="68" t="s">
        <v>427</v>
      </c>
      <c r="O9" s="68" t="s">
        <v>427</v>
      </c>
      <c r="P9" s="68" t="s">
        <v>427</v>
      </c>
      <c r="Q9" s="68" t="s">
        <v>427</v>
      </c>
      <c r="R9" s="68" t="s">
        <v>427</v>
      </c>
      <c r="S9" s="66" t="s">
        <v>427</v>
      </c>
      <c r="T9" s="67" t="str">
        <f>+Master!G249</f>
        <v>% GDP</v>
      </c>
    </row>
    <row r="10" spans="1:20" ht="13.5" thickBot="1">
      <c r="A10" s="72">
        <v>7</v>
      </c>
      <c r="B10" s="535" t="str">
        <f>+VLOOKUP($A10,Master!$D$27:$G$225,4,FALSE)</f>
        <v>Total Revenues</v>
      </c>
      <c r="C10" s="536"/>
      <c r="D10" s="536"/>
      <c r="E10" s="536"/>
      <c r="F10" s="536"/>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37" t="str">
        <f>+VLOOKUP($A11,Master!$D$27:$G$225,4,FALSE)</f>
        <v>Taxes</v>
      </c>
      <c r="C11" s="538"/>
      <c r="D11" s="538"/>
      <c r="E11" s="538"/>
      <c r="F11" s="538"/>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18" t="str">
        <f>+VLOOKUP($A12,Master!$D$27:$G$225,4,FALSE)</f>
        <v>Personal Income Tax</v>
      </c>
      <c r="C12" s="519"/>
      <c r="D12" s="519"/>
      <c r="E12" s="519"/>
      <c r="F12" s="519"/>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18" t="str">
        <f>+VLOOKUP($A13,Master!$D$27:$G$225,4,FALSE)</f>
        <v>Corporate Income Tax</v>
      </c>
      <c r="C13" s="519"/>
      <c r="D13" s="519"/>
      <c r="E13" s="519"/>
      <c r="F13" s="519"/>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18" t="str">
        <f>+VLOOKUP($A14,Master!$D$27:$G$225,4,FALSE)</f>
        <v xml:space="preserve">Taxes on Sales of Property </v>
      </c>
      <c r="C14" s="519"/>
      <c r="D14" s="519"/>
      <c r="E14" s="519"/>
      <c r="F14" s="519"/>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18" t="str">
        <f>+VLOOKUP($A15,Master!$D$27:$G$225,4,FALSE)</f>
        <v>Value Added Tax</v>
      </c>
      <c r="C15" s="519"/>
      <c r="D15" s="519"/>
      <c r="E15" s="519"/>
      <c r="F15" s="519"/>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18" t="str">
        <f>+VLOOKUP($A16,Master!$D$27:$G$225,4,FALSE)</f>
        <v>Excises</v>
      </c>
      <c r="C16" s="519"/>
      <c r="D16" s="519"/>
      <c r="E16" s="519"/>
      <c r="F16" s="519"/>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18" t="str">
        <f>+VLOOKUP($A17,Master!$D$27:$G$225,4,FALSE)</f>
        <v>Tax on International Trade and Transactions</v>
      </c>
      <c r="C17" s="519"/>
      <c r="D17" s="519"/>
      <c r="E17" s="519"/>
      <c r="F17" s="519"/>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18" t="e">
        <f>+VLOOKUP($A18,Master!$D$27:$G$225,4,FALSE)</f>
        <v>#N/A</v>
      </c>
      <c r="C18" s="519"/>
      <c r="D18" s="519"/>
      <c r="E18" s="519"/>
      <c r="F18" s="519"/>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18" t="str">
        <f>+VLOOKUP($A19,Master!$D$27:$G$225,4,FALSE)</f>
        <v>Other Republic Taxes</v>
      </c>
      <c r="C19" s="519"/>
      <c r="D19" s="519"/>
      <c r="E19" s="519"/>
      <c r="F19" s="519"/>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0" t="str">
        <f>+VLOOKUP($A20,Master!$D$27:$G$225,4,FALSE)</f>
        <v>Contributions</v>
      </c>
      <c r="C20" s="531"/>
      <c r="D20" s="531"/>
      <c r="E20" s="531"/>
      <c r="F20" s="531"/>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18" t="str">
        <f>+VLOOKUP($A21,Master!$D$27:$G$225,4,FALSE)</f>
        <v>Contributions for Pension and Disability Insurance</v>
      </c>
      <c r="C21" s="519"/>
      <c r="D21" s="519"/>
      <c r="E21" s="519"/>
      <c r="F21" s="519"/>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18" t="str">
        <f>+VLOOKUP($A22,Master!$D$27:$G$225,4,FALSE)</f>
        <v>Contributions for Health Insurance</v>
      </c>
      <c r="C22" s="519"/>
      <c r="D22" s="519"/>
      <c r="E22" s="519"/>
      <c r="F22" s="519"/>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18" t="str">
        <f>+VLOOKUP($A23,Master!$D$27:$G$225,4,FALSE)</f>
        <v>Contributions for  Unemployment Insurance</v>
      </c>
      <c r="C23" s="519"/>
      <c r="D23" s="519"/>
      <c r="E23" s="519"/>
      <c r="F23" s="519"/>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18" t="str">
        <f>+VLOOKUP($A24,Master!$D$27:$G$225,4,FALSE)</f>
        <v>Other contributions</v>
      </c>
      <c r="C24" s="519"/>
      <c r="D24" s="519"/>
      <c r="E24" s="519"/>
      <c r="F24" s="519"/>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22" t="str">
        <f>+VLOOKUP($A25,Master!$D$27:$G$225,4,FALSE)</f>
        <v>Duties</v>
      </c>
      <c r="C25" s="523"/>
      <c r="D25" s="523"/>
      <c r="E25" s="523"/>
      <c r="F25" s="523"/>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22" t="str">
        <f>+VLOOKUP($A26,Master!$D$27:$G$225,4,FALSE)</f>
        <v>Fees</v>
      </c>
      <c r="C26" s="523"/>
      <c r="D26" s="523"/>
      <c r="E26" s="523"/>
      <c r="F26" s="523"/>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22" t="str">
        <f>+VLOOKUP($A27,Master!$D$27:$G$225,4,FALSE)</f>
        <v>Other revenues</v>
      </c>
      <c r="C27" s="523"/>
      <c r="D27" s="523"/>
      <c r="E27" s="523"/>
      <c r="F27" s="523"/>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22" t="str">
        <f>+VLOOKUP($A28,Master!$D$27:$G$225,4,FALSE)</f>
        <v>Receipts from Repayment of Loans and Funds Carried over from Previous Year</v>
      </c>
      <c r="C28" s="523"/>
      <c r="D28" s="523"/>
      <c r="E28" s="523"/>
      <c r="F28" s="523"/>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24" t="str">
        <f>+VLOOKUP($A29,Master!$D$27:$G$225,4,FALSE)</f>
        <v>Grants and Transfers</v>
      </c>
      <c r="C29" s="525"/>
      <c r="D29" s="525"/>
      <c r="E29" s="525"/>
      <c r="F29" s="52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08" t="str">
        <f>+VLOOKUP($A30,Master!$D$27:$G$225,4,FALSE)</f>
        <v>Total Expenditures</v>
      </c>
      <c r="C30" s="509"/>
      <c r="D30" s="509"/>
      <c r="E30" s="509"/>
      <c r="F30" s="509"/>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26" t="str">
        <f>+VLOOKUP($A31,Master!$D$27:$G$225,4,FALSE)</f>
        <v>Current Budgetary Consumption</v>
      </c>
      <c r="C31" s="527"/>
      <c r="D31" s="527"/>
      <c r="E31" s="527"/>
      <c r="F31" s="527"/>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28" t="str">
        <f>+VLOOKUP($A32,Master!$D$27:$G$225,4,FALSE)</f>
        <v>Current Expenditures</v>
      </c>
      <c r="C32" s="529"/>
      <c r="D32" s="529"/>
      <c r="E32" s="529"/>
      <c r="F32" s="529"/>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18" t="str">
        <f>+VLOOKUP($A33,Master!$D$27:$G$225,4,FALSE)</f>
        <v>Gross Salaries and Contributions</v>
      </c>
      <c r="C33" s="519"/>
      <c r="D33" s="519"/>
      <c r="E33" s="519"/>
      <c r="F33" s="519"/>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18" t="str">
        <f>+VLOOKUP($A34,Master!$D$27:$G$225,4,FALSE)</f>
        <v>Other Personal Income</v>
      </c>
      <c r="C34" s="519"/>
      <c r="D34" s="519"/>
      <c r="E34" s="519"/>
      <c r="F34" s="519"/>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18" t="str">
        <f>+VLOOKUP($A35,Master!$D$27:$G$225,4,FALSE)</f>
        <v>Expenditures for Supplies</v>
      </c>
      <c r="C35" s="519"/>
      <c r="D35" s="519"/>
      <c r="E35" s="519"/>
      <c r="F35" s="519"/>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18" t="str">
        <f>+VLOOKUP($A36,Master!$D$27:$G$225,4,FALSE)</f>
        <v>Expenditures for Services</v>
      </c>
      <c r="C36" s="519"/>
      <c r="D36" s="519"/>
      <c r="E36" s="519"/>
      <c r="F36" s="519"/>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18" t="str">
        <f>+VLOOKUP($A37,Master!$D$27:$G$225,4,FALSE)</f>
        <v>Current Maintenance</v>
      </c>
      <c r="C37" s="519"/>
      <c r="D37" s="519"/>
      <c r="E37" s="519"/>
      <c r="F37" s="519"/>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18" t="str">
        <f>+VLOOKUP($A38,Master!$D$27:$G$225,4,FALSE)</f>
        <v>Interests</v>
      </c>
      <c r="C38" s="519"/>
      <c r="D38" s="519"/>
      <c r="E38" s="519"/>
      <c r="F38" s="519"/>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18" t="str">
        <f>+VLOOKUP($A39,Master!$D$27:$G$225,4,FALSE)</f>
        <v>Rent</v>
      </c>
      <c r="C39" s="519"/>
      <c r="D39" s="519"/>
      <c r="E39" s="519"/>
      <c r="F39" s="519"/>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18" t="str">
        <f>+VLOOKUP($A40,Master!$D$27:$G$225,4,FALSE)</f>
        <v>Subsidies</v>
      </c>
      <c r="C40" s="519"/>
      <c r="D40" s="519"/>
      <c r="E40" s="519"/>
      <c r="F40" s="519"/>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18" t="str">
        <f>+VLOOKUP($A41,Master!$D$27:$G$225,4,FALSE)</f>
        <v>Other expenditures</v>
      </c>
      <c r="C41" s="519"/>
      <c r="D41" s="519"/>
      <c r="E41" s="519"/>
      <c r="F41" s="519"/>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18" t="str">
        <f>+VLOOKUP($A42,Master!$D$27:$G$225,4,FALSE)</f>
        <v>Current Capital Expenditure</v>
      </c>
      <c r="C42" s="519"/>
      <c r="D42" s="519"/>
      <c r="E42" s="519"/>
      <c r="F42" s="519"/>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14" t="str">
        <f>+VLOOKUP($A43,Master!$D$27:$G$225,4,FALSE)</f>
        <v>Social Security Transfers</v>
      </c>
      <c r="C43" s="515"/>
      <c r="D43" s="515"/>
      <c r="E43" s="515"/>
      <c r="F43" s="51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18" t="str">
        <f>+VLOOKUP($A44,Master!$D$27:$G$225,4,FALSE)</f>
        <v>Social Security</v>
      </c>
      <c r="C44" s="519"/>
      <c r="D44" s="519"/>
      <c r="E44" s="519"/>
      <c r="F44" s="519"/>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18" t="str">
        <f>+VLOOKUP($A45,Master!$D$27:$G$225,4,FALSE)</f>
        <v>Funds for redundant labor</v>
      </c>
      <c r="C45" s="519"/>
      <c r="D45" s="519"/>
      <c r="E45" s="519"/>
      <c r="F45" s="519"/>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18" t="str">
        <f>+VLOOKUP($A46,Master!$D$27:$G$225,4,FALSE)</f>
        <v>Pension and Disability Insurance</v>
      </c>
      <c r="C46" s="519"/>
      <c r="D46" s="519"/>
      <c r="E46" s="519"/>
      <c r="F46" s="519"/>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18" t="str">
        <f>+VLOOKUP($A47,Master!$D$27:$G$225,4,FALSE)</f>
        <v>Other Health Care Transfers</v>
      </c>
      <c r="C47" s="519"/>
      <c r="D47" s="519"/>
      <c r="E47" s="519"/>
      <c r="F47" s="519"/>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18" t="str">
        <f>+VLOOKUP($A48,Master!$D$27:$G$225,4,FALSE)</f>
        <v>Other Health Care Insurance</v>
      </c>
      <c r="C48" s="519"/>
      <c r="D48" s="519"/>
      <c r="E48" s="519"/>
      <c r="F48" s="519"/>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20" t="str">
        <f>+VLOOKUP($A49,Master!$D$27:$G$225,4,FALSE)</f>
        <v xml:space="preserve">Transfers to Institutions, Individuals, NGO and Public Sector </v>
      </c>
      <c r="C49" s="521"/>
      <c r="D49" s="521"/>
      <c r="E49" s="521"/>
      <c r="F49" s="521"/>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20" t="str">
        <f>+VLOOKUP($A50,Master!$D$27:$G$225,4,FALSE)</f>
        <v>Capital Expenditure</v>
      </c>
      <c r="C50" s="521"/>
      <c r="D50" s="521"/>
      <c r="E50" s="521"/>
      <c r="F50" s="521"/>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02" t="str">
        <f>+VLOOKUP($A51,Master!$D$27:$G$225,4,FALSE)</f>
        <v>Credits and Borrowings</v>
      </c>
      <c r="C51" s="503"/>
      <c r="D51" s="503"/>
      <c r="E51" s="503"/>
      <c r="F51" s="503"/>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02" t="str">
        <f>+VLOOKUP($A52,Master!$D$27:$G$225,4,FALSE)</f>
        <v>Reserves</v>
      </c>
      <c r="C52" s="503"/>
      <c r="D52" s="503"/>
      <c r="E52" s="503"/>
      <c r="F52" s="503"/>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16" t="str">
        <f>+VLOOKUP($A53,Master!$D$27:$G$225,4,FALSE)</f>
        <v>Repayment of Guarantees</v>
      </c>
      <c r="C53" s="517"/>
      <c r="D53" s="517"/>
      <c r="E53" s="517"/>
      <c r="F53" s="51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10" t="str">
        <f>+VLOOKUP($A54,Master!$D$27:$G$225,4,FALSE)</f>
        <v>Surplus / deficit</v>
      </c>
      <c r="C54" s="511"/>
      <c r="D54" s="511"/>
      <c r="E54" s="511"/>
      <c r="F54" s="511"/>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12" t="str">
        <f>+VLOOKUP($A55,Master!$D$27:$G$225,4,FALSE)</f>
        <v>Primary balance</v>
      </c>
      <c r="C55" s="513"/>
      <c r="D55" s="513"/>
      <c r="E55" s="513"/>
      <c r="F55" s="513"/>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14" t="str">
        <f>+VLOOKUP($A56,Master!$D$27:$G$225,4,FALSE)</f>
        <v>Repayment of Debt</v>
      </c>
      <c r="C56" s="515"/>
      <c r="D56" s="515"/>
      <c r="E56" s="515"/>
      <c r="F56" s="51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04" t="str">
        <f>+VLOOKUP($A57,Master!$D$27:$G$225,4,FALSE)</f>
        <v>Repayment of Domestic Debt</v>
      </c>
      <c r="C57" s="505"/>
      <c r="D57" s="505"/>
      <c r="E57" s="505"/>
      <c r="F57" s="505"/>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02" t="str">
        <f>+VLOOKUP($A58,Master!$D$27:$G$225,4,FALSE)</f>
        <v>Repayment of Foreign Debt</v>
      </c>
      <c r="C58" s="503"/>
      <c r="D58" s="503"/>
      <c r="E58" s="503"/>
      <c r="F58" s="503"/>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16" t="str">
        <f>+VLOOKUP($A59,Master!$D$27:$G$225,4,FALSE)</f>
        <v>Repayments of Arrears</v>
      </c>
      <c r="C59" s="517"/>
      <c r="D59" s="517"/>
      <c r="E59" s="517"/>
      <c r="F59" s="51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06" t="str">
        <f>+VLOOKUP($A60,Master!$D$27:$G$225,4,FALSE)</f>
        <v>Financing needs</v>
      </c>
      <c r="C60" s="507"/>
      <c r="D60" s="507"/>
      <c r="E60" s="507"/>
      <c r="F60" s="507"/>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08" t="str">
        <f>+VLOOKUP($A61,Master!$D$27:$G$225,4,FALSE)</f>
        <v>Financing</v>
      </c>
      <c r="C61" s="509"/>
      <c r="D61" s="509"/>
      <c r="E61" s="509"/>
      <c r="F61" s="509"/>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04" t="str">
        <f>+VLOOKUP($A62,Master!$D$27:$G$225,4,FALSE)</f>
        <v>Domestic Loans and Borrowings</v>
      </c>
      <c r="C62" s="505"/>
      <c r="D62" s="505"/>
      <c r="E62" s="505"/>
      <c r="F62" s="505"/>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02" t="str">
        <f>+VLOOKUP($A63,Master!$D$27:$G$225,4,FALSE)</f>
        <v>Foreign Loans and Borrowings</v>
      </c>
      <c r="C63" s="503"/>
      <c r="D63" s="503"/>
      <c r="E63" s="503"/>
      <c r="F63" s="503"/>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02" t="str">
        <f>+VLOOKUP($A64,Master!$D$27:$G$225,4,FALSE)</f>
        <v>Revenues from Selling Assets</v>
      </c>
      <c r="C64" s="503"/>
      <c r="D64" s="503"/>
      <c r="E64" s="503"/>
      <c r="F64" s="503"/>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57" t="str">
        <f>+Master!G252</f>
        <v>Planned Budget Execution</v>
      </c>
      <c r="C101" s="455"/>
      <c r="D101" s="455"/>
      <c r="E101" s="455"/>
      <c r="F101" s="455"/>
      <c r="G101" s="463">
        <v>2014</v>
      </c>
      <c r="H101" s="464"/>
      <c r="I101" s="464"/>
      <c r="J101" s="464"/>
      <c r="K101" s="464"/>
      <c r="L101" s="464"/>
      <c r="M101" s="464"/>
      <c r="N101" s="464"/>
      <c r="O101" s="464"/>
      <c r="P101" s="464"/>
      <c r="Q101" s="464"/>
      <c r="R101" s="467"/>
      <c r="S101" s="260" t="str">
        <f>+S7</f>
        <v>GDP</v>
      </c>
      <c r="T101" s="261">
        <v>3393200615</v>
      </c>
    </row>
    <row r="102" spans="1:20" ht="15.75" customHeight="1">
      <c r="A102" s="169"/>
      <c r="B102" s="456"/>
      <c r="C102" s="457"/>
      <c r="D102" s="457"/>
      <c r="E102" s="457"/>
      <c r="F102" s="458"/>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63" t="str">
        <f>+Master!G246</f>
        <v>Jan - Dec</v>
      </c>
      <c r="T102" s="467">
        <f t="shared" si="16"/>
        <v>0</v>
      </c>
    </row>
    <row r="103" spans="1:20" ht="13.5" thickBot="1">
      <c r="A103" s="169"/>
      <c r="B103" s="459"/>
      <c r="C103" s="460"/>
      <c r="D103" s="460"/>
      <c r="E103" s="460"/>
      <c r="F103" s="461"/>
      <c r="G103" s="162" t="s">
        <v>427</v>
      </c>
      <c r="H103" s="162" t="s">
        <v>427</v>
      </c>
      <c r="I103" s="162" t="s">
        <v>427</v>
      </c>
      <c r="J103" s="162" t="s">
        <v>427</v>
      </c>
      <c r="K103" s="162" t="s">
        <v>427</v>
      </c>
      <c r="L103" s="162" t="s">
        <v>427</v>
      </c>
      <c r="M103" s="162" t="s">
        <v>427</v>
      </c>
      <c r="N103" s="162" t="s">
        <v>427</v>
      </c>
      <c r="O103" s="162" t="s">
        <v>427</v>
      </c>
      <c r="P103" s="162" t="s">
        <v>427</v>
      </c>
      <c r="Q103" s="162" t="s">
        <v>427</v>
      </c>
      <c r="R103" s="162" t="s">
        <v>427</v>
      </c>
      <c r="S103" s="262" t="s">
        <v>427</v>
      </c>
      <c r="T103" s="263" t="str">
        <f>+T9</f>
        <v>% GDP</v>
      </c>
    </row>
    <row r="104" spans="1:20" ht="13.5" thickBot="1">
      <c r="A104" s="297" t="str">
        <f>+CONCATENATE(A10,"p")</f>
        <v>7p</v>
      </c>
      <c r="B104" s="496" t="str">
        <f>+VLOOKUP(LEFT($A104,LEN(A104)-1)*1,Master!$D$27:$G$225,4,FALSE)</f>
        <v>Total Revenues</v>
      </c>
      <c r="C104" s="497"/>
      <c r="D104" s="497"/>
      <c r="E104" s="497"/>
      <c r="F104" s="497"/>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98" t="str">
        <f>+VLOOKUP(LEFT($A105,LEN(A105)-1)*1,Master!$D$27:$G$225,4,FALSE)</f>
        <v>Taxes</v>
      </c>
      <c r="C105" s="499"/>
      <c r="D105" s="499"/>
      <c r="E105" s="499"/>
      <c r="F105" s="499"/>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84" t="str">
        <f>+VLOOKUP(LEFT($A106,LEN(A106)-1)*1,Master!$D$27:$G$225,4,FALSE)</f>
        <v>Personal Income Tax</v>
      </c>
      <c r="C106" s="485"/>
      <c r="D106" s="485"/>
      <c r="E106" s="485"/>
      <c r="F106" s="48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84" t="str">
        <f>+VLOOKUP(LEFT($A107,LEN(A107)-1)*1,Master!$D$27:$G$225,4,FALSE)</f>
        <v>Corporate Income Tax</v>
      </c>
      <c r="C107" s="485"/>
      <c r="D107" s="485"/>
      <c r="E107" s="485"/>
      <c r="F107" s="48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84" t="str">
        <f>+VLOOKUP(LEFT($A108,LEN(A108)-1)*1,Master!$D$27:$G$225,4,FALSE)</f>
        <v xml:space="preserve">Taxes on Sales of Property </v>
      </c>
      <c r="C108" s="485"/>
      <c r="D108" s="485"/>
      <c r="E108" s="485"/>
      <c r="F108" s="48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84" t="str">
        <f>+VLOOKUP(LEFT($A109,LEN(A109)-1)*1,Master!$D$27:$G$225,4,FALSE)</f>
        <v>Value Added Tax</v>
      </c>
      <c r="C109" s="485"/>
      <c r="D109" s="485"/>
      <c r="E109" s="485"/>
      <c r="F109" s="48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84" t="str">
        <f>+VLOOKUP(LEFT($A110,LEN(A110)-1)*1,Master!$D$27:$G$225,4,FALSE)</f>
        <v>Excises</v>
      </c>
      <c r="C110" s="485"/>
      <c r="D110" s="485"/>
      <c r="E110" s="485"/>
      <c r="F110" s="48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84" t="str">
        <f>+VLOOKUP(LEFT($A111,LEN(A111)-1)*1,Master!$D$27:$G$225,4,FALSE)</f>
        <v>Tax on International Trade and Transactions</v>
      </c>
      <c r="C111" s="485"/>
      <c r="D111" s="485"/>
      <c r="E111" s="485"/>
      <c r="F111" s="48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84" t="e">
        <f>+VLOOKUP(LEFT($A112,LEN(A112)-1)*1,Master!$D$27:$G$225,4,FALSE)</f>
        <v>#N/A</v>
      </c>
      <c r="C112" s="485"/>
      <c r="D112" s="485"/>
      <c r="E112" s="485"/>
      <c r="F112" s="48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84" t="str">
        <f>+VLOOKUP(LEFT($A113,LEN(A113)-1)*1,Master!$D$27:$G$225,4,FALSE)</f>
        <v>Other Republic Taxes</v>
      </c>
      <c r="C113" s="485"/>
      <c r="D113" s="485"/>
      <c r="E113" s="485"/>
      <c r="F113" s="48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94" t="str">
        <f>+VLOOKUP(LEFT($A114,LEN(A114)-1)*1,Master!$D$27:$G$225,4,FALSE)</f>
        <v>Contributions</v>
      </c>
      <c r="C114" s="495"/>
      <c r="D114" s="495"/>
      <c r="E114" s="495"/>
      <c r="F114" s="495"/>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84" t="str">
        <f>+VLOOKUP(LEFT($A115,LEN(A115)-1)*1,Master!$D$27:$G$225,4,FALSE)</f>
        <v>Contributions for Pension and Disability Insurance</v>
      </c>
      <c r="C115" s="485"/>
      <c r="D115" s="485"/>
      <c r="E115" s="485"/>
      <c r="F115" s="48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84" t="str">
        <f>+VLOOKUP(LEFT($A116,LEN(A116)-1)*1,Master!$D$27:$G$225,4,FALSE)</f>
        <v>Contributions for Health Insurance</v>
      </c>
      <c r="C116" s="485"/>
      <c r="D116" s="485"/>
      <c r="E116" s="485"/>
      <c r="F116" s="48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84" t="str">
        <f>+VLOOKUP(LEFT($A117,LEN(A117)-1)*1,Master!$D$27:$G$225,4,FALSE)</f>
        <v>Contributions for  Unemployment Insurance</v>
      </c>
      <c r="C117" s="485"/>
      <c r="D117" s="485"/>
      <c r="E117" s="485"/>
      <c r="F117" s="48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84" t="str">
        <f>+VLOOKUP(LEFT($A118,LEN(A118)-1)*1,Master!$D$27:$G$225,4,FALSE)</f>
        <v>Other contributions</v>
      </c>
      <c r="C118" s="485"/>
      <c r="D118" s="485"/>
      <c r="E118" s="485"/>
      <c r="F118" s="48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86" t="str">
        <f>+VLOOKUP(LEFT($A119,LEN(A119)-1)*1,Master!$D$27:$G$225,4,FALSE)</f>
        <v>Duties</v>
      </c>
      <c r="C119" s="487"/>
      <c r="D119" s="487"/>
      <c r="E119" s="487"/>
      <c r="F119" s="48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86" t="str">
        <f>+VLOOKUP(LEFT($A120,LEN(A120)-1)*1,Master!$D$27:$G$225,4,FALSE)</f>
        <v>Fees</v>
      </c>
      <c r="C120" s="487"/>
      <c r="D120" s="487"/>
      <c r="E120" s="487"/>
      <c r="F120" s="48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86" t="str">
        <f>+VLOOKUP(LEFT($A121,LEN(A121)-1)*1,Master!$D$27:$G$225,4,FALSE)</f>
        <v>Other revenues</v>
      </c>
      <c r="C121" s="487"/>
      <c r="D121" s="487"/>
      <c r="E121" s="487"/>
      <c r="F121" s="48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86" t="str">
        <f>+VLOOKUP(LEFT($A122,LEN(A122)-1)*1,Master!$D$27:$G$225,4,FALSE)</f>
        <v>Receipts from Repayment of Loans and Funds Carried over from Previous Year</v>
      </c>
      <c r="C122" s="487"/>
      <c r="D122" s="487"/>
      <c r="E122" s="487"/>
      <c r="F122" s="48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88" t="str">
        <f>+VLOOKUP(LEFT($A123,LEN(A123)-1)*1,Master!$D$27:$G$225,4,FALSE)</f>
        <v>Grants and Transfers</v>
      </c>
      <c r="C123" s="489"/>
      <c r="D123" s="489"/>
      <c r="E123" s="489"/>
      <c r="F123" s="489"/>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74" t="str">
        <f>+VLOOKUP(LEFT($A124,LEN(A124)-1)*1,Master!$D$27:$G$225,4,FALSE)</f>
        <v>Total Expenditures</v>
      </c>
      <c r="C124" s="475"/>
      <c r="D124" s="475"/>
      <c r="E124" s="475"/>
      <c r="F124" s="475"/>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90" t="str">
        <f>+VLOOKUP(LEFT($A125,LEN(A125)-1)*1,Master!$D$27:$G$225,4,FALSE)</f>
        <v>Current Budgetary Consumption</v>
      </c>
      <c r="C125" s="491"/>
      <c r="D125" s="491"/>
      <c r="E125" s="491"/>
      <c r="F125" s="491"/>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92" t="str">
        <f>+VLOOKUP(LEFT($A126,LEN(A126)-1)*1,Master!$D$27:$G$225,4,FALSE)</f>
        <v>Current Expenditures</v>
      </c>
      <c r="C126" s="493"/>
      <c r="D126" s="493"/>
      <c r="E126" s="493"/>
      <c r="F126" s="493"/>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84" t="str">
        <f>+VLOOKUP(LEFT($A127,LEN(A127)-1)*1,Master!$D$27:$G$225,4,FALSE)</f>
        <v>Gross Salaries and Contributions</v>
      </c>
      <c r="C127" s="485"/>
      <c r="D127" s="485"/>
      <c r="E127" s="485"/>
      <c r="F127" s="48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84" t="str">
        <f>+VLOOKUP(LEFT($A128,LEN(A128)-1)*1,Master!$D$27:$G$225,4,FALSE)</f>
        <v>Other Personal Income</v>
      </c>
      <c r="C128" s="485"/>
      <c r="D128" s="485"/>
      <c r="E128" s="485"/>
      <c r="F128" s="48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84" t="str">
        <f>+VLOOKUP(LEFT($A129,LEN(A129)-1)*1,Master!$D$27:$G$225,4,FALSE)</f>
        <v>Expenditures for Supplies</v>
      </c>
      <c r="C129" s="485"/>
      <c r="D129" s="485"/>
      <c r="E129" s="485"/>
      <c r="F129" s="48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84" t="str">
        <f>+VLOOKUP(LEFT($A130,LEN(A130)-1)*1,Master!$D$27:$G$225,4,FALSE)</f>
        <v>Expenditures for Services</v>
      </c>
      <c r="C130" s="485"/>
      <c r="D130" s="485"/>
      <c r="E130" s="485"/>
      <c r="F130" s="48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84" t="str">
        <f>+VLOOKUP(LEFT($A131,LEN(A131)-1)*1,Master!$D$27:$G$225,4,FALSE)</f>
        <v>Current Maintenance</v>
      </c>
      <c r="C131" s="485"/>
      <c r="D131" s="485"/>
      <c r="E131" s="485"/>
      <c r="F131" s="48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84" t="str">
        <f>+VLOOKUP(LEFT($A132,LEN(A132)-1)*1,Master!$D$27:$G$225,4,FALSE)</f>
        <v>Interests</v>
      </c>
      <c r="C132" s="485"/>
      <c r="D132" s="485"/>
      <c r="E132" s="485"/>
      <c r="F132" s="48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84" t="str">
        <f>+VLOOKUP(LEFT($A133,LEN(A133)-1)*1,Master!$D$27:$G$225,4,FALSE)</f>
        <v>Rent</v>
      </c>
      <c r="C133" s="485"/>
      <c r="D133" s="485"/>
      <c r="E133" s="485"/>
      <c r="F133" s="48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84" t="str">
        <f>+VLOOKUP(LEFT($A134,LEN(A134)-1)*1,Master!$D$27:$G$225,4,FALSE)</f>
        <v>Subsidies</v>
      </c>
      <c r="C134" s="485"/>
      <c r="D134" s="485"/>
      <c r="E134" s="485"/>
      <c r="F134" s="48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84" t="str">
        <f>+VLOOKUP(LEFT($A135,LEN(A135)-1)*1,Master!$D$27:$G$225,4,FALSE)</f>
        <v>Other expenditures</v>
      </c>
      <c r="C135" s="485"/>
      <c r="D135" s="485"/>
      <c r="E135" s="485"/>
      <c r="F135" s="48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84" t="str">
        <f>+VLOOKUP(LEFT($A136,LEN(A136)-1)*1,Master!$D$27:$G$225,4,FALSE)</f>
        <v>Current Capital Expenditure</v>
      </c>
      <c r="C136" s="485"/>
      <c r="D136" s="485"/>
      <c r="E136" s="485"/>
      <c r="F136" s="48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80" t="str">
        <f>+VLOOKUP(LEFT($A137,LEN(A137)-1)*1,Master!$D$27:$G$225,4,FALSE)</f>
        <v>Social Security Transfers</v>
      </c>
      <c r="C137" s="481"/>
      <c r="D137" s="481"/>
      <c r="E137" s="481"/>
      <c r="F137" s="48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84" t="str">
        <f>+VLOOKUP(LEFT($A138,LEN(A138)-1)*1,Master!$D$27:$G$225,4,FALSE)</f>
        <v>Social Security</v>
      </c>
      <c r="C138" s="485"/>
      <c r="D138" s="485"/>
      <c r="E138" s="485"/>
      <c r="F138" s="48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84" t="str">
        <f>+VLOOKUP(LEFT($A139,LEN(A139)-1)*1,Master!$D$27:$G$225,4,FALSE)</f>
        <v>Funds for redundant labor</v>
      </c>
      <c r="C139" s="485"/>
      <c r="D139" s="485"/>
      <c r="E139" s="485"/>
      <c r="F139" s="48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84" t="str">
        <f>+VLOOKUP(LEFT($A140,LEN(A140)-1)*1,Master!$D$27:$G$225,4,FALSE)</f>
        <v>Pension and Disability Insurance</v>
      </c>
      <c r="C140" s="485"/>
      <c r="D140" s="485"/>
      <c r="E140" s="485"/>
      <c r="F140" s="48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84" t="str">
        <f>+VLOOKUP(LEFT($A141,LEN(A141)-1)*1,Master!$D$27:$G$225,4,FALSE)</f>
        <v>Other Health Care Transfers</v>
      </c>
      <c r="C141" s="485"/>
      <c r="D141" s="485"/>
      <c r="E141" s="485"/>
      <c r="F141" s="48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84" t="str">
        <f>+VLOOKUP(LEFT($A142,LEN(A142)-1)*1,Master!$D$27:$G$225,4,FALSE)</f>
        <v>Other Health Care Insurance</v>
      </c>
      <c r="C142" s="485"/>
      <c r="D142" s="485"/>
      <c r="E142" s="485"/>
      <c r="F142" s="48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82" t="str">
        <f>+VLOOKUP(LEFT($A143,LEN(A143)-1)*1,Master!$D$27:$G$225,4,FALSE)</f>
        <v xml:space="preserve">Transfers to Institutions, Individuals, NGO and Public Sector </v>
      </c>
      <c r="C143" s="483"/>
      <c r="D143" s="483"/>
      <c r="E143" s="483"/>
      <c r="F143" s="483"/>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82" t="str">
        <f>+VLOOKUP(LEFT($A144,LEN(A144)-1)*1,Master!$D$27:$G$225,4,FALSE)</f>
        <v>Capital Expenditure</v>
      </c>
      <c r="C144" s="483"/>
      <c r="D144" s="483"/>
      <c r="E144" s="483"/>
      <c r="F144" s="483"/>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52" t="str">
        <f>+VLOOKUP(LEFT($A145,LEN(A145)-1)*1,Master!$D$27:$G$225,4,FALSE)</f>
        <v>Credits and Borrowings</v>
      </c>
      <c r="C145" s="453"/>
      <c r="D145" s="453"/>
      <c r="E145" s="453"/>
      <c r="F145" s="45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52" t="str">
        <f>+VLOOKUP(LEFT($A146,LEN(A146)-1)*1,Master!$D$27:$G$225,4,FALSE)</f>
        <v>Reserves</v>
      </c>
      <c r="C146" s="453"/>
      <c r="D146" s="453"/>
      <c r="E146" s="453"/>
      <c r="F146" s="45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0" t="str">
        <f>+VLOOKUP(LEFT($A147,LEN(A147)-1)*1,Master!$D$27:$G$225,4,FALSE)</f>
        <v>Repayment of Guarantees</v>
      </c>
      <c r="C147" s="471"/>
      <c r="D147" s="471"/>
      <c r="E147" s="471"/>
      <c r="F147" s="471"/>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80" t="str">
        <f>+VLOOKUP(LEFT($A150,LEN(A150)-1)*1,Master!$D$27:$G$225,4,FALSE)</f>
        <v>Repayment of Debt</v>
      </c>
      <c r="C150" s="481"/>
      <c r="D150" s="481"/>
      <c r="E150" s="481"/>
      <c r="F150" s="48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68" t="str">
        <f>+VLOOKUP(LEFT($A151,LEN(A151)-1)*1,Master!$D$27:$G$225,4,FALSE)</f>
        <v>Repayment of Domestic Debt</v>
      </c>
      <c r="C151" s="469"/>
      <c r="D151" s="469"/>
      <c r="E151" s="469"/>
      <c r="F151" s="469"/>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52" t="str">
        <f>+VLOOKUP(LEFT($A152,LEN(A152)-1)*1,Master!$D$27:$G$225,4,FALSE)</f>
        <v>Repayment of Foreign Debt</v>
      </c>
      <c r="C152" s="453"/>
      <c r="D152" s="453"/>
      <c r="E152" s="453"/>
      <c r="F152" s="45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0" t="str">
        <f>+VLOOKUP(LEFT($A153,LEN(A153)-1)*1,Master!$D$27:$G$225,4,FALSE)</f>
        <v>Repayments of Arrears</v>
      </c>
      <c r="C153" s="471"/>
      <c r="D153" s="471"/>
      <c r="E153" s="471"/>
      <c r="F153" s="471"/>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72" t="str">
        <f>+VLOOKUP(LEFT($A154,LEN(A154)-1)*1,Master!$D$27:$G$225,4,FALSE)</f>
        <v>Financing needs</v>
      </c>
      <c r="C154" s="473"/>
      <c r="D154" s="473"/>
      <c r="E154" s="473"/>
      <c r="F154" s="473"/>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74" t="str">
        <f>+VLOOKUP(LEFT($A155,LEN(A155)-1)*1,Master!$D$27:$G$225,4,FALSE)</f>
        <v>Financing</v>
      </c>
      <c r="C155" s="475"/>
      <c r="D155" s="475"/>
      <c r="E155" s="475"/>
      <c r="F155" s="475"/>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68" t="str">
        <f>+VLOOKUP(LEFT($A156,LEN(A156)-1)*1,Master!$D$27:$G$225,4,FALSE)</f>
        <v>Domestic Loans and Borrowings</v>
      </c>
      <c r="C156" s="469"/>
      <c r="D156" s="469"/>
      <c r="E156" s="469"/>
      <c r="F156" s="469"/>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52" t="str">
        <f>+VLOOKUP(LEFT($A157,LEN(A157)-1)*1,Master!$D$27:$G$225,4,FALSE)</f>
        <v>Foreign Loans and Borrowings</v>
      </c>
      <c r="C157" s="453"/>
      <c r="D157" s="453"/>
      <c r="E157" s="453"/>
      <c r="F157" s="45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52" t="str">
        <f>+VLOOKUP(LEFT($A158,LEN(A158)-1)*1,Master!$D$27:$G$225,4,FALSE)</f>
        <v>Revenues from Selling Assets</v>
      </c>
      <c r="C158" s="453"/>
      <c r="D158" s="453"/>
      <c r="E158" s="453"/>
      <c r="F158" s="45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S102:T102"/>
    <mergeCell ref="B104:F104"/>
    <mergeCell ref="B105:F105"/>
    <mergeCell ref="B106:F106"/>
    <mergeCell ref="B107:F107"/>
    <mergeCell ref="B108:F108"/>
    <mergeCell ref="B61:F61"/>
    <mergeCell ref="B62:F62"/>
    <mergeCell ref="B63:F63"/>
    <mergeCell ref="B64:F64"/>
    <mergeCell ref="B101:F103"/>
    <mergeCell ref="G101:R101"/>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ER8" activePane="bottomRight" state="frozen"/>
      <selection pane="topRight" activeCell="F1" sqref="F1"/>
      <selection pane="bottomLeft" activeCell="A8" sqref="A8"/>
      <selection pane="bottomRight" activeCell="FI16" sqref="FI16"/>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3" width="13.85546875" style="41" hidden="1" customWidth="1"/>
    <col min="154" max="154" width="13.5703125" style="41" hidden="1" customWidth="1"/>
    <col min="155"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568</v>
      </c>
      <c r="F6" s="560">
        <v>2006</v>
      </c>
      <c r="G6" s="561"/>
      <c r="H6" s="561"/>
      <c r="I6" s="561"/>
      <c r="J6" s="561"/>
      <c r="K6" s="561"/>
      <c r="L6" s="561"/>
      <c r="M6" s="561"/>
      <c r="N6" s="561"/>
      <c r="O6" s="561"/>
      <c r="P6" s="561"/>
      <c r="Q6" s="562"/>
      <c r="R6" s="560">
        <v>2007</v>
      </c>
      <c r="S6" s="561"/>
      <c r="T6" s="561"/>
      <c r="U6" s="561"/>
      <c r="V6" s="561"/>
      <c r="W6" s="561"/>
      <c r="X6" s="561"/>
      <c r="Y6" s="561"/>
      <c r="Z6" s="561"/>
      <c r="AA6" s="561"/>
      <c r="AB6" s="561"/>
      <c r="AC6" s="562"/>
      <c r="AD6" s="560">
        <v>2008</v>
      </c>
      <c r="AE6" s="561"/>
      <c r="AF6" s="561"/>
      <c r="AG6" s="561"/>
      <c r="AH6" s="561"/>
      <c r="AI6" s="561"/>
      <c r="AJ6" s="561"/>
      <c r="AK6" s="561"/>
      <c r="AL6" s="561"/>
      <c r="AM6" s="561"/>
      <c r="AN6" s="561"/>
      <c r="AO6" s="562"/>
      <c r="AP6" s="560">
        <v>2009</v>
      </c>
      <c r="AQ6" s="561"/>
      <c r="AR6" s="561"/>
      <c r="AS6" s="561"/>
      <c r="AT6" s="561"/>
      <c r="AU6" s="561"/>
      <c r="AV6" s="561"/>
      <c r="AW6" s="561"/>
      <c r="AX6" s="561"/>
      <c r="AY6" s="561"/>
      <c r="AZ6" s="561"/>
      <c r="BA6" s="562"/>
      <c r="BB6" s="560">
        <v>2010</v>
      </c>
      <c r="BC6" s="561"/>
      <c r="BD6" s="561"/>
      <c r="BE6" s="561"/>
      <c r="BF6" s="561"/>
      <c r="BG6" s="561"/>
      <c r="BH6" s="561"/>
      <c r="BI6" s="561"/>
      <c r="BJ6" s="561"/>
      <c r="BK6" s="561"/>
      <c r="BL6" s="561"/>
      <c r="BM6" s="562"/>
      <c r="BN6" s="560">
        <v>2011</v>
      </c>
      <c r="BO6" s="561"/>
      <c r="BP6" s="561"/>
      <c r="BQ6" s="561"/>
      <c r="BR6" s="561"/>
      <c r="BS6" s="561"/>
      <c r="BT6" s="561"/>
      <c r="BU6" s="561"/>
      <c r="BV6" s="561"/>
      <c r="BW6" s="561"/>
      <c r="BX6" s="561"/>
      <c r="BY6" s="562"/>
      <c r="BZ6" s="561">
        <v>2012</v>
      </c>
      <c r="CA6" s="561"/>
      <c r="CB6" s="561"/>
      <c r="CC6" s="561"/>
      <c r="CD6" s="561"/>
      <c r="CE6" s="561"/>
      <c r="CF6" s="561"/>
      <c r="CG6" s="561"/>
      <c r="CH6" s="561"/>
      <c r="CI6" s="561"/>
      <c r="CJ6" s="561"/>
      <c r="CK6" s="561"/>
      <c r="CL6" s="560">
        <v>2013</v>
      </c>
      <c r="CM6" s="561"/>
      <c r="CN6" s="561"/>
      <c r="CO6" s="561"/>
      <c r="CP6" s="561"/>
      <c r="CQ6" s="561"/>
      <c r="CR6" s="561"/>
      <c r="CS6" s="561"/>
      <c r="CT6" s="561"/>
      <c r="CU6" s="561"/>
      <c r="CV6" s="561"/>
      <c r="CW6" s="562"/>
      <c r="CX6" s="560">
        <v>2014</v>
      </c>
      <c r="CY6" s="561"/>
      <c r="CZ6" s="561"/>
      <c r="DA6" s="561"/>
      <c r="DB6" s="561"/>
      <c r="DC6" s="561"/>
      <c r="DD6" s="561"/>
      <c r="DE6" s="561"/>
      <c r="DF6" s="561"/>
      <c r="DG6" s="561"/>
      <c r="DH6" s="561"/>
      <c r="DI6" s="562"/>
      <c r="DJ6" s="560">
        <v>2015</v>
      </c>
      <c r="DK6" s="561"/>
      <c r="DL6" s="561"/>
      <c r="DM6" s="561"/>
      <c r="DN6" s="561"/>
      <c r="DO6" s="561"/>
      <c r="DP6" s="561"/>
      <c r="DQ6" s="561"/>
      <c r="DR6" s="561"/>
      <c r="DS6" s="561"/>
      <c r="DT6" s="561"/>
      <c r="DU6" s="562"/>
    </row>
    <row r="7" spans="1:321">
      <c r="E7" s="563"/>
      <c r="F7" s="75" t="s">
        <v>433</v>
      </c>
      <c r="G7" s="76" t="s">
        <v>434</v>
      </c>
      <c r="H7" s="76" t="s">
        <v>435</v>
      </c>
      <c r="I7" s="76" t="s">
        <v>436</v>
      </c>
      <c r="J7" s="76" t="s">
        <v>437</v>
      </c>
      <c r="K7" s="76" t="s">
        <v>438</v>
      </c>
      <c r="L7" s="76" t="s">
        <v>439</v>
      </c>
      <c r="M7" s="76" t="s">
        <v>440</v>
      </c>
      <c r="N7" s="76" t="s">
        <v>441</v>
      </c>
      <c r="O7" s="76" t="s">
        <v>442</v>
      </c>
      <c r="P7" s="76" t="s">
        <v>443</v>
      </c>
      <c r="Q7" s="77" t="s">
        <v>444</v>
      </c>
      <c r="R7" s="75" t="s">
        <v>445</v>
      </c>
      <c r="S7" s="76" t="s">
        <v>446</v>
      </c>
      <c r="T7" s="76" t="s">
        <v>447</v>
      </c>
      <c r="U7" s="76" t="s">
        <v>448</v>
      </c>
      <c r="V7" s="76" t="s">
        <v>449</v>
      </c>
      <c r="W7" s="76" t="s">
        <v>450</v>
      </c>
      <c r="X7" s="76" t="s">
        <v>451</v>
      </c>
      <c r="Y7" s="76" t="s">
        <v>452</v>
      </c>
      <c r="Z7" s="76" t="s">
        <v>453</v>
      </c>
      <c r="AA7" s="76" t="s">
        <v>454</v>
      </c>
      <c r="AB7" s="76" t="s">
        <v>455</v>
      </c>
      <c r="AC7" s="77" t="s">
        <v>456</v>
      </c>
      <c r="AD7" s="75" t="s">
        <v>458</v>
      </c>
      <c r="AE7" s="76" t="s">
        <v>459</v>
      </c>
      <c r="AF7" s="76" t="s">
        <v>460</v>
      </c>
      <c r="AG7" s="76" t="s">
        <v>461</v>
      </c>
      <c r="AH7" s="76" t="s">
        <v>462</v>
      </c>
      <c r="AI7" s="76" t="s">
        <v>463</v>
      </c>
      <c r="AJ7" s="76" t="s">
        <v>464</v>
      </c>
      <c r="AK7" s="76" t="s">
        <v>465</v>
      </c>
      <c r="AL7" s="76" t="s">
        <v>466</v>
      </c>
      <c r="AM7" s="76" t="s">
        <v>467</v>
      </c>
      <c r="AN7" s="76" t="s">
        <v>468</v>
      </c>
      <c r="AO7" s="77" t="s">
        <v>457</v>
      </c>
      <c r="AP7" s="75" t="s">
        <v>469</v>
      </c>
      <c r="AQ7" s="76" t="s">
        <v>470</v>
      </c>
      <c r="AR7" s="76" t="s">
        <v>471</v>
      </c>
      <c r="AS7" s="76" t="s">
        <v>472</v>
      </c>
      <c r="AT7" s="76" t="s">
        <v>473</v>
      </c>
      <c r="AU7" s="76" t="s">
        <v>474</v>
      </c>
      <c r="AV7" s="76" t="s">
        <v>475</v>
      </c>
      <c r="AW7" s="76" t="s">
        <v>476</v>
      </c>
      <c r="AX7" s="76" t="s">
        <v>477</v>
      </c>
      <c r="AY7" s="76" t="s">
        <v>478</v>
      </c>
      <c r="AZ7" s="76" t="s">
        <v>479</v>
      </c>
      <c r="BA7" s="77" t="s">
        <v>480</v>
      </c>
      <c r="BB7" s="75" t="s">
        <v>481</v>
      </c>
      <c r="BC7" s="76" t="s">
        <v>482</v>
      </c>
      <c r="BD7" s="76" t="s">
        <v>483</v>
      </c>
      <c r="BE7" s="76" t="s">
        <v>484</v>
      </c>
      <c r="BF7" s="76" t="s">
        <v>485</v>
      </c>
      <c r="BG7" s="76" t="s">
        <v>486</v>
      </c>
      <c r="BH7" s="76" t="s">
        <v>487</v>
      </c>
      <c r="BI7" s="76" t="s">
        <v>488</v>
      </c>
      <c r="BJ7" s="76" t="s">
        <v>489</v>
      </c>
      <c r="BK7" s="76" t="s">
        <v>490</v>
      </c>
      <c r="BL7" s="76" t="s">
        <v>491</v>
      </c>
      <c r="BM7" s="77" t="s">
        <v>492</v>
      </c>
      <c r="BN7" s="75" t="s">
        <v>493</v>
      </c>
      <c r="BO7" s="76" t="s">
        <v>494</v>
      </c>
      <c r="BP7" s="76" t="s">
        <v>495</v>
      </c>
      <c r="BQ7" s="76" t="s">
        <v>496</v>
      </c>
      <c r="BR7" s="76" t="s">
        <v>497</v>
      </c>
      <c r="BS7" s="76" t="s">
        <v>498</v>
      </c>
      <c r="BT7" s="76" t="s">
        <v>499</v>
      </c>
      <c r="BU7" s="76" t="s">
        <v>500</v>
      </c>
      <c r="BV7" s="76" t="s">
        <v>501</v>
      </c>
      <c r="BW7" s="76" t="s">
        <v>502</v>
      </c>
      <c r="BX7" s="76" t="s">
        <v>503</v>
      </c>
      <c r="BY7" s="77" t="s">
        <v>504</v>
      </c>
      <c r="BZ7" s="76" t="s">
        <v>505</v>
      </c>
      <c r="CA7" s="76" t="s">
        <v>506</v>
      </c>
      <c r="CB7" s="76" t="s">
        <v>507</v>
      </c>
      <c r="CC7" s="76" t="s">
        <v>508</v>
      </c>
      <c r="CD7" s="76" t="s">
        <v>509</v>
      </c>
      <c r="CE7" s="76" t="s">
        <v>510</v>
      </c>
      <c r="CF7" s="76" t="s">
        <v>511</v>
      </c>
      <c r="CG7" s="76" t="s">
        <v>512</v>
      </c>
      <c r="CH7" s="76" t="s">
        <v>513</v>
      </c>
      <c r="CI7" s="76" t="s">
        <v>514</v>
      </c>
      <c r="CJ7" s="76" t="s">
        <v>515</v>
      </c>
      <c r="CK7" s="76" t="s">
        <v>516</v>
      </c>
      <c r="CL7" s="75" t="s">
        <v>517</v>
      </c>
      <c r="CM7" s="76" t="s">
        <v>518</v>
      </c>
      <c r="CN7" s="76" t="s">
        <v>519</v>
      </c>
      <c r="CO7" s="76" t="s">
        <v>520</v>
      </c>
      <c r="CP7" s="76" t="s">
        <v>521</v>
      </c>
      <c r="CQ7" s="76" t="s">
        <v>522</v>
      </c>
      <c r="CR7" s="76" t="s">
        <v>523</v>
      </c>
      <c r="CS7" s="76" t="s">
        <v>524</v>
      </c>
      <c r="CT7" s="76" t="s">
        <v>525</v>
      </c>
      <c r="CU7" s="76" t="s">
        <v>526</v>
      </c>
      <c r="CV7" s="76" t="s">
        <v>527</v>
      </c>
      <c r="CW7" s="77" t="s">
        <v>528</v>
      </c>
      <c r="CX7" s="75" t="s">
        <v>529</v>
      </c>
      <c r="CY7" s="76" t="s">
        <v>530</v>
      </c>
      <c r="CZ7" s="76" t="s">
        <v>531</v>
      </c>
      <c r="DA7" s="76" t="s">
        <v>532</v>
      </c>
      <c r="DB7" s="76" t="s">
        <v>533</v>
      </c>
      <c r="DC7" s="76" t="s">
        <v>534</v>
      </c>
      <c r="DD7" s="76" t="s">
        <v>535</v>
      </c>
      <c r="DE7" s="76" t="s">
        <v>536</v>
      </c>
      <c r="DF7" s="76" t="s">
        <v>537</v>
      </c>
      <c r="DG7" s="76" t="s">
        <v>538</v>
      </c>
      <c r="DH7" s="76" t="s">
        <v>539</v>
      </c>
      <c r="DI7" s="77" t="s">
        <v>540</v>
      </c>
      <c r="DJ7" s="75" t="s">
        <v>541</v>
      </c>
      <c r="DK7" s="76" t="s">
        <v>542</v>
      </c>
      <c r="DL7" s="76" t="s">
        <v>543</v>
      </c>
      <c r="DM7" s="76" t="s">
        <v>544</v>
      </c>
      <c r="DN7" s="76" t="s">
        <v>545</v>
      </c>
      <c r="DO7" s="76" t="s">
        <v>546</v>
      </c>
      <c r="DP7" s="76" t="s">
        <v>547</v>
      </c>
      <c r="DQ7" s="76" t="s">
        <v>548</v>
      </c>
      <c r="DR7" s="76" t="s">
        <v>549</v>
      </c>
      <c r="DS7" s="76" t="s">
        <v>550</v>
      </c>
      <c r="DT7" s="76" t="s">
        <v>551</v>
      </c>
      <c r="DU7" s="77" t="s">
        <v>552</v>
      </c>
      <c r="DV7" s="42" t="s">
        <v>707</v>
      </c>
      <c r="DW7" s="42" t="s">
        <v>708</v>
      </c>
      <c r="DX7" s="42" t="s">
        <v>709</v>
      </c>
      <c r="DY7" s="42" t="s">
        <v>710</v>
      </c>
      <c r="DZ7" s="42" t="s">
        <v>711</v>
      </c>
      <c r="EA7" s="42" t="s">
        <v>712</v>
      </c>
      <c r="EB7" s="42" t="s">
        <v>713</v>
      </c>
      <c r="EC7" s="42" t="s">
        <v>714</v>
      </c>
      <c r="ED7" s="42" t="s">
        <v>715</v>
      </c>
      <c r="EE7" s="42" t="s">
        <v>716</v>
      </c>
      <c r="EF7" s="42" t="s">
        <v>717</v>
      </c>
      <c r="EG7" s="42" t="s">
        <v>718</v>
      </c>
      <c r="EH7" s="42" t="s">
        <v>741</v>
      </c>
      <c r="EI7" s="42" t="s">
        <v>742</v>
      </c>
      <c r="EJ7" s="42" t="s">
        <v>743</v>
      </c>
      <c r="EK7" s="42" t="s">
        <v>744</v>
      </c>
      <c r="EL7" s="42" t="s">
        <v>745</v>
      </c>
      <c r="EM7" s="42" t="s">
        <v>746</v>
      </c>
      <c r="EN7" s="42" t="s">
        <v>747</v>
      </c>
      <c r="EO7" s="42" t="s">
        <v>748</v>
      </c>
      <c r="EP7" s="42" t="s">
        <v>749</v>
      </c>
      <c r="EQ7" s="42" t="s">
        <v>750</v>
      </c>
      <c r="ER7" s="42" t="s">
        <v>751</v>
      </c>
      <c r="ES7" s="42" t="s">
        <v>752</v>
      </c>
      <c r="ET7" s="393" t="s">
        <v>759</v>
      </c>
      <c r="EU7" s="393" t="s">
        <v>760</v>
      </c>
      <c r="EV7" s="393" t="s">
        <v>761</v>
      </c>
      <c r="EW7" s="393" t="s">
        <v>762</v>
      </c>
      <c r="EX7" s="393" t="s">
        <v>763</v>
      </c>
      <c r="EY7" s="393" t="s">
        <v>764</v>
      </c>
      <c r="EZ7" s="393" t="s">
        <v>765</v>
      </c>
      <c r="FA7" s="393" t="s">
        <v>766</v>
      </c>
      <c r="FB7" s="393" t="s">
        <v>767</v>
      </c>
      <c r="FC7" s="393" t="s">
        <v>768</v>
      </c>
      <c r="FD7" s="393" t="s">
        <v>769</v>
      </c>
      <c r="FE7" s="393" t="s">
        <v>770</v>
      </c>
      <c r="FF7" s="393" t="s">
        <v>782</v>
      </c>
      <c r="FG7" s="393" t="s">
        <v>783</v>
      </c>
      <c r="FH7" s="393" t="s">
        <v>784</v>
      </c>
      <c r="FI7" s="393" t="s">
        <v>785</v>
      </c>
      <c r="FJ7" s="393" t="s">
        <v>786</v>
      </c>
      <c r="FK7" s="393" t="s">
        <v>787</v>
      </c>
      <c r="FL7" s="393" t="s">
        <v>788</v>
      </c>
      <c r="FM7" s="393" t="s">
        <v>789</v>
      </c>
      <c r="FN7" s="393" t="s">
        <v>790</v>
      </c>
      <c r="FO7" s="393" t="s">
        <v>791</v>
      </c>
      <c r="FP7" s="393" t="s">
        <v>792</v>
      </c>
      <c r="FQ7" s="393" t="s">
        <v>793</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v>68470908.439999998</v>
      </c>
      <c r="FH10" s="378">
        <v>98709545.510000005</v>
      </c>
      <c r="FI10" s="378">
        <v>106791818.52</v>
      </c>
      <c r="FJ10" s="378">
        <v>94372185.030000001</v>
      </c>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v>9361661.1500000004</v>
      </c>
      <c r="FH11" s="376">
        <v>9044961.5800000001</v>
      </c>
      <c r="FI11" s="376">
        <v>10767101.800000001</v>
      </c>
      <c r="FJ11" s="376">
        <v>10210712.41</v>
      </c>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v>1962550.32</v>
      </c>
      <c r="FH12" s="376">
        <v>22465664.23</v>
      </c>
      <c r="FI12" s="376">
        <v>20408432.98</v>
      </c>
      <c r="FJ12" s="376">
        <v>4781744.7</v>
      </c>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v>169568.16</v>
      </c>
      <c r="FH13" s="376">
        <v>146352.49</v>
      </c>
      <c r="FI13" s="376">
        <v>204359.36</v>
      </c>
      <c r="FJ13" s="376">
        <v>147510.5</v>
      </c>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v>38958365.399999999</v>
      </c>
      <c r="FH14" s="376">
        <v>50498218.18</v>
      </c>
      <c r="FI14" s="376">
        <v>55142838.460000001</v>
      </c>
      <c r="FJ14" s="376">
        <v>56428341.859999999</v>
      </c>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v>13186126.23</v>
      </c>
      <c r="FH15" s="376">
        <v>13315087.640000001</v>
      </c>
      <c r="FI15" s="376">
        <v>16826313.73</v>
      </c>
      <c r="FJ15" s="376">
        <v>19442485.359999999</v>
      </c>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v>1733788.33</v>
      </c>
      <c r="FH16" s="376">
        <v>2462209.73</v>
      </c>
      <c r="FI16" s="376">
        <v>2531899.16</v>
      </c>
      <c r="FJ16" s="376">
        <v>2502520.2799999998</v>
      </c>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v>3098848.85</v>
      </c>
      <c r="FH17" s="376">
        <v>777051.66</v>
      </c>
      <c r="FI17" s="376">
        <v>910873.03</v>
      </c>
      <c r="FJ17" s="376">
        <v>858869.92</v>
      </c>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v>41912269.380000003</v>
      </c>
      <c r="FH18" s="378">
        <v>41047599.18</v>
      </c>
      <c r="FI18" s="378">
        <v>50290988.939999998</v>
      </c>
      <c r="FJ18" s="378">
        <v>37496285.130000003</v>
      </c>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v>24593790.260000002</v>
      </c>
      <c r="FH19" s="376">
        <v>23923752.719999999</v>
      </c>
      <c r="FI19" s="376">
        <v>29650595.870000001</v>
      </c>
      <c r="FJ19" s="376">
        <v>22104934.850000001</v>
      </c>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v>15122476.890000001</v>
      </c>
      <c r="FH20" s="376">
        <v>14777265.789999999</v>
      </c>
      <c r="FI20" s="376">
        <v>17925167.550000001</v>
      </c>
      <c r="FJ20" s="376">
        <v>13458982.5</v>
      </c>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v>1160315.8500000001</v>
      </c>
      <c r="FH21" s="376">
        <v>1135767.8899999999</v>
      </c>
      <c r="FI21" s="376">
        <v>1375720.59</v>
      </c>
      <c r="FJ21" s="376">
        <v>1026106.03</v>
      </c>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v>1035686.38</v>
      </c>
      <c r="FH22" s="376">
        <v>1210812.78</v>
      </c>
      <c r="FI22" s="376">
        <v>1339504.93</v>
      </c>
      <c r="FJ22" s="376">
        <v>906261.75</v>
      </c>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851162.27</v>
      </c>
      <c r="FG23" s="378">
        <v>1041125.39</v>
      </c>
      <c r="FH23" s="378">
        <v>1066481.8799999999</v>
      </c>
      <c r="FI23" s="378">
        <v>1290371.49</v>
      </c>
      <c r="FJ23" s="378">
        <v>1119638.28</v>
      </c>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649124.48</v>
      </c>
      <c r="FG24" s="376">
        <v>818776.7</v>
      </c>
      <c r="FH24" s="376">
        <v>802029.06</v>
      </c>
      <c r="FI24" s="376">
        <v>949723.87</v>
      </c>
      <c r="FJ24" s="376">
        <v>766319.06</v>
      </c>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v>85955.36</v>
      </c>
      <c r="FH25" s="376">
        <v>106907.98</v>
      </c>
      <c r="FI25" s="376">
        <v>128950.69</v>
      </c>
      <c r="FJ25" s="376">
        <v>89857.44</v>
      </c>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v>28443.63</v>
      </c>
      <c r="FH26" s="376">
        <v>40268.589999999997</v>
      </c>
      <c r="FI26" s="376">
        <v>55742.67</v>
      </c>
      <c r="FJ26" s="376">
        <v>91165.22</v>
      </c>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v>107949.7</v>
      </c>
      <c r="FH27" s="376">
        <v>117276.25</v>
      </c>
      <c r="FI27" s="376">
        <v>155954.26</v>
      </c>
      <c r="FJ27" s="376">
        <v>172296.56</v>
      </c>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v>1541397.86</v>
      </c>
      <c r="FH28" s="378">
        <v>2408517.5</v>
      </c>
      <c r="FI28" s="378">
        <v>3310133.38</v>
      </c>
      <c r="FJ28" s="378">
        <v>1792591.2</v>
      </c>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v>10696.96</v>
      </c>
      <c r="FH29" s="376">
        <v>76041.279999999999</v>
      </c>
      <c r="FI29" s="376">
        <v>41798.769999999997</v>
      </c>
      <c r="FJ29" s="376">
        <v>88788.45</v>
      </c>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v>101009.27</v>
      </c>
      <c r="FH30" s="376">
        <v>694197.59</v>
      </c>
      <c r="FI30" s="376">
        <v>315889.09000000003</v>
      </c>
      <c r="FJ30" s="376">
        <v>290980.86</v>
      </c>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v>46657.06</v>
      </c>
      <c r="FH31" s="376">
        <v>40888.620000000003</v>
      </c>
      <c r="FI31" s="376">
        <v>41064.94</v>
      </c>
      <c r="FJ31" s="376">
        <v>48239.28</v>
      </c>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771</v>
      </c>
      <c r="EN32" s="376" t="s">
        <v>772</v>
      </c>
      <c r="EO32" s="376">
        <v>608693.02</v>
      </c>
      <c r="EP32" s="376" t="s">
        <v>773</v>
      </c>
      <c r="EQ32" s="376">
        <v>179273.43</v>
      </c>
      <c r="ER32" s="376" t="s">
        <v>774</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v>660078.18000000005</v>
      </c>
      <c r="FH32" s="376">
        <v>634606.16</v>
      </c>
      <c r="FI32" s="376">
        <v>1775211.97</v>
      </c>
      <c r="FJ32" s="376">
        <v>687337.58</v>
      </c>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v>203595.89</v>
      </c>
      <c r="FH33" s="376">
        <v>241900.04</v>
      </c>
      <c r="FI33" s="376">
        <v>248172.78</v>
      </c>
      <c r="FJ33" s="376">
        <v>300826.94</v>
      </c>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v>519360.5</v>
      </c>
      <c r="FH34" s="376">
        <v>720883.81</v>
      </c>
      <c r="FI34" s="376">
        <v>887995.83</v>
      </c>
      <c r="FJ34" s="376">
        <v>376418.09</v>
      </c>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1567288.04</v>
      </c>
      <c r="FG35" s="378">
        <v>2199531.1</v>
      </c>
      <c r="FH35" s="378">
        <v>3194097.81</v>
      </c>
      <c r="FI35" s="378">
        <v>2385711.15</v>
      </c>
      <c r="FJ35" s="378">
        <v>7159438.3899999997</v>
      </c>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v>248883.21</v>
      </c>
      <c r="FH36" s="376">
        <v>186917.08</v>
      </c>
      <c r="FI36" s="376">
        <v>63899.67</v>
      </c>
      <c r="FJ36" s="376">
        <v>3605086.71</v>
      </c>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v>943704.64</v>
      </c>
      <c r="FH37" s="376">
        <v>1029233.16</v>
      </c>
      <c r="FI37" s="376">
        <v>1018399.18</v>
      </c>
      <c r="FJ37" s="376">
        <v>1673986.28</v>
      </c>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v>247340.36</v>
      </c>
      <c r="FH38" s="376">
        <v>328409.52</v>
      </c>
      <c r="FI38" s="376">
        <v>261152.7</v>
      </c>
      <c r="FJ38" s="376">
        <v>230706.4</v>
      </c>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474394.59</v>
      </c>
      <c r="FG39" s="376">
        <v>759602.89</v>
      </c>
      <c r="FH39" s="376">
        <v>1649538.05</v>
      </c>
      <c r="FI39" s="376">
        <v>1042259.6</v>
      </c>
      <c r="FJ39" s="376">
        <v>1649659</v>
      </c>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v>177395.91</v>
      </c>
      <c r="FH40" s="378">
        <v>180547.55</v>
      </c>
      <c r="FI40" s="378">
        <v>169636.46</v>
      </c>
      <c r="FJ40" s="378">
        <v>223780.48000000001</v>
      </c>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v>378338.04</v>
      </c>
      <c r="FH43" s="378">
        <v>257172.98</v>
      </c>
      <c r="FI43" s="378">
        <v>349238.34</v>
      </c>
      <c r="FJ43" s="378">
        <v>808656.23</v>
      </c>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13526711.25</v>
      </c>
      <c r="FG46" s="378">
        <v>1001055.74</v>
      </c>
      <c r="FH46" s="378">
        <v>861265.77</v>
      </c>
      <c r="FI46" s="378">
        <v>627154.51</v>
      </c>
      <c r="FJ46" s="378">
        <v>1388870.5</v>
      </c>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v>54000000</v>
      </c>
      <c r="FH51" s="376"/>
      <c r="FI51" s="376">
        <v>74623000</v>
      </c>
      <c r="FJ51" s="376">
        <v>67815000</v>
      </c>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25748930.140000001</v>
      </c>
      <c r="FG52" s="376">
        <v>3819449.69</v>
      </c>
      <c r="FH52" s="376">
        <v>14059999.119999999</v>
      </c>
      <c r="FI52" s="376">
        <v>6496285.4699999997</v>
      </c>
      <c r="FJ52" s="376">
        <v>7856343.8600000003</v>
      </c>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v>38576856.590000004</v>
      </c>
      <c r="FH55" s="376">
        <v>39174668.049999997</v>
      </c>
      <c r="FI55" s="376">
        <v>38923552.049999997</v>
      </c>
      <c r="FJ55" s="376">
        <v>39904782.170000002</v>
      </c>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432717.77</v>
      </c>
      <c r="FG61" s="376">
        <v>1037317.51</v>
      </c>
      <c r="FH61" s="376">
        <v>740149.21</v>
      </c>
      <c r="FI61" s="376">
        <v>1606928.02</v>
      </c>
      <c r="FJ61" s="376">
        <v>1045480.66</v>
      </c>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v>2492370.9900000002</v>
      </c>
      <c r="FH69" s="376">
        <v>2599448.7799999998</v>
      </c>
      <c r="FI69" s="376">
        <v>2488394.38</v>
      </c>
      <c r="FJ69" s="376">
        <v>2262319.3199999998</v>
      </c>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v>4369547.51</v>
      </c>
      <c r="FH76" s="376">
        <v>4665604.76</v>
      </c>
      <c r="FI76" s="376">
        <v>4354213.09</v>
      </c>
      <c r="FJ76" s="376">
        <v>5518669.6799999997</v>
      </c>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v>1534108.39</v>
      </c>
      <c r="FH86" s="376">
        <v>1553347.68</v>
      </c>
      <c r="FI86" s="376">
        <v>1602730.43</v>
      </c>
      <c r="FJ86" s="376">
        <v>1719004.83</v>
      </c>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6154852.9000000004</v>
      </c>
      <c r="FG90" s="376">
        <v>950797.68</v>
      </c>
      <c r="FH90" s="376">
        <v>28695513.649999999</v>
      </c>
      <c r="FI90" s="376">
        <v>18405321.859999999</v>
      </c>
      <c r="FJ90" s="376">
        <v>1152255.24</v>
      </c>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v>779733.65</v>
      </c>
      <c r="FH93" s="376">
        <v>803370.53</v>
      </c>
      <c r="FI93" s="376">
        <v>1122402.21</v>
      </c>
      <c r="FJ93" s="376">
        <v>989005.29</v>
      </c>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v>1819632.21</v>
      </c>
      <c r="FH97" s="376">
        <v>3556257.45</v>
      </c>
      <c r="FI97" s="376">
        <v>1298353.71</v>
      </c>
      <c r="FJ97" s="376">
        <v>2194236.0299999998</v>
      </c>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v>3360581.13</v>
      </c>
      <c r="FH101" s="376">
        <v>2355848.1</v>
      </c>
      <c r="FI101" s="376">
        <v>5380148.8300000001</v>
      </c>
      <c r="FJ101" s="376">
        <v>2122463.62</v>
      </c>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v>6928715.1699999999</v>
      </c>
      <c r="FH112" s="376">
        <v>6534675.6500000004</v>
      </c>
      <c r="FI112" s="376">
        <v>6641554.0999999996</v>
      </c>
      <c r="FJ112" s="376">
        <v>6410465.4699999997</v>
      </c>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738</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v>1198874.72</v>
      </c>
      <c r="FH121" s="376">
        <v>1110784.77</v>
      </c>
      <c r="FI121" s="376">
        <v>1095242.3400000001</v>
      </c>
      <c r="FJ121" s="376">
        <v>1341095.6299999999</v>
      </c>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v>35530168.719999999</v>
      </c>
      <c r="FH127" s="376">
        <v>35281578.630000003</v>
      </c>
      <c r="FI127" s="376">
        <v>35247727.210000001</v>
      </c>
      <c r="FJ127" s="376">
        <v>35184087.420000002</v>
      </c>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v>1855950.15</v>
      </c>
      <c r="FH135" s="376">
        <v>1427147.65</v>
      </c>
      <c r="FI135" s="376">
        <v>1689956.36</v>
      </c>
      <c r="FJ135" s="376">
        <v>1914804.54</v>
      </c>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v>1082093.31</v>
      </c>
      <c r="FH137" s="376">
        <v>1075486.77</v>
      </c>
      <c r="FI137" s="376">
        <v>779978.55</v>
      </c>
      <c r="FJ137" s="376">
        <v>905277.52</v>
      </c>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v>18630588.73</v>
      </c>
      <c r="FH141" s="376">
        <v>16694917.779999999</v>
      </c>
      <c r="FI141" s="376">
        <v>16109431.9</v>
      </c>
      <c r="FJ141" s="376">
        <v>17254969.68</v>
      </c>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v>16553117.15</v>
      </c>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v>2077471.58</v>
      </c>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733</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26828354.949999999</v>
      </c>
      <c r="FG159" s="376">
        <v>3690450.01</v>
      </c>
      <c r="FH159" s="376">
        <v>14930197.6</v>
      </c>
      <c r="FI159" s="376">
        <v>12096117.390000001</v>
      </c>
      <c r="FJ159" s="376">
        <v>11464377.560000001</v>
      </c>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424</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720914.39</v>
      </c>
      <c r="FG160" s="376">
        <v>3462137.8600000003</v>
      </c>
      <c r="FH160" s="376">
        <v>1772948.37</v>
      </c>
      <c r="FI160" s="376">
        <v>2074285.0700000003</v>
      </c>
      <c r="FJ160" s="376">
        <v>1862038.5</v>
      </c>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v>35272.089999999997</v>
      </c>
      <c r="FH168" s="376"/>
      <c r="FI168" s="376">
        <v>39948396.369999997</v>
      </c>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v>272323.98</v>
      </c>
      <c r="FH171" s="376">
        <v>30000</v>
      </c>
      <c r="FI171" s="376">
        <v>384534</v>
      </c>
      <c r="FJ171" s="376">
        <v>260000</v>
      </c>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18084948.579999998</v>
      </c>
      <c r="FG179" s="376">
        <v>64835364.859999999</v>
      </c>
      <c r="FH179" s="376">
        <v>1062241.2</v>
      </c>
      <c r="FI179" s="376">
        <v>2291816.1800000002</v>
      </c>
      <c r="FJ179" s="376">
        <v>5836708.6600000001</v>
      </c>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v>2530058.2599999998</v>
      </c>
      <c r="FH180" s="376">
        <v>16724343.27</v>
      </c>
      <c r="FI180" s="376">
        <v>16010234.699999999</v>
      </c>
      <c r="FJ180" s="376">
        <v>8741023.1600000001</v>
      </c>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v>494.04</v>
      </c>
      <c r="FH181" s="376">
        <v>7180458.3399999999</v>
      </c>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1205053.3500000001</v>
      </c>
      <c r="FG184" s="376">
        <v>1334117.25</v>
      </c>
      <c r="FH184" s="376">
        <v>1736748.41</v>
      </c>
      <c r="FI184" s="376">
        <v>1788599.55</v>
      </c>
      <c r="FJ184" s="376">
        <v>1459507.08</v>
      </c>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v>1952871.71</v>
      </c>
      <c r="FH185" s="376">
        <v>278787.49</v>
      </c>
      <c r="FI185" s="376">
        <v>1810104.1</v>
      </c>
      <c r="FJ185" s="376">
        <v>1408200</v>
      </c>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698</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689</v>
      </c>
      <c r="F215" s="560">
        <v>2006</v>
      </c>
      <c r="G215" s="561"/>
      <c r="H215" s="561"/>
      <c r="I215" s="561"/>
      <c r="J215" s="561"/>
      <c r="K215" s="561"/>
      <c r="L215" s="561"/>
      <c r="M215" s="561"/>
      <c r="N215" s="561"/>
      <c r="O215" s="561"/>
      <c r="P215" s="561"/>
      <c r="Q215" s="562"/>
      <c r="R215" s="560">
        <v>2007</v>
      </c>
      <c r="S215" s="561"/>
      <c r="T215" s="561"/>
      <c r="U215" s="561"/>
      <c r="V215" s="561"/>
      <c r="W215" s="561"/>
      <c r="X215" s="561"/>
      <c r="Y215" s="561"/>
      <c r="Z215" s="561"/>
      <c r="AA215" s="561"/>
      <c r="AB215" s="561"/>
      <c r="AC215" s="562"/>
      <c r="AD215" s="560">
        <v>2008</v>
      </c>
      <c r="AE215" s="561"/>
      <c r="AF215" s="561"/>
      <c r="AG215" s="561"/>
      <c r="AH215" s="561"/>
      <c r="AI215" s="561"/>
      <c r="AJ215" s="561"/>
      <c r="AK215" s="561"/>
      <c r="AL215" s="561"/>
      <c r="AM215" s="561"/>
      <c r="AN215" s="561"/>
      <c r="AO215" s="562"/>
      <c r="AP215" s="560">
        <v>2009</v>
      </c>
      <c r="AQ215" s="561"/>
      <c r="AR215" s="561"/>
      <c r="AS215" s="561"/>
      <c r="AT215" s="561"/>
      <c r="AU215" s="561"/>
      <c r="AV215" s="561"/>
      <c r="AW215" s="561"/>
      <c r="AX215" s="561"/>
      <c r="AY215" s="561"/>
      <c r="AZ215" s="561"/>
      <c r="BA215" s="562"/>
      <c r="BB215" s="560">
        <v>2010</v>
      </c>
      <c r="BC215" s="561"/>
      <c r="BD215" s="561"/>
      <c r="BE215" s="561"/>
      <c r="BF215" s="561"/>
      <c r="BG215" s="561"/>
      <c r="BH215" s="561"/>
      <c r="BI215" s="561"/>
      <c r="BJ215" s="561"/>
      <c r="BK215" s="561"/>
      <c r="BL215" s="561"/>
      <c r="BM215" s="562"/>
      <c r="BN215" s="560">
        <v>2011</v>
      </c>
      <c r="BO215" s="561"/>
      <c r="BP215" s="561"/>
      <c r="BQ215" s="561"/>
      <c r="BR215" s="561"/>
      <c r="BS215" s="561"/>
      <c r="BT215" s="561"/>
      <c r="BU215" s="561"/>
      <c r="BV215" s="561"/>
      <c r="BW215" s="561"/>
      <c r="BX215" s="561"/>
      <c r="BY215" s="562"/>
      <c r="BZ215" s="561">
        <v>2012</v>
      </c>
      <c r="CA215" s="561"/>
      <c r="CB215" s="561"/>
      <c r="CC215" s="561"/>
      <c r="CD215" s="561"/>
      <c r="CE215" s="561"/>
      <c r="CF215" s="561"/>
      <c r="CG215" s="561"/>
      <c r="CH215" s="561"/>
      <c r="CI215" s="561"/>
      <c r="CJ215" s="561"/>
      <c r="CK215" s="561"/>
      <c r="CL215" s="560">
        <v>2013</v>
      </c>
      <c r="CM215" s="561"/>
      <c r="CN215" s="561"/>
      <c r="CO215" s="561"/>
      <c r="CP215" s="561"/>
      <c r="CQ215" s="561"/>
      <c r="CR215" s="561"/>
      <c r="CS215" s="561"/>
      <c r="CT215" s="561"/>
      <c r="CU215" s="561"/>
      <c r="CV215" s="561"/>
      <c r="CW215" s="562"/>
      <c r="CX215" s="560">
        <v>2014</v>
      </c>
      <c r="CY215" s="561"/>
      <c r="CZ215" s="561"/>
      <c r="DA215" s="561"/>
      <c r="DB215" s="561"/>
      <c r="DC215" s="561"/>
      <c r="DD215" s="561"/>
      <c r="DE215" s="561"/>
      <c r="DF215" s="561"/>
      <c r="DG215" s="561"/>
      <c r="DH215" s="561"/>
      <c r="DI215" s="562"/>
      <c r="DJ215" s="560">
        <v>2015</v>
      </c>
      <c r="DK215" s="561"/>
      <c r="DL215" s="561"/>
      <c r="DM215" s="561"/>
      <c r="DN215" s="561"/>
      <c r="DO215" s="561"/>
      <c r="DP215" s="561"/>
      <c r="DQ215" s="561"/>
      <c r="DR215" s="561"/>
      <c r="DS215" s="561"/>
      <c r="DT215" s="561"/>
      <c r="DU215" s="562"/>
    </row>
    <row r="216" spans="1:175">
      <c r="E216" s="563"/>
      <c r="F216" s="75" t="s">
        <v>569</v>
      </c>
      <c r="G216" s="76" t="s">
        <v>570</v>
      </c>
      <c r="H216" s="76" t="s">
        <v>571</v>
      </c>
      <c r="I216" s="76" t="s">
        <v>572</v>
      </c>
      <c r="J216" s="76" t="s">
        <v>573</v>
      </c>
      <c r="K216" s="76" t="s">
        <v>574</v>
      </c>
      <c r="L216" s="76" t="s">
        <v>575</v>
      </c>
      <c r="M216" s="76" t="s">
        <v>576</v>
      </c>
      <c r="N216" s="76" t="s">
        <v>577</v>
      </c>
      <c r="O216" s="76" t="s">
        <v>578</v>
      </c>
      <c r="P216" s="76" t="s">
        <v>579</v>
      </c>
      <c r="Q216" s="77" t="s">
        <v>580</v>
      </c>
      <c r="R216" s="75" t="s">
        <v>581</v>
      </c>
      <c r="S216" s="76" t="s">
        <v>582</v>
      </c>
      <c r="T216" s="76" t="s">
        <v>583</v>
      </c>
      <c r="U216" s="76" t="s">
        <v>584</v>
      </c>
      <c r="V216" s="76" t="s">
        <v>585</v>
      </c>
      <c r="W216" s="76" t="s">
        <v>586</v>
      </c>
      <c r="X216" s="76" t="s">
        <v>587</v>
      </c>
      <c r="Y216" s="76" t="s">
        <v>588</v>
      </c>
      <c r="Z216" s="76" t="s">
        <v>589</v>
      </c>
      <c r="AA216" s="76" t="s">
        <v>590</v>
      </c>
      <c r="AB216" s="76" t="s">
        <v>591</v>
      </c>
      <c r="AC216" s="77" t="s">
        <v>592</v>
      </c>
      <c r="AD216" s="75" t="s">
        <v>593</v>
      </c>
      <c r="AE216" s="76" t="s">
        <v>594</v>
      </c>
      <c r="AF216" s="76" t="s">
        <v>595</v>
      </c>
      <c r="AG216" s="76" t="s">
        <v>596</v>
      </c>
      <c r="AH216" s="76" t="s">
        <v>597</v>
      </c>
      <c r="AI216" s="76" t="s">
        <v>598</v>
      </c>
      <c r="AJ216" s="76" t="s">
        <v>599</v>
      </c>
      <c r="AK216" s="76" t="s">
        <v>600</v>
      </c>
      <c r="AL216" s="76" t="s">
        <v>601</v>
      </c>
      <c r="AM216" s="76" t="s">
        <v>602</v>
      </c>
      <c r="AN216" s="76" t="s">
        <v>603</v>
      </c>
      <c r="AO216" s="77" t="s">
        <v>604</v>
      </c>
      <c r="AP216" s="75" t="s">
        <v>605</v>
      </c>
      <c r="AQ216" s="76" t="s">
        <v>606</v>
      </c>
      <c r="AR216" s="76" t="s">
        <v>607</v>
      </c>
      <c r="AS216" s="76" t="s">
        <v>608</v>
      </c>
      <c r="AT216" s="76" t="s">
        <v>609</v>
      </c>
      <c r="AU216" s="76" t="s">
        <v>610</v>
      </c>
      <c r="AV216" s="76" t="s">
        <v>611</v>
      </c>
      <c r="AW216" s="76" t="s">
        <v>612</v>
      </c>
      <c r="AX216" s="76" t="s">
        <v>613</v>
      </c>
      <c r="AY216" s="76" t="s">
        <v>614</v>
      </c>
      <c r="AZ216" s="76" t="s">
        <v>615</v>
      </c>
      <c r="BA216" s="77" t="s">
        <v>616</v>
      </c>
      <c r="BB216" s="75" t="s">
        <v>617</v>
      </c>
      <c r="BC216" s="76" t="s">
        <v>618</v>
      </c>
      <c r="BD216" s="76" t="s">
        <v>619</v>
      </c>
      <c r="BE216" s="76" t="s">
        <v>620</v>
      </c>
      <c r="BF216" s="76" t="s">
        <v>621</v>
      </c>
      <c r="BG216" s="76" t="s">
        <v>622</v>
      </c>
      <c r="BH216" s="76" t="s">
        <v>623</v>
      </c>
      <c r="BI216" s="76" t="s">
        <v>624</v>
      </c>
      <c r="BJ216" s="76" t="s">
        <v>625</v>
      </c>
      <c r="BK216" s="76" t="s">
        <v>626</v>
      </c>
      <c r="BL216" s="76" t="s">
        <v>627</v>
      </c>
      <c r="BM216" s="77" t="s">
        <v>628</v>
      </c>
      <c r="BN216" s="75" t="s">
        <v>629</v>
      </c>
      <c r="BO216" s="76" t="s">
        <v>630</v>
      </c>
      <c r="BP216" s="76" t="s">
        <v>631</v>
      </c>
      <c r="BQ216" s="76" t="s">
        <v>632</v>
      </c>
      <c r="BR216" s="76" t="s">
        <v>633</v>
      </c>
      <c r="BS216" s="76" t="s">
        <v>634</v>
      </c>
      <c r="BT216" s="76" t="s">
        <v>635</v>
      </c>
      <c r="BU216" s="76" t="s">
        <v>636</v>
      </c>
      <c r="BV216" s="76" t="s">
        <v>637</v>
      </c>
      <c r="BW216" s="76" t="s">
        <v>638</v>
      </c>
      <c r="BX216" s="76" t="s">
        <v>639</v>
      </c>
      <c r="BY216" s="77" t="s">
        <v>640</v>
      </c>
      <c r="BZ216" s="76" t="s">
        <v>641</v>
      </c>
      <c r="CA216" s="76" t="s">
        <v>642</v>
      </c>
      <c r="CB216" s="76" t="s">
        <v>643</v>
      </c>
      <c r="CC216" s="76" t="s">
        <v>644</v>
      </c>
      <c r="CD216" s="76" t="s">
        <v>645</v>
      </c>
      <c r="CE216" s="76" t="s">
        <v>646</v>
      </c>
      <c r="CF216" s="76" t="s">
        <v>647</v>
      </c>
      <c r="CG216" s="76" t="s">
        <v>648</v>
      </c>
      <c r="CH216" s="76" t="s">
        <v>649</v>
      </c>
      <c r="CI216" s="76" t="s">
        <v>650</v>
      </c>
      <c r="CJ216" s="76" t="s">
        <v>651</v>
      </c>
      <c r="CK216" s="76" t="s">
        <v>652</v>
      </c>
      <c r="CL216" s="75" t="s">
        <v>653</v>
      </c>
      <c r="CM216" s="76" t="s">
        <v>654</v>
      </c>
      <c r="CN216" s="76" t="s">
        <v>655</v>
      </c>
      <c r="CO216" s="76" t="s">
        <v>656</v>
      </c>
      <c r="CP216" s="76" t="s">
        <v>657</v>
      </c>
      <c r="CQ216" s="76" t="s">
        <v>658</v>
      </c>
      <c r="CR216" s="76" t="s">
        <v>659</v>
      </c>
      <c r="CS216" s="76" t="s">
        <v>660</v>
      </c>
      <c r="CT216" s="76" t="s">
        <v>661</v>
      </c>
      <c r="CU216" s="76" t="s">
        <v>662</v>
      </c>
      <c r="CV216" s="76" t="s">
        <v>663</v>
      </c>
      <c r="CW216" s="77" t="s">
        <v>664</v>
      </c>
      <c r="CX216" s="75" t="s">
        <v>665</v>
      </c>
      <c r="CY216" s="76" t="s">
        <v>666</v>
      </c>
      <c r="CZ216" s="76" t="s">
        <v>667</v>
      </c>
      <c r="DA216" s="76" t="s">
        <v>668</v>
      </c>
      <c r="DB216" s="76" t="s">
        <v>669</v>
      </c>
      <c r="DC216" s="76" t="s">
        <v>670</v>
      </c>
      <c r="DD216" s="76" t="s">
        <v>671</v>
      </c>
      <c r="DE216" s="76" t="s">
        <v>672</v>
      </c>
      <c r="DF216" s="76" t="s">
        <v>673</v>
      </c>
      <c r="DG216" s="76" t="s">
        <v>674</v>
      </c>
      <c r="DH216" s="76" t="s">
        <v>675</v>
      </c>
      <c r="DI216" s="77" t="s">
        <v>676</v>
      </c>
      <c r="DJ216" s="75" t="s">
        <v>677</v>
      </c>
      <c r="DK216" s="76" t="s">
        <v>678</v>
      </c>
      <c r="DL216" s="76" t="s">
        <v>679</v>
      </c>
      <c r="DM216" s="76" t="s">
        <v>680</v>
      </c>
      <c r="DN216" s="76" t="s">
        <v>681</v>
      </c>
      <c r="DO216" s="76" t="s">
        <v>682</v>
      </c>
      <c r="DP216" s="76" t="s">
        <v>683</v>
      </c>
      <c r="DQ216" s="76" t="s">
        <v>684</v>
      </c>
      <c r="DR216" s="76" t="s">
        <v>685</v>
      </c>
      <c r="DS216" s="76" t="s">
        <v>686</v>
      </c>
      <c r="DT216" s="76" t="s">
        <v>687</v>
      </c>
      <c r="DU216" s="77" t="s">
        <v>688</v>
      </c>
      <c r="DV216" s="42" t="s">
        <v>719</v>
      </c>
      <c r="DW216" s="42" t="s">
        <v>720</v>
      </c>
      <c r="DX216" s="42" t="s">
        <v>721</v>
      </c>
      <c r="DY216" s="42" t="s">
        <v>722</v>
      </c>
      <c r="DZ216" s="42" t="s">
        <v>723</v>
      </c>
      <c r="EA216" s="42" t="s">
        <v>724</v>
      </c>
      <c r="EB216" s="42" t="s">
        <v>725</v>
      </c>
      <c r="EC216" s="42" t="s">
        <v>726</v>
      </c>
      <c r="ED216" s="42" t="s">
        <v>727</v>
      </c>
      <c r="EE216" s="42" t="s">
        <v>728</v>
      </c>
      <c r="EF216" s="42" t="s">
        <v>729</v>
      </c>
      <c r="EG216" s="42" t="s">
        <v>730</v>
      </c>
      <c r="EH216" s="393" t="s">
        <v>741</v>
      </c>
      <c r="EI216" s="393" t="s">
        <v>742</v>
      </c>
      <c r="EJ216" s="393" t="s">
        <v>743</v>
      </c>
      <c r="EK216" s="393" t="s">
        <v>744</v>
      </c>
      <c r="EL216" s="393" t="s">
        <v>745</v>
      </c>
      <c r="EM216" s="393" t="s">
        <v>746</v>
      </c>
      <c r="EN216" s="393" t="s">
        <v>747</v>
      </c>
      <c r="EO216" s="393" t="s">
        <v>748</v>
      </c>
      <c r="EP216" s="393" t="s">
        <v>749</v>
      </c>
      <c r="EQ216" s="393" t="s">
        <v>750</v>
      </c>
      <c r="ER216" s="393" t="s">
        <v>751</v>
      </c>
      <c r="ES216" s="393" t="s">
        <v>752</v>
      </c>
      <c r="ET216" s="393" t="s">
        <v>759</v>
      </c>
      <c r="EU216" s="393" t="s">
        <v>760</v>
      </c>
      <c r="EV216" s="393" t="s">
        <v>761</v>
      </c>
      <c r="EW216" s="393" t="s">
        <v>762</v>
      </c>
      <c r="EX216" s="393" t="s">
        <v>763</v>
      </c>
      <c r="EY216" s="393" t="s">
        <v>764</v>
      </c>
      <c r="EZ216" s="393" t="s">
        <v>765</v>
      </c>
      <c r="FA216" s="393" t="s">
        <v>766</v>
      </c>
      <c r="FB216" s="393" t="s">
        <v>767</v>
      </c>
      <c r="FC216" s="393" t="s">
        <v>768</v>
      </c>
      <c r="FD216" s="393" t="s">
        <v>769</v>
      </c>
      <c r="FE216" s="393" t="s">
        <v>770</v>
      </c>
      <c r="FF216" s="393" t="s">
        <v>782</v>
      </c>
      <c r="FG216" s="393" t="s">
        <v>783</v>
      </c>
      <c r="FH216" s="393" t="s">
        <v>784</v>
      </c>
      <c r="FI216" s="393" t="s">
        <v>785</v>
      </c>
      <c r="FJ216" s="393" t="s">
        <v>786</v>
      </c>
      <c r="FK216" s="393" t="s">
        <v>787</v>
      </c>
      <c r="FL216" s="393" t="s">
        <v>788</v>
      </c>
      <c r="FM216" s="393" t="s">
        <v>789</v>
      </c>
      <c r="FN216" s="393" t="s">
        <v>790</v>
      </c>
      <c r="FO216" s="393" t="s">
        <v>791</v>
      </c>
      <c r="FP216" s="393" t="s">
        <v>792</v>
      </c>
      <c r="FQ216" s="393" t="s">
        <v>793</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553</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424</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698</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BZ6:CK6"/>
    <mergeCell ref="CL6:CW6"/>
    <mergeCell ref="CX6:DI6"/>
    <mergeCell ref="DJ6:DU6"/>
    <mergeCell ref="F6:Q6"/>
    <mergeCell ref="R6:AC6"/>
    <mergeCell ref="AD6:AO6"/>
    <mergeCell ref="AP6:BA6"/>
    <mergeCell ref="BB6:BM6"/>
    <mergeCell ref="BN6:BY6"/>
    <mergeCell ref="E6:E7"/>
    <mergeCell ref="E215:E216"/>
    <mergeCell ref="F215:Q215"/>
    <mergeCell ref="R215:AC215"/>
    <mergeCell ref="AD215:AO215"/>
    <mergeCell ref="CX215:DI215"/>
    <mergeCell ref="DJ215:DU215"/>
    <mergeCell ref="AP215:BA215"/>
    <mergeCell ref="BB215:BM215"/>
    <mergeCell ref="BN215:BY215"/>
    <mergeCell ref="BZ215:CK215"/>
    <mergeCell ref="CL215:CW215"/>
  </mergeCells>
  <pageMargins left="0.7" right="0.7" top="0.75" bottom="0.75" header="0.3" footer="0.3"/>
  <pageSetup orientation="portrait" verticalDpi="0"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9" activePane="bottomLeft" state="frozen"/>
      <selection pane="bottomLeft" activeCell="E85" sqref="E85"/>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5</v>
      </c>
      <c r="C3" s="56" t="s">
        <v>1</v>
      </c>
      <c r="E3" s="9" t="s">
        <v>2</v>
      </c>
      <c r="F3" s="10" t="s">
        <v>3</v>
      </c>
      <c r="G3" s="52" t="str">
        <f>+IF(ISBLANK(IF($B$2=1,E3,F3)),"",IF($B$2=1,E3,F3))</f>
        <v>Engleski</v>
      </c>
    </row>
    <row r="4" spans="2:7" ht="15.75" thickBot="1">
      <c r="B4" s="305">
        <v>2019</v>
      </c>
      <c r="C4" s="56" t="s">
        <v>693</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780</v>
      </c>
      <c r="F11" s="12" t="s">
        <v>781</v>
      </c>
      <c r="G11" s="52" t="str">
        <f t="shared" si="0"/>
        <v>Montly Data 2019</v>
      </c>
    </row>
    <row r="12" spans="2:7">
      <c r="D12" s="41"/>
      <c r="E12" s="11" t="s">
        <v>778</v>
      </c>
      <c r="F12" s="12" t="s">
        <v>779</v>
      </c>
      <c r="G12" s="52" t="str">
        <f t="shared" si="0"/>
        <v>Montly Data 2018</v>
      </c>
    </row>
    <row r="13" spans="2:7">
      <c r="D13" s="41"/>
      <c r="E13" s="11" t="s">
        <v>753</v>
      </c>
      <c r="F13" s="12" t="s">
        <v>754</v>
      </c>
      <c r="G13" s="52" t="str">
        <f t="shared" si="0"/>
        <v>Montly Data 2017</v>
      </c>
    </row>
    <row r="14" spans="2:7">
      <c r="D14" s="41"/>
      <c r="E14" s="11" t="s">
        <v>731</v>
      </c>
      <c r="F14" s="12" t="s">
        <v>732</v>
      </c>
      <c r="G14" s="52" t="str">
        <f t="shared" si="0"/>
        <v>Montly Data 2016</v>
      </c>
    </row>
    <row r="15" spans="2:7">
      <c r="E15" s="11" t="s">
        <v>702</v>
      </c>
      <c r="F15" s="12" t="s">
        <v>703</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755</v>
      </c>
      <c r="F18" s="12" t="s">
        <v>756</v>
      </c>
      <c r="G18" s="52" t="str">
        <f t="shared" si="0"/>
        <v>Montly Data 2012</v>
      </c>
    </row>
    <row r="19" spans="2:7">
      <c r="E19" s="11" t="s">
        <v>757</v>
      </c>
      <c r="F19" s="12" t="s">
        <v>758</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694</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737</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775</v>
      </c>
      <c r="F79" s="16" t="s">
        <v>123</v>
      </c>
      <c r="G79" s="52" t="str">
        <f t="shared" si="1"/>
        <v>Total Expenditures</v>
      </c>
    </row>
    <row r="80" spans="2:7">
      <c r="B80" s="20"/>
      <c r="C80" s="44"/>
      <c r="D80" s="44">
        <v>40</v>
      </c>
      <c r="E80" s="15" t="s">
        <v>124</v>
      </c>
      <c r="F80" s="16" t="s">
        <v>125</v>
      </c>
      <c r="G80" s="52" t="str">
        <f t="shared" si="1"/>
        <v>Current Expenditures</v>
      </c>
    </row>
    <row r="81" spans="2:7">
      <c r="B81" s="13"/>
      <c r="C81" s="44"/>
      <c r="D81" s="44">
        <v>41</v>
      </c>
      <c r="E81" s="15" t="s">
        <v>796</v>
      </c>
      <c r="F81" s="16" t="s">
        <v>797</v>
      </c>
      <c r="G81" s="52" t="str">
        <f t="shared" si="1"/>
        <v>Current Budgetary Consumption</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734</v>
      </c>
      <c r="F96" s="22" t="s">
        <v>736</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734</v>
      </c>
      <c r="F148" s="22" t="s">
        <v>735</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553</v>
      </c>
      <c r="F187" s="16" t="s">
        <v>325</v>
      </c>
      <c r="G187" s="52" t="str">
        <f t="shared" si="2"/>
        <v>Capital Expenditure</v>
      </c>
    </row>
    <row r="188" spans="2:7">
      <c r="B188" s="25"/>
      <c r="C188" s="44"/>
      <c r="D188" s="44">
        <v>440</v>
      </c>
      <c r="E188" s="15" t="s">
        <v>424</v>
      </c>
      <c r="F188" s="16" t="s">
        <v>425</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556</v>
      </c>
      <c r="F219" s="96" t="s">
        <v>557</v>
      </c>
      <c r="G219" s="52" t="str">
        <f t="shared" si="3"/>
        <v>Surplus / deficit</v>
      </c>
    </row>
    <row r="220" spans="2:7">
      <c r="B220" s="25"/>
      <c r="C220" s="49"/>
      <c r="D220" s="49">
        <v>1001</v>
      </c>
      <c r="E220" s="30" t="s">
        <v>558</v>
      </c>
      <c r="F220" s="96" t="s">
        <v>559</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554</v>
      </c>
      <c r="F222" s="96" t="s">
        <v>560</v>
      </c>
      <c r="G222" s="52" t="str">
        <f t="shared" si="3"/>
        <v>Financing needs</v>
      </c>
    </row>
    <row r="223" spans="2:7">
      <c r="B223" s="25"/>
      <c r="C223" s="49"/>
      <c r="D223" s="49">
        <v>1003</v>
      </c>
      <c r="E223" s="30" t="s">
        <v>555</v>
      </c>
      <c r="F223" s="96" t="s">
        <v>561</v>
      </c>
      <c r="G223" s="52" t="str">
        <f t="shared" si="3"/>
        <v>Financing</v>
      </c>
    </row>
    <row r="224" spans="2:7">
      <c r="B224" s="25"/>
      <c r="C224" s="49"/>
      <c r="D224" s="49"/>
      <c r="E224" s="30"/>
      <c r="F224" s="96"/>
      <c r="G224" s="52" t="str">
        <f t="shared" si="3"/>
        <v/>
      </c>
    </row>
    <row r="225" spans="2:7">
      <c r="B225" s="25"/>
      <c r="C225" s="49"/>
      <c r="D225" s="49">
        <v>1004</v>
      </c>
      <c r="E225" s="30" t="s">
        <v>562</v>
      </c>
      <c r="F225" s="96" t="s">
        <v>563</v>
      </c>
      <c r="G225" s="52" t="str">
        <f t="shared" si="3"/>
        <v>Increase / decrease of deposits</v>
      </c>
    </row>
    <row r="226" spans="2:7">
      <c r="B226" s="25"/>
      <c r="C226" s="49"/>
      <c r="D226" s="49"/>
      <c r="E226" s="30"/>
      <c r="F226" s="96"/>
    </row>
    <row r="227" spans="2:7">
      <c r="B227" s="25"/>
      <c r="C227" s="49"/>
      <c r="D227" s="49">
        <v>1005</v>
      </c>
      <c r="E227" s="30" t="s">
        <v>698</v>
      </c>
      <c r="F227" s="96" t="s">
        <v>699</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426</v>
      </c>
      <c r="D231" s="49">
        <v>1</v>
      </c>
      <c r="E231" s="9" t="s">
        <v>379</v>
      </c>
      <c r="F231" s="10" t="s">
        <v>380</v>
      </c>
      <c r="G231" s="52" t="str">
        <f t="shared" si="3"/>
        <v>January</v>
      </c>
    </row>
    <row r="232" spans="2:7">
      <c r="C232" s="41" t="s">
        <v>431</v>
      </c>
      <c r="D232" s="49">
        <v>2</v>
      </c>
      <c r="E232" s="9" t="s">
        <v>381</v>
      </c>
      <c r="F232" s="10" t="s">
        <v>382</v>
      </c>
      <c r="G232" s="52" t="str">
        <f t="shared" si="3"/>
        <v>February</v>
      </c>
    </row>
    <row r="233" spans="2:7">
      <c r="C233" s="41" t="s">
        <v>432</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May</v>
      </c>
    </row>
    <row r="245" spans="4:7">
      <c r="D245" s="49"/>
      <c r="E245" s="9"/>
      <c r="F245" s="10"/>
      <c r="G245" s="52" t="str">
        <f>+CONCATENATE("Jan - ",LEFT(G244,3))</f>
        <v>Jan - May</v>
      </c>
    </row>
    <row r="246" spans="4:7">
      <c r="D246" s="49"/>
      <c r="E246" s="9"/>
      <c r="F246" s="10"/>
      <c r="G246" s="52" t="str">
        <f>+CONCATENATE("Jan - ",LEFT(G242,3))</f>
        <v>Jan - Dec</v>
      </c>
    </row>
    <row r="247" spans="4:7">
      <c r="D247" s="49"/>
      <c r="E247" s="9"/>
      <c r="F247" s="10"/>
    </row>
    <row r="248" spans="4:7">
      <c r="D248" s="46"/>
      <c r="E248" s="9" t="s">
        <v>429</v>
      </c>
      <c r="F248" s="10" t="s">
        <v>430</v>
      </c>
      <c r="G248" s="52" t="str">
        <f t="shared" si="3"/>
        <v>GDP</v>
      </c>
    </row>
    <row r="249" spans="4:7">
      <c r="D249" s="46"/>
      <c r="E249" s="9"/>
      <c r="F249" s="10"/>
      <c r="G249" s="52" t="str">
        <f>+CONCATENATE("% ",G248)</f>
        <v>% GDP</v>
      </c>
    </row>
    <row r="250" spans="4:7">
      <c r="D250" s="46"/>
      <c r="E250" s="9"/>
      <c r="F250" s="10"/>
    </row>
    <row r="251" spans="4:7">
      <c r="D251" s="46"/>
      <c r="E251" s="9" t="s">
        <v>567</v>
      </c>
      <c r="F251" s="10" t="s">
        <v>564</v>
      </c>
      <c r="G251" s="52" t="str">
        <f t="shared" si="3"/>
        <v>Budget Execution</v>
      </c>
    </row>
    <row r="252" spans="4:7">
      <c r="D252" s="46"/>
      <c r="E252" s="9" t="s">
        <v>565</v>
      </c>
      <c r="F252" s="10" t="s">
        <v>566</v>
      </c>
      <c r="G252" s="52" t="str">
        <f t="shared" si="3"/>
        <v>Planned Budget Execution</v>
      </c>
    </row>
    <row r="253" spans="4:7">
      <c r="D253" s="46"/>
      <c r="E253" s="9" t="str">
        <f>+CONCATENATE("Analitika za period ",G244)</f>
        <v>Analitika za period May</v>
      </c>
      <c r="F253" s="10" t="str">
        <f>+CONCATENATE("Analytics for period ",G244)</f>
        <v>Analytics for period May</v>
      </c>
      <c r="G253" s="52" t="str">
        <f>+IF(ISBLANK(IF($B$2=1,E253,F253)),"",IF($B$2=1,E253,F253))</f>
        <v>Analytics for period May</v>
      </c>
    </row>
    <row r="254" spans="4:7">
      <c r="D254" s="46"/>
      <c r="E254" s="9" t="str">
        <f>+CONCATENATE("Analitika za period ",G245)</f>
        <v>Analitika za period Jan - May</v>
      </c>
      <c r="F254" s="10" t="str">
        <f>+CONCATENATE("Analytics for period ",G245)</f>
        <v>Analytics for period Jan - May</v>
      </c>
      <c r="G254" s="52" t="str">
        <f>+IF(ISBLANK(IF($B$2=1,E254,F254)),"",IF($B$2=1,E254,F254))</f>
        <v>Analytics for period Jan - May</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690</v>
      </c>
      <c r="F260" s="10" t="s">
        <v>691</v>
      </c>
      <c r="G260" s="52" t="str">
        <f t="shared" si="3"/>
        <v>Deviation</v>
      </c>
    </row>
    <row r="261" spans="4:7">
      <c r="D261" s="46"/>
      <c r="E261" s="9"/>
      <c r="F261" s="10"/>
    </row>
    <row r="262" spans="4:7">
      <c r="D262" s="46"/>
      <c r="E262" s="9" t="s">
        <v>695</v>
      </c>
      <c r="F262" s="10" t="s">
        <v>696</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428</v>
      </c>
      <c r="E269" s="9" t="s">
        <v>402</v>
      </c>
      <c r="F269" s="10" t="s">
        <v>403</v>
      </c>
      <c r="G269" s="52" t="str">
        <f>+CONCATENATE(IF(ISBLANK(IF($B$2=1,E269,F269)),"",IF($B$2=1,E269,F269))," ",$G$244)</f>
        <v>Revenues for May</v>
      </c>
    </row>
    <row r="270" spans="4:7">
      <c r="E270" s="9" t="s">
        <v>404</v>
      </c>
      <c r="F270" s="10" t="s">
        <v>405</v>
      </c>
      <c r="G270" s="52" t="str">
        <f>+CONCATENATE(IF(ISBLANK(IF($B$2=1,E270,F270)),"",IF($B$2=1,E270,F270))," ",$G$244)</f>
        <v>Expenditures for May</v>
      </c>
    </row>
    <row r="271" spans="4:7">
      <c r="E271" s="9" t="s">
        <v>740</v>
      </c>
      <c r="F271" s="10" t="s">
        <v>406</v>
      </c>
      <c r="G271" s="52" t="str">
        <f>+CONCATENATE(IF(ISBLANK(IF($B$2=1,E271,F271)),"",IF($B$2=1,E271,F271))," ",$G$244)</f>
        <v>Deficit for May</v>
      </c>
    </row>
    <row r="273" spans="5:7">
      <c r="E273" s="9" t="s">
        <v>407</v>
      </c>
      <c r="F273" s="10" t="s">
        <v>411</v>
      </c>
      <c r="G273" s="52" t="str">
        <f>+CONCATENATE(IF(ISBLANK(IF($B$2=1,E273,F273)),"",IF($B$2=1,E273,F273))," ",$G$244)</f>
        <v>Revenues for period January - May</v>
      </c>
    </row>
    <row r="274" spans="5:7">
      <c r="E274" s="9" t="s">
        <v>408</v>
      </c>
      <c r="F274" s="10" t="s">
        <v>412</v>
      </c>
      <c r="G274" s="52" t="str">
        <f>+CONCATENATE(IF(ISBLANK(IF($B$2=1,E274,F274)),"",IF($B$2=1,E274,F274))," ",$G$244)</f>
        <v>Expenditures for period January - May</v>
      </c>
    </row>
    <row r="275" spans="5:7">
      <c r="E275" s="9" t="s">
        <v>409</v>
      </c>
      <c r="F275" s="10" t="s">
        <v>413</v>
      </c>
      <c r="G275" s="52" t="str">
        <f>+CONCATENATE(IF(ISBLANK(IF($B$2=1,E275,F275)),"",IF($B$2=1,E275,F275))," ",$G$244)</f>
        <v>Deficit for period January - May</v>
      </c>
    </row>
    <row r="277" spans="5:7">
      <c r="E277" s="9" t="s">
        <v>416</v>
      </c>
      <c r="F277" s="10" t="s">
        <v>417</v>
      </c>
      <c r="G277" s="52" t="str">
        <f t="shared" si="3"/>
        <v>Public debt (% GDP)</v>
      </c>
    </row>
    <row r="279" spans="5:7">
      <c r="E279" s="9" t="s">
        <v>414</v>
      </c>
      <c r="F279" s="10" t="s">
        <v>415</v>
      </c>
      <c r="G279" s="52" t="str">
        <f t="shared" si="3"/>
        <v>Breakdown</v>
      </c>
    </row>
    <row r="281" spans="5:7" ht="60">
      <c r="E281" s="301" t="s">
        <v>700</v>
      </c>
      <c r="F281" s="60" t="s">
        <v>701</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topLeftCell="E1" workbookViewId="0">
      <pane ySplit="5" topLeftCell="A6" activePane="bottomLeft" state="frozen"/>
      <selection activeCell="DK219" sqref="DK219"/>
      <selection pane="bottomLeft" activeCell="L17" sqref="L17"/>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May</v>
      </c>
      <c r="E11" s="157"/>
      <c r="F11" s="157"/>
      <c r="G11" s="157"/>
      <c r="H11" s="318" t="str">
        <f>+Master!G273</f>
        <v>Revenues for period January - May</v>
      </c>
      <c r="I11" s="319"/>
      <c r="J11" s="307"/>
      <c r="K11" s="158"/>
    </row>
    <row r="12" spans="3:11">
      <c r="C12" s="156"/>
      <c r="D12" s="160">
        <f>+'Analytics - 2019'!N10</f>
        <v>144137664.75999999</v>
      </c>
      <c r="E12" s="161">
        <f>+D12/'2019'!T7</f>
        <v>3.0100168057469821E-2</v>
      </c>
      <c r="F12" s="157"/>
      <c r="G12" s="157"/>
      <c r="H12" s="320">
        <f>+'Analytics - 2019'!G10</f>
        <v>680530323.25999999</v>
      </c>
      <c r="I12" s="321">
        <f>+H12/'2019'!T7</f>
        <v>0.14211467302760722</v>
      </c>
      <c r="J12" s="307"/>
      <c r="K12" s="158"/>
    </row>
    <row r="13" spans="3:11">
      <c r="C13" s="156"/>
      <c r="D13" s="162" t="s">
        <v>427</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May</v>
      </c>
      <c r="E15" s="157"/>
      <c r="F15" s="157"/>
      <c r="G15" s="157"/>
      <c r="H15" s="318" t="str">
        <f>+Master!G274</f>
        <v>Expenditures for period January - May</v>
      </c>
      <c r="I15" s="319"/>
      <c r="J15" s="307"/>
      <c r="K15" s="158"/>
    </row>
    <row r="16" spans="3:11">
      <c r="C16" s="156"/>
      <c r="D16" s="160">
        <f>+'Analytics - 2019'!N29</f>
        <v>136373040.24000001</v>
      </c>
      <c r="E16" s="161">
        <f>+D16/'2019'!T7</f>
        <v>2.8478686931462226E-2</v>
      </c>
      <c r="F16" s="157"/>
      <c r="G16" s="157"/>
      <c r="H16" s="320">
        <f>+'Analytics - 2019'!G29</f>
        <v>733920536.6400001</v>
      </c>
      <c r="I16" s="321">
        <f>+H16/'2019'!T7</f>
        <v>0.15326411407091844</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May</v>
      </c>
      <c r="E19" s="157"/>
      <c r="F19" s="157"/>
      <c r="G19" s="157"/>
      <c r="H19" s="318" t="str">
        <f>+Master!G275</f>
        <v>Deficit for period January - May</v>
      </c>
      <c r="I19" s="319"/>
      <c r="J19" s="307"/>
      <c r="K19" s="158"/>
    </row>
    <row r="20" spans="3:11">
      <c r="C20" s="156"/>
      <c r="D20" s="160">
        <f>+'Analytics - 2019'!N55</f>
        <v>7764624.5199999809</v>
      </c>
      <c r="E20" s="161">
        <f>+D20/'2019'!T7</f>
        <v>1.6214811260075975E-3</v>
      </c>
      <c r="F20" s="157"/>
      <c r="G20" s="157"/>
      <c r="H20" s="320">
        <f>+'Analytics - 2019'!G55</f>
        <v>-53390213.380000114</v>
      </c>
      <c r="I20" s="321">
        <f>+H20/'2019'!T7</f>
        <v>-1.1149441043311222E-2</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zoomScaleNormal="100" workbookViewId="0">
      <pane ySplit="5" topLeftCell="A6" activePane="bottomLeft" state="frozen"/>
      <selection activeCell="DK219" sqref="DK219"/>
      <selection pane="bottomLeft" activeCell="J10" sqref="J10"/>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customWidth="1"/>
    <col min="9" max="9" width="12.5703125" style="5" customWidth="1"/>
    <col min="10" max="10" width="12.7109375" style="5" customWidth="1"/>
    <col min="11" max="13" width="12.42578125" style="5"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2019-05</v>
      </c>
      <c r="O6" s="168" t="str">
        <f>+CONCATENATE(N6,"p")</f>
        <v>2019-05p</v>
      </c>
      <c r="P6" s="152"/>
      <c r="Q6" s="152"/>
      <c r="R6" s="168" t="str">
        <f>+IF(Master!B3-10&gt;=0,CONCATENATE(Master!B4-1,"-",Master!B3),CONCATENATE(Master!B4-1,"-0",Master!B3))</f>
        <v>2018-05</v>
      </c>
      <c r="S6" s="152"/>
      <c r="T6" s="152"/>
    </row>
    <row r="7" spans="1:20">
      <c r="A7" s="169"/>
      <c r="B7" s="454" t="str">
        <f>+Master!G253</f>
        <v>Analytics for period May</v>
      </c>
      <c r="C7" s="455"/>
      <c r="D7" s="455"/>
      <c r="E7" s="455"/>
      <c r="F7" s="455"/>
      <c r="G7" s="463" t="str">
        <f>+Master!G245</f>
        <v>Jan - May</v>
      </c>
      <c r="H7" s="464"/>
      <c r="I7" s="464"/>
      <c r="J7" s="464"/>
      <c r="K7" s="464"/>
      <c r="L7" s="464"/>
      <c r="M7" s="465"/>
      <c r="N7" s="466" t="str">
        <f>+Master!G244</f>
        <v>May</v>
      </c>
      <c r="O7" s="464"/>
      <c r="P7" s="464"/>
      <c r="Q7" s="464"/>
      <c r="R7" s="464"/>
      <c r="S7" s="464"/>
      <c r="T7" s="467"/>
    </row>
    <row r="8" spans="1:20">
      <c r="A8" s="169"/>
      <c r="B8" s="456"/>
      <c r="C8" s="457"/>
      <c r="D8" s="457"/>
      <c r="E8" s="457"/>
      <c r="F8" s="458"/>
      <c r="G8" s="170" t="str">
        <f>+Master!G23</f>
        <v>Execution</v>
      </c>
      <c r="H8" s="170" t="str">
        <f>+Master!G22</f>
        <v>Plan</v>
      </c>
      <c r="I8" s="450" t="str">
        <f>+Master!G260</f>
        <v>Deviation</v>
      </c>
      <c r="J8" s="450"/>
      <c r="K8" s="170" t="str">
        <f>+CONCATENATE(Master!G245," ",Master!B4-1)</f>
        <v>Jan - May 2018</v>
      </c>
      <c r="L8" s="450" t="str">
        <f>+I8</f>
        <v>Deviation</v>
      </c>
      <c r="M8" s="462"/>
      <c r="N8" s="171" t="str">
        <f>+G8</f>
        <v>Execution</v>
      </c>
      <c r="O8" s="170" t="str">
        <f>+H8</f>
        <v>Plan</v>
      </c>
      <c r="P8" s="450" t="str">
        <f>+I8</f>
        <v>Deviation</v>
      </c>
      <c r="Q8" s="450"/>
      <c r="R8" s="170" t="str">
        <f>+CONCATENATE(Master!G244," ",Master!B4-1)</f>
        <v>May 2018</v>
      </c>
      <c r="S8" s="450" t="str">
        <f>+P8</f>
        <v>Deviation</v>
      </c>
      <c r="T8" s="451"/>
    </row>
    <row r="9" spans="1:20" ht="15.75" thickBot="1">
      <c r="A9" s="169"/>
      <c r="B9" s="459"/>
      <c r="C9" s="460"/>
      <c r="D9" s="460"/>
      <c r="E9" s="460"/>
      <c r="F9" s="461"/>
      <c r="G9" s="162" t="s">
        <v>427</v>
      </c>
      <c r="H9" s="162" t="s">
        <v>427</v>
      </c>
      <c r="I9" s="162" t="s">
        <v>427</v>
      </c>
      <c r="J9" s="162" t="s">
        <v>692</v>
      </c>
      <c r="K9" s="162" t="s">
        <v>427</v>
      </c>
      <c r="L9" s="162" t="s">
        <v>427</v>
      </c>
      <c r="M9" s="172" t="s">
        <v>692</v>
      </c>
      <c r="N9" s="173" t="s">
        <v>427</v>
      </c>
      <c r="O9" s="162" t="s">
        <v>427</v>
      </c>
      <c r="P9" s="162" t="s">
        <v>427</v>
      </c>
      <c r="Q9" s="162" t="s">
        <v>692</v>
      </c>
      <c r="R9" s="162" t="s">
        <v>427</v>
      </c>
      <c r="S9" s="162" t="s">
        <v>427</v>
      </c>
      <c r="T9" s="174" t="s">
        <v>692</v>
      </c>
    </row>
    <row r="10" spans="1:20" ht="15.75" thickBot="1">
      <c r="A10" s="175">
        <v>7</v>
      </c>
      <c r="B10" s="496" t="str">
        <f>+VLOOKUP($A10,Master!$D$27:$G$225,4,FALSE)</f>
        <v>Total Revenues</v>
      </c>
      <c r="C10" s="497"/>
      <c r="D10" s="497"/>
      <c r="E10" s="497"/>
      <c r="F10" s="497"/>
      <c r="G10" s="176">
        <f>+SUMPRODUCT(('2019'!$G10:$R10)*('2019'!$G$5:$R$5&lt;=Master!$B$3)*($A10='2019'!$A$10:$A$66))</f>
        <v>680530323.25999999</v>
      </c>
      <c r="H10" s="176">
        <f>+SUMPRODUCT(('2019'!$G105:$R105)*('2019'!$G$5:$R$5&lt;=Master!$B$3))</f>
        <v>656020648.25238991</v>
      </c>
      <c r="I10" s="177">
        <f>+G10-H10</f>
        <v>24509675.007610083</v>
      </c>
      <c r="J10" s="178">
        <f>+IF(ISNUMBER(G10/H10-1),G10/H10-1,"…")</f>
        <v>3.7361133483988285E-2</v>
      </c>
      <c r="K10" s="176">
        <f>+SUMPRODUCT(('2018'!$G10:$R10)*('2018'!$G$5:$R$5&lt;=Master!$B$3))</f>
        <v>623161327.17000008</v>
      </c>
      <c r="L10" s="177">
        <f>+G10-K10</f>
        <v>57368996.089999914</v>
      </c>
      <c r="M10" s="179">
        <f>+IF(ISNUMBER(G10/K10-1),G10/K10-1,"…")</f>
        <v>9.2061226505395055E-2</v>
      </c>
      <c r="N10" s="176">
        <f>+INDEX('2019'!$1:$1048576,MATCH('Analytics - 2019'!$A10,'2019'!$A:$A,0),MATCH('Analytics - 2019'!$N$6,'2019'!$6:$6,0))</f>
        <v>144137664.75999999</v>
      </c>
      <c r="O10" s="176">
        <f>+INDEX('2019'!$1:$1048576,MATCH(CONCATENATE('Analytics - 2019'!$A10,"p"),'2019'!$A:$A,0),MATCH('Analytics - 2019'!$O$6,'2019'!$101:$101,0))</f>
        <v>144927392.41019922</v>
      </c>
      <c r="P10" s="177">
        <f>+N10-O10</f>
        <v>-789727.65019923449</v>
      </c>
      <c r="Q10" s="178">
        <f>+IF(ISNUMBER(N10/O10-1),N10/O10-1,"…")</f>
        <v>-5.4491261939220159E-3</v>
      </c>
      <c r="R10" s="176">
        <f>+INDEX('2018'!$1:$1048576,MATCH('Analytics - 2019'!$A10,'2018'!$A:$A,0),MATCH('Analytics - 2019'!$R$6,'2018'!$6:$6,0))</f>
        <v>138841162.98999998</v>
      </c>
      <c r="S10" s="177">
        <f>+N10-R10</f>
        <v>5296501.7700000107</v>
      </c>
      <c r="T10" s="179">
        <f>+IF(ISNUMBER(N10/R10-1),N10/R10-1,"…")</f>
        <v>3.814792137963785E-2</v>
      </c>
    </row>
    <row r="11" spans="1:20">
      <c r="A11" s="175">
        <v>711</v>
      </c>
      <c r="B11" s="498" t="str">
        <f>+VLOOKUP($A11,Master!$D$27:$G$225,4,FALSE)</f>
        <v>Taxes</v>
      </c>
      <c r="C11" s="499"/>
      <c r="D11" s="499"/>
      <c r="E11" s="499"/>
      <c r="F11" s="499"/>
      <c r="G11" s="341">
        <f>+SUMPRODUCT(('2019'!$G11:$R11)*('2019'!$G$5:$R$5&lt;=Master!$B$3)*($A11='2019'!$A$10:$A$66))</f>
        <v>440774187.91999996</v>
      </c>
      <c r="H11" s="341">
        <f>+SUMPRODUCT(('2019'!$G106:$R106)*('2019'!$G$5:$R$5&lt;=Master!$B$3))</f>
        <v>422765654.66840667</v>
      </c>
      <c r="I11" s="183">
        <f t="shared" ref="I11:I59" si="0">+G11-H11</f>
        <v>18008533.251593292</v>
      </c>
      <c r="J11" s="184">
        <f t="shared" ref="J11:J59" si="1">+IF(ISNUMBER(G11/H11-1),G11/H11-1,"…")</f>
        <v>4.2596963714373048E-2</v>
      </c>
      <c r="K11" s="341">
        <f>+SUMPRODUCT(('2018'!$G11:$R11)*('2018'!$G$5:$R$5&lt;=Master!$B$3))</f>
        <v>402708443.59999996</v>
      </c>
      <c r="L11" s="183">
        <f>+G11-K11</f>
        <v>38065744.319999993</v>
      </c>
      <c r="M11" s="185">
        <f t="shared" ref="M11:M59" si="2">+IF(ISNUMBER(G11/K11-1),G11/K11-1,"…")</f>
        <v>9.4524326283582205E-2</v>
      </c>
      <c r="N11" s="341">
        <f>+INDEX('2019'!$1:$1048576,MATCH('Analytics - 2019'!$A11,'2019'!$A:$A,0),MATCH('Analytics - 2019'!$N$6,'2019'!$6:$6,0))</f>
        <v>94372185.030000001</v>
      </c>
      <c r="O11" s="341">
        <f>+INDEX('2019'!$1:$1048576,MATCH(CONCATENATE('Analytics - 2019'!$A11,"p"),'2019'!$A:$A,0),MATCH('Analytics - 2019'!$O$6,'2019'!$101:$101,0))</f>
        <v>94699693.448994264</v>
      </c>
      <c r="P11" s="183">
        <f t="shared" ref="P11:P59" si="3">+N11-O11</f>
        <v>-327508.41899426281</v>
      </c>
      <c r="Q11" s="184">
        <f t="shared" ref="Q11:Q59" si="4">+IF(ISNUMBER(N11/O11-1),N11/O11-1,"…")</f>
        <v>-3.458389431541975E-3</v>
      </c>
      <c r="R11" s="341">
        <f>+INDEX('2018'!$1:$1048576,MATCH('Analytics - 2019'!$A11,'2018'!$A:$A,0),MATCH('Analytics - 2019'!$R$6,'2018'!$6:$6,0))</f>
        <v>90553351.069999993</v>
      </c>
      <c r="S11" s="183">
        <f t="shared" ref="S11:S59" si="5">+N11-R11</f>
        <v>3818833.9600000083</v>
      </c>
      <c r="T11" s="185">
        <f t="shared" ref="T11:T59" si="6">+IF(ISNUMBER(N11/R11-1),N11/R11-1,"…")</f>
        <v>4.2172199204952188E-2</v>
      </c>
    </row>
    <row r="12" spans="1:20">
      <c r="A12" s="175">
        <v>7111</v>
      </c>
      <c r="B12" s="484" t="str">
        <f>+VLOOKUP($A12,Master!$D$27:$G$225,4,FALSE)</f>
        <v>Personal Income Tax</v>
      </c>
      <c r="C12" s="485"/>
      <c r="D12" s="485"/>
      <c r="E12" s="485"/>
      <c r="F12" s="485"/>
      <c r="G12" s="188">
        <f>+SUMPRODUCT(('2019'!$G12:$R12)*('2019'!$G$5:$R$5&lt;=Master!$B$3)*($A12='2019'!$A$10:$A$66))</f>
        <v>43625350.75</v>
      </c>
      <c r="H12" s="188">
        <f>+SUMPRODUCT(('2019'!$G107:$R107)*('2019'!$G$5:$R$5&lt;=Master!$B$3))</f>
        <v>38935618.374212332</v>
      </c>
      <c r="I12" s="189">
        <f t="shared" si="0"/>
        <v>4689732.3757876679</v>
      </c>
      <c r="J12" s="190">
        <f t="shared" si="1"/>
        <v>0.12044838560709104</v>
      </c>
      <c r="K12" s="188">
        <f>+SUMPRODUCT(('2018'!$G12:$R12)*('2018'!$G$5:$R$5&lt;=Master!$B$3))</f>
        <v>42625823.950000003</v>
      </c>
      <c r="L12" s="189">
        <f>+G12-K12</f>
        <v>999526.79999999702</v>
      </c>
      <c r="M12" s="191">
        <f t="shared" si="2"/>
        <v>2.3448855819712566E-2</v>
      </c>
      <c r="N12" s="188">
        <f>+INDEX('2019'!$1:$1048576,MATCH('Analytics - 2019'!$A12,'2019'!$A:$A,0),MATCH('Analytics - 2019'!$N$6,'2019'!$6:$6,0))</f>
        <v>10210712.41</v>
      </c>
      <c r="O12" s="188">
        <f>+INDEX('2019'!$1:$1048576,MATCH(CONCATENATE('Analytics - 2019'!$A12,"p"),'2019'!$A:$A,0),MATCH('Analytics - 2019'!$O$6,'2019'!$101:$101,0))</f>
        <v>9315147.433583051</v>
      </c>
      <c r="P12" s="189">
        <f t="shared" si="3"/>
        <v>895564.97641694918</v>
      </c>
      <c r="Q12" s="190">
        <f t="shared" si="4"/>
        <v>9.6140719489661519E-2</v>
      </c>
      <c r="R12" s="188">
        <f>+INDEX('2018'!$1:$1048576,MATCH('Analytics - 2019'!$A12,'2018'!$A:$A,0),MATCH('Analytics - 2019'!$R$6,'2018'!$6:$6,0))</f>
        <v>10330673.77</v>
      </c>
      <c r="S12" s="189">
        <f t="shared" si="5"/>
        <v>-119961.3599999994</v>
      </c>
      <c r="T12" s="191">
        <f t="shared" si="6"/>
        <v>-1.1612152573084233E-2</v>
      </c>
    </row>
    <row r="13" spans="1:20">
      <c r="A13" s="175">
        <v>7112</v>
      </c>
      <c r="B13" s="484" t="str">
        <f>+VLOOKUP($A13,Master!$D$27:$G$225,4,FALSE)</f>
        <v>Corporate Income Tax</v>
      </c>
      <c r="C13" s="485"/>
      <c r="D13" s="485"/>
      <c r="E13" s="485"/>
      <c r="F13" s="485"/>
      <c r="G13" s="188">
        <f>+SUMPRODUCT(('2019'!$G13:$R13)*('2019'!$G$5:$R$5&lt;=Master!$B$3)*($A13='2019'!$A$10:$A$66))</f>
        <v>50555235.359999999</v>
      </c>
      <c r="H13" s="188">
        <f>+SUMPRODUCT(('2019'!$G108:$R108)*('2019'!$G$5:$R$5&lt;=Master!$B$3))</f>
        <v>48664552.617415652</v>
      </c>
      <c r="I13" s="189">
        <f t="shared" si="0"/>
        <v>1890682.7425843477</v>
      </c>
      <c r="J13" s="190">
        <f t="shared" si="1"/>
        <v>3.8851333072930094E-2</v>
      </c>
      <c r="K13" s="188">
        <f>+SUMPRODUCT(('2018'!$G13:$R13)*('2018'!$G$5:$R$5&lt;=Master!$B$3))</f>
        <v>46206030.119999997</v>
      </c>
      <c r="L13" s="189">
        <f t="shared" ref="L13:L59" si="7">+G13-K13</f>
        <v>4349205.2400000021</v>
      </c>
      <c r="M13" s="191">
        <f t="shared" si="2"/>
        <v>9.4126355990870492E-2</v>
      </c>
      <c r="N13" s="188">
        <f>+INDEX('2019'!$1:$1048576,MATCH('Analytics - 2019'!$A13,'2019'!$A:$A,0),MATCH('Analytics - 2019'!$N$6,'2019'!$6:$6,0))</f>
        <v>4781744.7</v>
      </c>
      <c r="O13" s="188">
        <f>+INDEX('2019'!$1:$1048576,MATCH(CONCATENATE('Analytics - 2019'!$A13,"p"),'2019'!$A:$A,0),MATCH('Analytics - 2019'!$O$6,'2019'!$101:$101,0))</f>
        <v>3928923.943707631</v>
      </c>
      <c r="P13" s="189">
        <f t="shared" si="3"/>
        <v>852820.75629236922</v>
      </c>
      <c r="Q13" s="190">
        <f t="shared" si="4"/>
        <v>0.21706216982342053</v>
      </c>
      <c r="R13" s="188">
        <f>+INDEX('2018'!$1:$1048576,MATCH('Analytics - 2019'!$A13,'2018'!$A:$A,0),MATCH('Analytics - 2019'!$R$6,'2018'!$6:$6,0))</f>
        <v>3730435.57</v>
      </c>
      <c r="S13" s="189">
        <f t="shared" si="5"/>
        <v>1051309.1300000004</v>
      </c>
      <c r="T13" s="191">
        <f t="shared" si="6"/>
        <v>0.28181940426865504</v>
      </c>
    </row>
    <row r="14" spans="1:20">
      <c r="A14" s="175">
        <v>7113</v>
      </c>
      <c r="B14" s="484" t="str">
        <f>+VLOOKUP($A14,Master!$D$27:$G$225,4,FALSE)</f>
        <v xml:space="preserve">Taxes on Sales of Property </v>
      </c>
      <c r="C14" s="485"/>
      <c r="D14" s="485"/>
      <c r="E14" s="485"/>
      <c r="F14" s="485"/>
      <c r="G14" s="188">
        <f>+SUMPRODUCT(('2019'!$G14:$R14)*('2019'!$G$5:$R$5&lt;=Master!$B$3)*($A14='2019'!$A$10:$A$66))</f>
        <v>786033.96</v>
      </c>
      <c r="H14" s="188">
        <f>+SUMPRODUCT(('2019'!$G109:$R109)*('2019'!$G$5:$R$5&lt;=Master!$B$3))</f>
        <v>695366.5267993391</v>
      </c>
      <c r="I14" s="189">
        <f t="shared" si="0"/>
        <v>90667.43320066086</v>
      </c>
      <c r="J14" s="190">
        <f t="shared" si="1"/>
        <v>0.13038797483966991</v>
      </c>
      <c r="K14" s="188">
        <f>+SUMPRODUCT(('2018'!$G14:$R14)*('2018'!$G$5:$R$5&lt;=Master!$B$3))</f>
        <v>674642.42999999993</v>
      </c>
      <c r="L14" s="189">
        <f t="shared" si="7"/>
        <v>111391.53000000003</v>
      </c>
      <c r="M14" s="191">
        <f t="shared" si="2"/>
        <v>0.16511195419475766</v>
      </c>
      <c r="N14" s="188">
        <f>+INDEX('2019'!$1:$1048576,MATCH('Analytics - 2019'!$A14,'2019'!$A:$A,0),MATCH('Analytics - 2019'!$N$6,'2019'!$6:$6,0))</f>
        <v>147510.5</v>
      </c>
      <c r="O14" s="188">
        <f>+INDEX('2019'!$1:$1048576,MATCH(CONCATENATE('Analytics - 2019'!$A14,"p"),'2019'!$A:$A,0),MATCH('Analytics - 2019'!$O$6,'2019'!$101:$101,0))</f>
        <v>148306.47673758463</v>
      </c>
      <c r="P14" s="189">
        <f t="shared" si="3"/>
        <v>-795.9767375846277</v>
      </c>
      <c r="Q14" s="190">
        <f t="shared" si="4"/>
        <v>-5.3671070548930722E-3</v>
      </c>
      <c r="R14" s="188">
        <f>+INDEX('2018'!$1:$1048576,MATCH('Analytics - 2019'!$A14,'2018'!$A:$A,0),MATCH('Analytics - 2019'!$R$6,'2018'!$6:$6,0))</f>
        <v>143886.48000000001</v>
      </c>
      <c r="S14" s="189">
        <f t="shared" si="5"/>
        <v>3624.0199999999895</v>
      </c>
      <c r="T14" s="191">
        <f t="shared" si="6"/>
        <v>2.5186661040008662E-2</v>
      </c>
    </row>
    <row r="15" spans="1:20">
      <c r="A15" s="175">
        <v>7114</v>
      </c>
      <c r="B15" s="484" t="str">
        <f>+VLOOKUP($A15,Master!$D$27:$G$225,4,FALSE)</f>
        <v>Value Added Tax</v>
      </c>
      <c r="C15" s="485"/>
      <c r="D15" s="485"/>
      <c r="E15" s="485"/>
      <c r="F15" s="485"/>
      <c r="G15" s="188">
        <f>+SUMPRODUCT(('2019'!$G15:$R15)*('2019'!$G$5:$R$5&lt;=Master!$B$3)*($A15='2019'!$A$10:$A$66))</f>
        <v>250874987.07999998</v>
      </c>
      <c r="H15" s="188">
        <f>+SUMPRODUCT(('2019'!$G110:$R110)*('2019'!$G$5:$R$5&lt;=Master!$B$3))</f>
        <v>238943962.42417774</v>
      </c>
      <c r="I15" s="189">
        <f t="shared" si="0"/>
        <v>11931024.655822247</v>
      </c>
      <c r="J15" s="190">
        <f t="shared" si="1"/>
        <v>4.9932312726287176E-2</v>
      </c>
      <c r="K15" s="188">
        <f>+SUMPRODUCT(('2018'!$G15:$R15)*('2018'!$G$5:$R$5&lt;=Master!$B$3))</f>
        <v>223897848.63</v>
      </c>
      <c r="L15" s="189">
        <f t="shared" si="7"/>
        <v>26977138.449999988</v>
      </c>
      <c r="M15" s="191">
        <f t="shared" si="2"/>
        <v>0.12048860056078858</v>
      </c>
      <c r="N15" s="188">
        <f>+INDEX('2019'!$1:$1048576,MATCH('Analytics - 2019'!$A15,'2019'!$A:$A,0),MATCH('Analytics - 2019'!$N$6,'2019'!$6:$6,0))</f>
        <v>56428341.859999999</v>
      </c>
      <c r="O15" s="188">
        <f>+INDEX('2019'!$1:$1048576,MATCH(CONCATENATE('Analytics - 2019'!$A15,"p"),'2019'!$A:$A,0),MATCH('Analytics - 2019'!$O$6,'2019'!$101:$101,0))</f>
        <v>56985238.833298653</v>
      </c>
      <c r="P15" s="189">
        <f t="shared" si="3"/>
        <v>-556896.97329865396</v>
      </c>
      <c r="Q15" s="190">
        <f t="shared" si="4"/>
        <v>-9.7726531414173978E-3</v>
      </c>
      <c r="R15" s="188">
        <f>+INDEX('2018'!$1:$1048576,MATCH('Analytics - 2019'!$A15,'2018'!$A:$A,0),MATCH('Analytics - 2019'!$R$6,'2018'!$6:$6,0))</f>
        <v>53847636.579999998</v>
      </c>
      <c r="S15" s="189">
        <f t="shared" si="5"/>
        <v>2580705.2800000012</v>
      </c>
      <c r="T15" s="191">
        <f t="shared" si="6"/>
        <v>4.7926064056050377E-2</v>
      </c>
    </row>
    <row r="16" spans="1:20">
      <c r="A16" s="175">
        <v>7115</v>
      </c>
      <c r="B16" s="484" t="str">
        <f>+VLOOKUP($A16,Master!$D$27:$G$225,4,FALSE)</f>
        <v>Excises</v>
      </c>
      <c r="C16" s="485"/>
      <c r="D16" s="485"/>
      <c r="E16" s="485"/>
      <c r="F16" s="485"/>
      <c r="G16" s="188">
        <f>+SUMPRODUCT(('2019'!$G16:$R16)*('2019'!$G$5:$R$5&lt;=Master!$B$3)*($A16='2019'!$A$10:$A$66))</f>
        <v>77911230.170000002</v>
      </c>
      <c r="H16" s="188">
        <f>+SUMPRODUCT(('2019'!$G111:$R111)*('2019'!$G$5:$R$5&lt;=Master!$B$3))</f>
        <v>81774384.423482046</v>
      </c>
      <c r="I16" s="189">
        <f t="shared" si="0"/>
        <v>-3863154.2534820437</v>
      </c>
      <c r="J16" s="190">
        <f t="shared" si="1"/>
        <v>-4.7241618273468955E-2</v>
      </c>
      <c r="K16" s="188">
        <f>+SUMPRODUCT(('2018'!$G16:$R16)*('2018'!$G$5:$R$5&lt;=Master!$B$3))</f>
        <v>75917703.420000002</v>
      </c>
      <c r="L16" s="189">
        <f t="shared" si="7"/>
        <v>1993526.75</v>
      </c>
      <c r="M16" s="191">
        <f t="shared" si="2"/>
        <v>2.6259049736675921E-2</v>
      </c>
      <c r="N16" s="188">
        <f>+INDEX('2019'!$1:$1048576,MATCH('Analytics - 2019'!$A16,'2019'!$A:$A,0),MATCH('Analytics - 2019'!$N$6,'2019'!$6:$6,0))</f>
        <v>19442485.359999999</v>
      </c>
      <c r="O16" s="188">
        <f>+INDEX('2019'!$1:$1048576,MATCH(CONCATENATE('Analytics - 2019'!$A16,"p"),'2019'!$A:$A,0),MATCH('Analytics - 2019'!$O$6,'2019'!$101:$101,0))</f>
        <v>20891088.570270509</v>
      </c>
      <c r="P16" s="189">
        <f t="shared" si="3"/>
        <v>-1448603.2102705091</v>
      </c>
      <c r="Q16" s="190">
        <f t="shared" si="4"/>
        <v>-6.9340724175185997E-2</v>
      </c>
      <c r="R16" s="188">
        <f>+INDEX('2018'!$1:$1048576,MATCH('Analytics - 2019'!$A16,'2018'!$A:$A,0),MATCH('Analytics - 2019'!$R$6,'2018'!$6:$6,0))</f>
        <v>19160303.329999998</v>
      </c>
      <c r="S16" s="189">
        <f t="shared" si="5"/>
        <v>282182.03000000119</v>
      </c>
      <c r="T16" s="191">
        <f t="shared" si="6"/>
        <v>1.4727430205041525E-2</v>
      </c>
    </row>
    <row r="17" spans="1:20">
      <c r="A17" s="175">
        <v>7116</v>
      </c>
      <c r="B17" s="484" t="str">
        <f>+VLOOKUP($A17,Master!$D$27:$G$225,4,FALSE)</f>
        <v>Tax on International Trade and Transactions</v>
      </c>
      <c r="C17" s="485"/>
      <c r="D17" s="485"/>
      <c r="E17" s="485"/>
      <c r="F17" s="485"/>
      <c r="G17" s="188">
        <f>+SUMPRODUCT(('2019'!$G17:$R17)*('2019'!$G$5:$R$5&lt;=Master!$B$3)*($A17='2019'!$A$10:$A$66))</f>
        <v>10655386.18</v>
      </c>
      <c r="H17" s="188">
        <f>+SUMPRODUCT(('2019'!$G112:$R112)*('2019'!$G$5:$R$5&lt;=Master!$B$3))</f>
        <v>10173932.989158344</v>
      </c>
      <c r="I17" s="189">
        <f t="shared" si="0"/>
        <v>481453.19084165618</v>
      </c>
      <c r="J17" s="190">
        <f t="shared" si="1"/>
        <v>4.7322229402799065E-2</v>
      </c>
      <c r="K17" s="188">
        <f>+SUMPRODUCT(('2018'!$G17:$R17)*('2018'!$G$5:$R$5&lt;=Master!$B$3))</f>
        <v>9915843.2699999996</v>
      </c>
      <c r="L17" s="189">
        <f t="shared" si="7"/>
        <v>739542.91000000015</v>
      </c>
      <c r="M17" s="191">
        <f t="shared" si="2"/>
        <v>7.4581948288498845E-2</v>
      </c>
      <c r="N17" s="188">
        <f>+INDEX('2019'!$1:$1048576,MATCH('Analytics - 2019'!$A17,'2019'!$A:$A,0),MATCH('Analytics - 2019'!$N$6,'2019'!$6:$6,0))</f>
        <v>2502520.2799999998</v>
      </c>
      <c r="O17" s="188">
        <f>+INDEX('2019'!$1:$1048576,MATCH(CONCATENATE('Analytics - 2019'!$A17,"p"),'2019'!$A:$A,0),MATCH('Analytics - 2019'!$O$6,'2019'!$101:$101,0))</f>
        <v>2665262.8330451054</v>
      </c>
      <c r="P17" s="189">
        <f t="shared" si="3"/>
        <v>-162742.55304510565</v>
      </c>
      <c r="Q17" s="190">
        <f t="shared" si="4"/>
        <v>-6.1060601989174068E-2</v>
      </c>
      <c r="R17" s="188">
        <f>+INDEX('2018'!$1:$1048576,MATCH('Analytics - 2019'!$A17,'2018'!$A:$A,0),MATCH('Analytics - 2019'!$R$6,'2018'!$6:$6,0))</f>
        <v>2597651.13</v>
      </c>
      <c r="S17" s="189">
        <f t="shared" si="5"/>
        <v>-95130.850000000093</v>
      </c>
      <c r="T17" s="191">
        <f t="shared" si="6"/>
        <v>-3.6621873084242917E-2</v>
      </c>
    </row>
    <row r="18" spans="1:20">
      <c r="A18" s="175">
        <v>7118</v>
      </c>
      <c r="B18" s="484" t="str">
        <f>+VLOOKUP($A18,Master!$D$27:$G$225,4,FALSE)</f>
        <v>Other Republic Taxes</v>
      </c>
      <c r="C18" s="485"/>
      <c r="D18" s="485"/>
      <c r="E18" s="485"/>
      <c r="F18" s="485"/>
      <c r="G18" s="188">
        <f>+SUMPRODUCT(('2019'!$G18:$R18)*('2019'!$G$5:$R$5&lt;=Master!$B$3)*($A18='2019'!$A$10:$A$66))</f>
        <v>6365964.4199999999</v>
      </c>
      <c r="H18" s="188">
        <f>+SUMPRODUCT(('2019'!$G113:$R113)*('2019'!$G$5:$R$5&lt;=Master!$B$3))</f>
        <v>3577837.3131611827</v>
      </c>
      <c r="I18" s="189">
        <f t="shared" si="0"/>
        <v>2788127.1068388172</v>
      </c>
      <c r="J18" s="190">
        <f t="shared" si="1"/>
        <v>0.77927721771546388</v>
      </c>
      <c r="K18" s="188">
        <f>+SUMPRODUCT(('2018'!$G18:$R18)*('2018'!$G$5:$R$5&lt;=Master!$B$3))</f>
        <v>3470551.7800000003</v>
      </c>
      <c r="L18" s="189">
        <f t="shared" si="7"/>
        <v>2895412.6399999997</v>
      </c>
      <c r="M18" s="191">
        <f t="shared" si="2"/>
        <v>0.83428020197987052</v>
      </c>
      <c r="N18" s="188">
        <f>+INDEX('2019'!$1:$1048576,MATCH('Analytics - 2019'!$A18,'2019'!$A:$A,0),MATCH('Analytics - 2019'!$N$6,'2019'!$6:$6,0))</f>
        <v>858869.92</v>
      </c>
      <c r="O18" s="188">
        <f>+INDEX('2019'!$1:$1048576,MATCH(CONCATENATE('Analytics - 2019'!$A18,"p"),'2019'!$A:$A,0),MATCH('Analytics - 2019'!$O$6,'2019'!$101:$101,0))</f>
        <v>765725.35835171666</v>
      </c>
      <c r="P18" s="189">
        <f t="shared" si="3"/>
        <v>93144.561648283387</v>
      </c>
      <c r="Q18" s="190">
        <f t="shared" si="4"/>
        <v>0.12164225806597861</v>
      </c>
      <c r="R18" s="188">
        <f>+INDEX('2018'!$1:$1048576,MATCH('Analytics - 2019'!$A18,'2018'!$A:$A,0),MATCH('Analytics - 2019'!$R$6,'2018'!$6:$6,0))</f>
        <v>742764.21</v>
      </c>
      <c r="S18" s="189">
        <f t="shared" si="5"/>
        <v>116105.71000000008</v>
      </c>
      <c r="T18" s="191">
        <f t="shared" si="6"/>
        <v>0.15631570347203461</v>
      </c>
    </row>
    <row r="19" spans="1:20">
      <c r="A19" s="175">
        <v>712</v>
      </c>
      <c r="B19" s="494" t="str">
        <f>+VLOOKUP($A19,Master!$D$27:$G$225,4,FALSE)</f>
        <v>Contributions</v>
      </c>
      <c r="C19" s="495"/>
      <c r="D19" s="495"/>
      <c r="E19" s="495"/>
      <c r="F19" s="495"/>
      <c r="G19" s="194">
        <f>+SUMPRODUCT(('2019'!$G19:$R19)*('2019'!$G$5:$R$5&lt;=Master!$B$3)*($A19='2019'!$A$10:$A$66))</f>
        <v>187246024.10999998</v>
      </c>
      <c r="H19" s="194">
        <f>+SUMPRODUCT(('2019'!$G114:$R114)*('2019'!$G$5:$R$5&lt;=Master!$B$3))</f>
        <v>178212807.64668593</v>
      </c>
      <c r="I19" s="195">
        <f t="shared" si="0"/>
        <v>9033216.4633140564</v>
      </c>
      <c r="J19" s="196">
        <f t="shared" si="1"/>
        <v>5.068780736131373E-2</v>
      </c>
      <c r="K19" s="194">
        <f>+SUMPRODUCT(('2018'!$G19:$R19)*('2018'!$G$5:$R$5&lt;=Master!$B$3))</f>
        <v>175982290.57999998</v>
      </c>
      <c r="L19" s="195">
        <f t="shared" si="7"/>
        <v>11263733.530000001</v>
      </c>
      <c r="M19" s="197">
        <f t="shared" si="2"/>
        <v>6.4004926250687655E-2</v>
      </c>
      <c r="N19" s="194">
        <f>+INDEX('2019'!$1:$1048576,MATCH('Analytics - 2019'!$A19,'2019'!$A:$A,0),MATCH('Analytics - 2019'!$N$6,'2019'!$6:$6,0))</f>
        <v>37496285.130000003</v>
      </c>
      <c r="O19" s="194">
        <f>+INDEX('2019'!$1:$1048576,MATCH(CONCATENATE('Analytics - 2019'!$A19,"p"),'2019'!$A:$A,0),MATCH('Analytics - 2019'!$O$6,'2019'!$101:$101,0))</f>
        <v>40898605.146830343</v>
      </c>
      <c r="P19" s="195">
        <f t="shared" si="3"/>
        <v>-3402320.01683034</v>
      </c>
      <c r="Q19" s="196">
        <f t="shared" si="4"/>
        <v>-8.3189145561704314E-2</v>
      </c>
      <c r="R19" s="194">
        <f>+INDEX('2018'!$1:$1048576,MATCH('Analytics - 2019'!$A19,'2018'!$A:$A,0),MATCH('Analytics - 2019'!$R$6,'2018'!$6:$6,0))</f>
        <v>40388291.549999997</v>
      </c>
      <c r="S19" s="195">
        <f t="shared" si="5"/>
        <v>-2892006.4199999943</v>
      </c>
      <c r="T19" s="197">
        <f t="shared" si="6"/>
        <v>-7.1605069415222489E-2</v>
      </c>
    </row>
    <row r="20" spans="1:20">
      <c r="A20" s="175">
        <v>7121</v>
      </c>
      <c r="B20" s="484" t="str">
        <f>+VLOOKUP($A20,Master!$D$27:$G$225,4,FALSE)</f>
        <v>Contributions for Pension and Disability Insurance</v>
      </c>
      <c r="C20" s="485"/>
      <c r="D20" s="485"/>
      <c r="E20" s="485"/>
      <c r="F20" s="485"/>
      <c r="G20" s="188">
        <f>+SUMPRODUCT(('2019'!$G20:$R20)*('2019'!$G$5:$R$5&lt;=Master!$B$3)*($A20='2019'!$A$10:$A$66))</f>
        <v>109968839.28</v>
      </c>
      <c r="H20" s="188">
        <f>+SUMPRODUCT(('2019'!$G115:$R115)*('2019'!$G$5:$R$5&lt;=Master!$B$3))</f>
        <v>108472618.39507163</v>
      </c>
      <c r="I20" s="189">
        <f t="shared" si="0"/>
        <v>1496220.8849283755</v>
      </c>
      <c r="J20" s="190">
        <f t="shared" si="1"/>
        <v>1.379353524480198E-2</v>
      </c>
      <c r="K20" s="188">
        <f>+SUMPRODUCT(('2018'!$G20:$R20)*('2018'!$G$5:$R$5&lt;=Master!$B$3))</f>
        <v>106888612.93000001</v>
      </c>
      <c r="L20" s="189">
        <f t="shared" si="7"/>
        <v>3080226.349999994</v>
      </c>
      <c r="M20" s="191">
        <f t="shared" si="2"/>
        <v>2.881716083281205E-2</v>
      </c>
      <c r="N20" s="188">
        <f>+INDEX('2019'!$1:$1048576,MATCH('Analytics - 2019'!$A20,'2019'!$A:$A,0),MATCH('Analytics - 2019'!$N$6,'2019'!$6:$6,0))</f>
        <v>22104934.850000001</v>
      </c>
      <c r="O20" s="188">
        <f>+INDEX('2019'!$1:$1048576,MATCH(CONCATENATE('Analytics - 2019'!$A20,"p"),'2019'!$A:$A,0),MATCH('Analytics - 2019'!$O$6,'2019'!$101:$101,0))</f>
        <v>24837700.78348216</v>
      </c>
      <c r="P20" s="189">
        <f t="shared" si="3"/>
        <v>-2732765.9334821589</v>
      </c>
      <c r="Q20" s="190">
        <f t="shared" si="4"/>
        <v>-0.11002491564354189</v>
      </c>
      <c r="R20" s="188">
        <f>+INDEX('2018'!$1:$1048576,MATCH('Analytics - 2019'!$A20,'2018'!$A:$A,0),MATCH('Analytics - 2019'!$R$6,'2018'!$6:$6,0))</f>
        <v>24475000.460000001</v>
      </c>
      <c r="S20" s="189">
        <f t="shared" si="5"/>
        <v>-2370065.6099999994</v>
      </c>
      <c r="T20" s="191">
        <f t="shared" si="6"/>
        <v>-9.6836182449656971E-2</v>
      </c>
    </row>
    <row r="21" spans="1:20">
      <c r="A21" s="175">
        <v>7122</v>
      </c>
      <c r="B21" s="484" t="str">
        <f>+VLOOKUP($A21,Master!$D$27:$G$225,4,FALSE)</f>
        <v>Contributions for Health Insurance</v>
      </c>
      <c r="C21" s="485"/>
      <c r="D21" s="485"/>
      <c r="E21" s="485"/>
      <c r="F21" s="485"/>
      <c r="G21" s="188">
        <f>+SUMPRODUCT(('2019'!$G21:$R21)*('2019'!$G$5:$R$5&lt;=Master!$B$3)*($A21='2019'!$A$10:$A$66))</f>
        <v>67246941.929999992</v>
      </c>
      <c r="H21" s="188">
        <f>+SUMPRODUCT(('2019'!$G116:$R116)*('2019'!$G$5:$R$5&lt;=Master!$B$3))</f>
        <v>60895005.628838263</v>
      </c>
      <c r="I21" s="189">
        <f t="shared" si="0"/>
        <v>6351936.3011617288</v>
      </c>
      <c r="J21" s="190">
        <f t="shared" si="1"/>
        <v>0.10430964305804458</v>
      </c>
      <c r="K21" s="188">
        <f>+SUMPRODUCT(('2018'!$G21:$R21)*('2018'!$G$5:$R$5&lt;=Master!$B$3))</f>
        <v>60373196.300000004</v>
      </c>
      <c r="L21" s="189">
        <f t="shared" si="7"/>
        <v>6873745.6299999878</v>
      </c>
      <c r="M21" s="191">
        <f t="shared" si="2"/>
        <v>0.11385426068621096</v>
      </c>
      <c r="N21" s="188">
        <f>+INDEX('2019'!$1:$1048576,MATCH('Analytics - 2019'!$A21,'2019'!$A:$A,0),MATCH('Analytics - 2019'!$N$6,'2019'!$6:$6,0))</f>
        <v>13458982.5</v>
      </c>
      <c r="O21" s="188">
        <f>+INDEX('2019'!$1:$1048576,MATCH(CONCATENATE('Analytics - 2019'!$A21,"p"),'2019'!$A:$A,0),MATCH('Analytics - 2019'!$O$6,'2019'!$101:$101,0))</f>
        <v>14065277.256726971</v>
      </c>
      <c r="P21" s="189">
        <f t="shared" si="3"/>
        <v>-606294.7567269709</v>
      </c>
      <c r="Q21" s="190">
        <f t="shared" si="4"/>
        <v>-4.3105780686761741E-2</v>
      </c>
      <c r="R21" s="188">
        <f>+INDEX('2018'!$1:$1048576,MATCH('Analytics - 2019'!$A21,'2018'!$A:$A,0),MATCH('Analytics - 2019'!$R$6,'2018'!$6:$6,0))</f>
        <v>13944751.890000001</v>
      </c>
      <c r="S21" s="189">
        <f t="shared" si="5"/>
        <v>-485769.3900000006</v>
      </c>
      <c r="T21" s="191">
        <f t="shared" si="6"/>
        <v>-3.4835283828058117E-2</v>
      </c>
    </row>
    <row r="22" spans="1:20">
      <c r="A22" s="175">
        <v>7123</v>
      </c>
      <c r="B22" s="484" t="str">
        <f>+VLOOKUP($A22,Master!$D$27:$G$225,4,FALSE)</f>
        <v>Contributions for  Unemployment Insurance</v>
      </c>
      <c r="C22" s="485"/>
      <c r="D22" s="485"/>
      <c r="E22" s="485"/>
      <c r="F22" s="485"/>
      <c r="G22" s="188">
        <f>+SUMPRODUCT(('2019'!$G22:$R22)*('2019'!$G$5:$R$5&lt;=Master!$B$3)*($A22='2019'!$A$10:$A$66))</f>
        <v>5157791.78</v>
      </c>
      <c r="H22" s="188">
        <f>+SUMPRODUCT(('2019'!$G117:$R117)*('2019'!$G$5:$R$5&lt;=Master!$B$3))</f>
        <v>4333338.9955346826</v>
      </c>
      <c r="I22" s="189">
        <f t="shared" si="0"/>
        <v>824452.78446531761</v>
      </c>
      <c r="J22" s="190">
        <f t="shared" si="1"/>
        <v>0.19025808627362872</v>
      </c>
      <c r="K22" s="188">
        <f>+SUMPRODUCT(('2018'!$G22:$R22)*('2018'!$G$5:$R$5&lt;=Master!$B$3))</f>
        <v>4507030.41</v>
      </c>
      <c r="L22" s="189">
        <f t="shared" si="7"/>
        <v>650761.37000000011</v>
      </c>
      <c r="M22" s="191">
        <f t="shared" si="2"/>
        <v>0.1443880583889825</v>
      </c>
      <c r="N22" s="188">
        <f>+INDEX('2019'!$1:$1048576,MATCH('Analytics - 2019'!$A22,'2019'!$A:$A,0),MATCH('Analytics - 2019'!$N$6,'2019'!$6:$6,0))</f>
        <v>1026106.03</v>
      </c>
      <c r="O22" s="188">
        <f>+INDEX('2019'!$1:$1048576,MATCH(CONCATENATE('Analytics - 2019'!$A22,"p"),'2019'!$A:$A,0),MATCH('Analytics - 2019'!$O$6,'2019'!$101:$101,0))</f>
        <v>987534.50739325164</v>
      </c>
      <c r="P22" s="189">
        <f t="shared" si="3"/>
        <v>38571.522606748389</v>
      </c>
      <c r="Q22" s="190">
        <f t="shared" si="4"/>
        <v>3.9058404863809626E-2</v>
      </c>
      <c r="R22" s="188">
        <f>+INDEX('2018'!$1:$1048576,MATCH('Analytics - 2019'!$A22,'2018'!$A:$A,0),MATCH('Analytics - 2019'!$R$6,'2018'!$6:$6,0))</f>
        <v>1027117.44</v>
      </c>
      <c r="S22" s="189">
        <f t="shared" si="5"/>
        <v>-1011.4099999999162</v>
      </c>
      <c r="T22" s="191">
        <f t="shared" si="6"/>
        <v>-9.8470725996036013E-4</v>
      </c>
    </row>
    <row r="23" spans="1:20">
      <c r="A23" s="175">
        <v>7124</v>
      </c>
      <c r="B23" s="484" t="str">
        <f>+VLOOKUP($A23,Master!$D$27:$G$225,4,FALSE)</f>
        <v>Other contributions</v>
      </c>
      <c r="C23" s="485"/>
      <c r="D23" s="485"/>
      <c r="E23" s="485"/>
      <c r="F23" s="485"/>
      <c r="G23" s="188">
        <f>+SUMPRODUCT(('2019'!$G23:$R23)*('2019'!$G$5:$R$5&lt;=Master!$B$3)*($A23='2019'!$A$10:$A$66))</f>
        <v>4872451.12</v>
      </c>
      <c r="H23" s="188">
        <f>+SUMPRODUCT(('2019'!$G118:$R118)*('2019'!$G$5:$R$5&lt;=Master!$B$3))</f>
        <v>4511844.6272413544</v>
      </c>
      <c r="I23" s="189">
        <f t="shared" si="0"/>
        <v>360606.49275864568</v>
      </c>
      <c r="J23" s="190">
        <f t="shared" si="1"/>
        <v>7.9924403996847859E-2</v>
      </c>
      <c r="K23" s="188">
        <f>+SUMPRODUCT(('2018'!$G23:$R23)*('2018'!$G$5:$R$5&lt;=Master!$B$3))</f>
        <v>4213450.9399999995</v>
      </c>
      <c r="L23" s="189">
        <f t="shared" si="7"/>
        <v>659000.18000000063</v>
      </c>
      <c r="M23" s="191">
        <f t="shared" si="2"/>
        <v>0.15640390487138345</v>
      </c>
      <c r="N23" s="188">
        <f>+INDEX('2019'!$1:$1048576,MATCH('Analytics - 2019'!$A23,'2019'!$A:$A,0),MATCH('Analytics - 2019'!$N$6,'2019'!$6:$6,0))</f>
        <v>906261.75</v>
      </c>
      <c r="O23" s="188">
        <f>+INDEX('2019'!$1:$1048576,MATCH(CONCATENATE('Analytics - 2019'!$A23,"p"),'2019'!$A:$A,0),MATCH('Analytics - 2019'!$O$6,'2019'!$101:$101,0))</f>
        <v>1008092.5992279621</v>
      </c>
      <c r="P23" s="189">
        <f t="shared" si="3"/>
        <v>-101830.84922796208</v>
      </c>
      <c r="Q23" s="190">
        <f t="shared" si="4"/>
        <v>-0.10101338835931173</v>
      </c>
      <c r="R23" s="188">
        <f>+INDEX('2018'!$1:$1048576,MATCH('Analytics - 2019'!$A23,'2018'!$A:$A,0),MATCH('Analytics - 2019'!$R$6,'2018'!$6:$6,0))</f>
        <v>941421.76</v>
      </c>
      <c r="S23" s="189">
        <f t="shared" si="5"/>
        <v>-35160.010000000009</v>
      </c>
      <c r="T23" s="191">
        <f t="shared" si="6"/>
        <v>-3.7347777047345931E-2</v>
      </c>
    </row>
    <row r="24" spans="1:20">
      <c r="A24" s="175">
        <v>713</v>
      </c>
      <c r="B24" s="486" t="str">
        <f>+VLOOKUP($A24,Master!$D$27:$G$225,4,FALSE)</f>
        <v>Duties</v>
      </c>
      <c r="C24" s="487"/>
      <c r="D24" s="487"/>
      <c r="E24" s="487"/>
      <c r="F24" s="487"/>
      <c r="G24" s="200">
        <f>+SUMPRODUCT(('2019'!$G24:$R24)*('2019'!$G$5:$R$5&lt;=Master!$B$3)*($A24='2019'!$A$10:$A$66))</f>
        <v>5368779.3100000005</v>
      </c>
      <c r="H24" s="200">
        <f>+SUMPRODUCT(('2019'!$G119:$R119)*('2019'!$G$5:$R$5&lt;=Master!$B$3))</f>
        <v>4739297.694275897</v>
      </c>
      <c r="I24" s="201">
        <f t="shared" si="0"/>
        <v>629481.61572410353</v>
      </c>
      <c r="J24" s="202">
        <f t="shared" si="1"/>
        <v>0.13282170826373463</v>
      </c>
      <c r="K24" s="200">
        <f>+SUMPRODUCT(('2018'!$G24:$R24)*('2018'!$G$5:$R$5&lt;=Master!$B$3))</f>
        <v>5449072.0199999996</v>
      </c>
      <c r="L24" s="201">
        <f t="shared" si="7"/>
        <v>-80292.709999999031</v>
      </c>
      <c r="M24" s="203">
        <f t="shared" si="2"/>
        <v>-1.4735116310684915E-2</v>
      </c>
      <c r="N24" s="200">
        <f>+INDEX('2019'!$1:$1048576,MATCH('Analytics - 2019'!$A24,'2019'!$A:$A,0),MATCH('Analytics - 2019'!$N$6,'2019'!$6:$6,0))</f>
        <v>1119638.28</v>
      </c>
      <c r="O24" s="200">
        <f>+INDEX('2019'!$1:$1048576,MATCH(CONCATENATE('Analytics - 2019'!$A24,"p"),'2019'!$A:$A,0),MATCH('Analytics - 2019'!$O$6,'2019'!$101:$101,0))</f>
        <v>1197898.4298929251</v>
      </c>
      <c r="P24" s="201">
        <f t="shared" si="3"/>
        <v>-78260.149892925052</v>
      </c>
      <c r="Q24" s="202">
        <f t="shared" si="4"/>
        <v>-6.5331206669934749E-2</v>
      </c>
      <c r="R24" s="200">
        <f>+INDEX('2018'!$1:$1048576,MATCH('Analytics - 2019'!$A24,'2018'!$A:$A,0),MATCH('Analytics - 2019'!$R$6,'2018'!$6:$6,0))</f>
        <v>1382138.78</v>
      </c>
      <c r="S24" s="201">
        <f t="shared" si="5"/>
        <v>-262500.5</v>
      </c>
      <c r="T24" s="203">
        <f t="shared" si="6"/>
        <v>-0.18992340262676077</v>
      </c>
    </row>
    <row r="25" spans="1:20">
      <c r="A25" s="175">
        <v>714</v>
      </c>
      <c r="B25" s="486" t="str">
        <f>+VLOOKUP($A25,Master!$D$27:$G$225,4,FALSE)</f>
        <v>Fees</v>
      </c>
      <c r="C25" s="487"/>
      <c r="D25" s="487"/>
      <c r="E25" s="487"/>
      <c r="F25" s="487"/>
      <c r="G25" s="200">
        <f>+SUMPRODUCT(('2019'!$G25:$R25)*('2019'!$G$5:$R$5&lt;=Master!$B$3)*($A25='2019'!$A$10:$A$66))</f>
        <v>11367643.189999999</v>
      </c>
      <c r="H25" s="200">
        <f>+SUMPRODUCT(('2019'!$G120:$R120)*('2019'!$G$5:$R$5&lt;=Master!$B$3))</f>
        <v>10483750.59370804</v>
      </c>
      <c r="I25" s="201">
        <f t="shared" si="0"/>
        <v>883892.59629195929</v>
      </c>
      <c r="J25" s="202">
        <f t="shared" si="1"/>
        <v>8.4310723380088604E-2</v>
      </c>
      <c r="K25" s="200">
        <f>+SUMPRODUCT(('2018'!$G25:$R25)*('2018'!$G$5:$R$5&lt;=Master!$B$3))</f>
        <v>9582101.3899999987</v>
      </c>
      <c r="L25" s="201">
        <f t="shared" si="7"/>
        <v>1785541.8000000007</v>
      </c>
      <c r="M25" s="203">
        <f t="shared" si="2"/>
        <v>0.18634135951258202</v>
      </c>
      <c r="N25" s="200">
        <f>+INDEX('2019'!$1:$1048576,MATCH('Analytics - 2019'!$A25,'2019'!$A:$A,0),MATCH('Analytics - 2019'!$N$6,'2019'!$6:$6,0))</f>
        <v>1792591.2</v>
      </c>
      <c r="O25" s="200">
        <f>+INDEX('2019'!$1:$1048576,MATCH(CONCATENATE('Analytics - 2019'!$A25,"p"),'2019'!$A:$A,0),MATCH('Analytics - 2019'!$O$6,'2019'!$101:$101,0))</f>
        <v>1739522.6622359063</v>
      </c>
      <c r="P25" s="201">
        <f t="shared" si="3"/>
        <v>53068.537764093606</v>
      </c>
      <c r="Q25" s="202">
        <f t="shared" si="4"/>
        <v>3.0507528827409258E-2</v>
      </c>
      <c r="R25" s="200">
        <f>+INDEX('2018'!$1:$1048576,MATCH('Analytics - 2019'!$A25,'2018'!$A:$A,0),MATCH('Analytics - 2019'!$R$6,'2018'!$6:$6,0))</f>
        <v>1530724.52</v>
      </c>
      <c r="S25" s="201">
        <f t="shared" si="5"/>
        <v>261866.67999999993</v>
      </c>
      <c r="T25" s="203">
        <f t="shared" si="6"/>
        <v>0.17107368215412122</v>
      </c>
    </row>
    <row r="26" spans="1:20">
      <c r="A26" s="175">
        <v>715</v>
      </c>
      <c r="B26" s="486" t="str">
        <f>+VLOOKUP($A26,Master!$D$27:$G$225,4,FALSE)</f>
        <v>Other revenues</v>
      </c>
      <c r="C26" s="487"/>
      <c r="D26" s="487"/>
      <c r="E26" s="487"/>
      <c r="F26" s="487"/>
      <c r="G26" s="200">
        <f>+SUMPRODUCT(('2019'!$G26:$R26)*('2019'!$G$5:$R$5&lt;=Master!$B$3)*($A26='2019'!$A$10:$A$66))</f>
        <v>16506066.489999998</v>
      </c>
      <c r="H26" s="200">
        <f>+SUMPRODUCT(('2019'!$G121:$R121)*('2019'!$G$5:$R$5&lt;=Master!$B$3))</f>
        <v>14159569.424463369</v>
      </c>
      <c r="I26" s="201">
        <f t="shared" si="0"/>
        <v>2346497.0655366294</v>
      </c>
      <c r="J26" s="202">
        <f t="shared" si="1"/>
        <v>0.16571810873589188</v>
      </c>
      <c r="K26" s="200">
        <f>+SUMPRODUCT(('2018'!$G26:$R26)*('2018'!$G$5:$R$5&lt;=Master!$B$3))</f>
        <v>13714046.16</v>
      </c>
      <c r="L26" s="201">
        <f t="shared" si="7"/>
        <v>2792020.3299999982</v>
      </c>
      <c r="M26" s="203">
        <f t="shared" si="2"/>
        <v>0.20358837190905277</v>
      </c>
      <c r="N26" s="200">
        <f>+INDEX('2019'!$1:$1048576,MATCH('Analytics - 2019'!$A26,'2019'!$A:$A,0),MATCH('Analytics - 2019'!$N$6,'2019'!$6:$6,0))</f>
        <v>7159438.3899999997</v>
      </c>
      <c r="O26" s="200">
        <f>+INDEX('2019'!$1:$1048576,MATCH(CONCATENATE('Analytics - 2019'!$A26,"p"),'2019'!$A:$A,0),MATCH('Analytics - 2019'!$O$6,'2019'!$101:$101,0))</f>
        <v>2280721.0376326158</v>
      </c>
      <c r="P26" s="201">
        <f t="shared" si="3"/>
        <v>4878717.3523673844</v>
      </c>
      <c r="Q26" s="202">
        <f t="shared" si="4"/>
        <v>2.1391118299287859</v>
      </c>
      <c r="R26" s="200">
        <f>+INDEX('2018'!$1:$1048576,MATCH('Analytics - 2019'!$A26,'2018'!$A:$A,0),MATCH('Analytics - 2019'!$R$6,'2018'!$6:$6,0))</f>
        <v>2149512.65</v>
      </c>
      <c r="S26" s="201">
        <f t="shared" si="5"/>
        <v>5009925.74</v>
      </c>
      <c r="T26" s="203" t="s">
        <v>777</v>
      </c>
    </row>
    <row r="27" spans="1:20">
      <c r="A27" s="175">
        <v>73</v>
      </c>
      <c r="B27" s="486" t="str">
        <f>+VLOOKUP($A27,Master!$D$27:$G$225,4,FALSE)</f>
        <v>Receipts from Repayment of Loans and Funds Carried over from Previous Year</v>
      </c>
      <c r="C27" s="487"/>
      <c r="D27" s="487"/>
      <c r="E27" s="487"/>
      <c r="F27" s="487"/>
      <c r="G27" s="200">
        <f>+SUMPRODUCT(('2019'!$G27:$R27)*('2019'!$G$5:$R$5&lt;=Master!$B$3)*($A27='2019'!$A$10:$A$66))</f>
        <v>1862564.47</v>
      </c>
      <c r="H27" s="200">
        <f>+SUMPRODUCT(('2019'!$G122:$R122)*('2019'!$G$5:$R$5&lt;=Master!$B$3))</f>
        <v>1408715.3044062098</v>
      </c>
      <c r="I27" s="201">
        <f t="shared" si="0"/>
        <v>453849.16559379012</v>
      </c>
      <c r="J27" s="202">
        <f t="shared" si="1"/>
        <v>0.32217238229344924</v>
      </c>
      <c r="K27" s="200">
        <f>+SUMPRODUCT(('2018'!$G27:$R27)*('2018'!$G$5:$R$5&lt;=Master!$B$3))</f>
        <v>1981159.48</v>
      </c>
      <c r="L27" s="201">
        <f t="shared" si="7"/>
        <v>-118595.01000000001</v>
      </c>
      <c r="M27" s="203">
        <f t="shared" si="2"/>
        <v>-5.9861415094154879E-2</v>
      </c>
      <c r="N27" s="200">
        <f>+INDEX('2019'!$1:$1048576,MATCH('Analytics - 2019'!$A27,'2019'!$A:$A,0),MATCH('Analytics - 2019'!$N$6,'2019'!$6:$6,0))</f>
        <v>808656.23</v>
      </c>
      <c r="O27" s="200">
        <f>+INDEX('2019'!$1:$1048576,MATCH(CONCATENATE('Analytics - 2019'!$A27,"p"),'2019'!$A:$A,0),MATCH('Analytics - 2019'!$O$6,'2019'!$101:$101,0))</f>
        <v>775525.38983070524</v>
      </c>
      <c r="P27" s="201">
        <f t="shared" si="3"/>
        <v>33130.840169294737</v>
      </c>
      <c r="Q27" s="202">
        <f t="shared" si="4"/>
        <v>4.2720509997135059E-2</v>
      </c>
      <c r="R27" s="200">
        <f>+INDEX('2018'!$1:$1048576,MATCH('Analytics - 2019'!$A27,'2018'!$A:$A,0),MATCH('Analytics - 2019'!$R$6,'2018'!$6:$6,0))</f>
        <v>1090667.1299999999</v>
      </c>
      <c r="S27" s="201">
        <f t="shared" si="5"/>
        <v>-282010.89999999991</v>
      </c>
      <c r="T27" s="203" t="s">
        <v>777</v>
      </c>
    </row>
    <row r="28" spans="1:20" ht="15.75" thickBot="1">
      <c r="A28" s="175">
        <v>74</v>
      </c>
      <c r="B28" s="488" t="str">
        <f>+VLOOKUP($A28,Master!$D$27:$G$225,4,FALSE)</f>
        <v>Grants and Transfers</v>
      </c>
      <c r="C28" s="489"/>
      <c r="D28" s="489"/>
      <c r="E28" s="489"/>
      <c r="F28" s="489"/>
      <c r="G28" s="200">
        <f>+SUMPRODUCT(('2019'!$G28:$R28)*('2019'!$G$5:$R$5&lt;=Master!$B$3)*($A28='2019'!$A$10:$A$66))</f>
        <v>17405057.77</v>
      </c>
      <c r="H28" s="200">
        <f>+SUMPRODUCT(('2019'!$G123:$R123)*('2019'!$G$5:$R$5&lt;=Master!$B$3))</f>
        <v>24250852.92044377</v>
      </c>
      <c r="I28" s="201">
        <f t="shared" si="0"/>
        <v>-6845795.15044377</v>
      </c>
      <c r="J28" s="202">
        <f t="shared" si="1"/>
        <v>-0.28229090221699704</v>
      </c>
      <c r="K28" s="200">
        <f>+SUMPRODUCT(('2018'!$G28:$R28)*('2018'!$G$5:$R$5&lt;=Master!$B$3))</f>
        <v>13744213.940000001</v>
      </c>
      <c r="L28" s="201">
        <f t="shared" si="7"/>
        <v>3660843.8299999982</v>
      </c>
      <c r="M28" s="203">
        <f t="shared" si="2"/>
        <v>0.26635527109671853</v>
      </c>
      <c r="N28" s="200">
        <f>+INDEX('2019'!$1:$1048576,MATCH('Analytics - 2019'!$A28,'2019'!$A:$A,0),MATCH('Analytics - 2019'!$N$6,'2019'!$6:$6,0))</f>
        <v>1388870.5</v>
      </c>
      <c r="O28" s="200">
        <f>+INDEX('2019'!$1:$1048576,MATCH(CONCATENATE('Analytics - 2019'!$A28,"p"),'2019'!$A:$A,0),MATCH('Analytics - 2019'!$O$6,'2019'!$101:$101,0))</f>
        <v>3335426.2947824779</v>
      </c>
      <c r="P28" s="201">
        <f t="shared" si="3"/>
        <v>-1946555.7947824779</v>
      </c>
      <c r="Q28" s="202">
        <f t="shared" si="4"/>
        <v>-0.58360030255425688</v>
      </c>
      <c r="R28" s="200">
        <f>+INDEX('2018'!$1:$1048576,MATCH('Analytics - 2019'!$A28,'2018'!$A:$A,0),MATCH('Analytics - 2019'!$R$6,'2018'!$6:$6,0))</f>
        <v>1746477.29</v>
      </c>
      <c r="S28" s="201">
        <f t="shared" si="5"/>
        <v>-357606.79000000004</v>
      </c>
      <c r="T28" s="203">
        <f t="shared" si="6"/>
        <v>-0.20475891215281705</v>
      </c>
    </row>
    <row r="29" spans="1:20" ht="15.75" thickBot="1">
      <c r="A29" s="175">
        <v>4</v>
      </c>
      <c r="B29" s="474" t="str">
        <f>+VLOOKUP($A29,Master!$D$27:$G$225,4,FALSE)</f>
        <v>Total Expenditures</v>
      </c>
      <c r="C29" s="475"/>
      <c r="D29" s="475"/>
      <c r="E29" s="475"/>
      <c r="F29" s="475"/>
      <c r="G29" s="176">
        <f>+SUMPRODUCT(('2019'!$G29:$R29)*('2019'!$G$5:$R$5&lt;=Master!$B$3)*($A29='2019'!$A$10:$A$66))</f>
        <v>733920536.6400001</v>
      </c>
      <c r="H29" s="176">
        <f>+SUMPRODUCT(('2019'!$G124:$R124)*('2019'!$G$5:$R$5&lt;=Master!$B$3))</f>
        <v>859472395.00749993</v>
      </c>
      <c r="I29" s="177">
        <f t="shared" si="0"/>
        <v>-125551858.36749983</v>
      </c>
      <c r="J29" s="178">
        <f t="shared" si="1"/>
        <v>-0.14608015230832894</v>
      </c>
      <c r="K29" s="176">
        <f>+SUMPRODUCT(('2018'!$G29:$R29)*('2018'!$G$5:$R$5&lt;=Master!$B$3))</f>
        <v>693573007.51999998</v>
      </c>
      <c r="L29" s="177">
        <f t="shared" si="7"/>
        <v>40347529.120000124</v>
      </c>
      <c r="M29" s="179">
        <f t="shared" si="2"/>
        <v>5.8173441991738128E-2</v>
      </c>
      <c r="N29" s="176">
        <f>+INDEX('2019'!$1:$1048576,MATCH('Analytics - 2019'!$A29,'2019'!$A:$A,0),MATCH('Analytics - 2019'!$N$6,'2019'!$6:$6,0))</f>
        <v>136373040.24000001</v>
      </c>
      <c r="O29" s="176">
        <f>+INDEX('2019'!$1:$1048576,MATCH(CONCATENATE('Analytics - 2019'!$A29,"p"),'2019'!$A:$A,0),MATCH('Analytics - 2019'!$O$6,'2019'!$101:$101,0))</f>
        <v>167763443.14750004</v>
      </c>
      <c r="P29" s="177">
        <f t="shared" si="3"/>
        <v>-31390402.907500029</v>
      </c>
      <c r="Q29" s="178">
        <f t="shared" si="4"/>
        <v>-0.1871111031018905</v>
      </c>
      <c r="R29" s="176">
        <f>+INDEX('2018'!$1:$1048576,MATCH('Analytics - 2019'!$A29,'2018'!$A:$A,0),MATCH('Analytics - 2019'!$R$6,'2018'!$6:$6,0))</f>
        <v>141761088.21000001</v>
      </c>
      <c r="S29" s="177">
        <f t="shared" si="5"/>
        <v>-5388047.9699999988</v>
      </c>
      <c r="T29" s="179">
        <f t="shared" si="6"/>
        <v>-3.8007947300872313E-2</v>
      </c>
    </row>
    <row r="30" spans="1:20" ht="15.75" thickBot="1">
      <c r="A30" s="175">
        <v>41</v>
      </c>
      <c r="B30" s="490" t="str">
        <f>+VLOOKUP($A30,Master!$D$27:$G$225,4,FALSE)</f>
        <v>Current Budgetary Consumption</v>
      </c>
      <c r="C30" s="491"/>
      <c r="D30" s="491"/>
      <c r="E30" s="491"/>
      <c r="F30" s="491"/>
      <c r="G30" s="342">
        <f>+SUMPRODUCT(('2019'!$G30:$R30)*('2019'!$G$5:$R$5&lt;=Master!$B$3)*($A30='2019'!$A$10:$A$66))</f>
        <v>664911039.13000011</v>
      </c>
      <c r="H30" s="342">
        <f>+SUMPRODUCT(('2019'!$G125:$R125)*('2019'!$G$5:$R$5&lt;=Master!$B$3))</f>
        <v>725753645.0575</v>
      </c>
      <c r="I30" s="207">
        <f t="shared" si="0"/>
        <v>-60842605.92749989</v>
      </c>
      <c r="J30" s="208">
        <f t="shared" si="1"/>
        <v>-8.3833689767661368E-2</v>
      </c>
      <c r="K30" s="342">
        <f>+SUMPRODUCT(('2018'!$G30:$R30)*('2018'!$G$5:$R$5&lt;=Master!$B$3))</f>
        <v>633639598.25</v>
      </c>
      <c r="L30" s="207">
        <f t="shared" si="7"/>
        <v>31271440.880000114</v>
      </c>
      <c r="M30" s="209">
        <f t="shared" si="2"/>
        <v>4.9352093787014439E-2</v>
      </c>
      <c r="N30" s="342">
        <f>+INDEX('2019'!$1:$1048576,MATCH('Analytics - 2019'!$A30,'2019'!$A:$A,0),MATCH('Analytics - 2019'!$N$6,'2019'!$6:$6,0))</f>
        <v>124908662.68000001</v>
      </c>
      <c r="O30" s="342">
        <f>+INDEX('2019'!$1:$1048576,MATCH(CONCATENATE('Analytics - 2019'!$A30,"p"),'2019'!$A:$A,0),MATCH('Analytics - 2019'!$O$6,'2019'!$101:$101,0))</f>
        <v>141019693.15750003</v>
      </c>
      <c r="P30" s="207">
        <f t="shared" si="3"/>
        <v>-16111030.477500021</v>
      </c>
      <c r="Q30" s="208">
        <f t="shared" si="4"/>
        <v>-0.11424667092067886</v>
      </c>
      <c r="R30" s="342">
        <f>+INDEX('2018'!$1:$1048576,MATCH('Analytics - 2019'!$A30,'2018'!$A:$A,0),MATCH('Analytics - 2019'!$R$6,'2018'!$6:$6,0))</f>
        <v>128717553.92000002</v>
      </c>
      <c r="S30" s="207">
        <f t="shared" si="5"/>
        <v>-3808891.2400000095</v>
      </c>
      <c r="T30" s="209">
        <f t="shared" si="6"/>
        <v>-2.9591078481551181E-2</v>
      </c>
    </row>
    <row r="31" spans="1:20">
      <c r="A31" s="175">
        <v>40</v>
      </c>
      <c r="B31" s="492" t="str">
        <f>+VLOOKUP($A31,Master!$D$27:$G$225,4,FALSE)</f>
        <v>Current Expenditures</v>
      </c>
      <c r="C31" s="493"/>
      <c r="D31" s="493"/>
      <c r="E31" s="493"/>
      <c r="F31" s="493"/>
      <c r="G31" s="389">
        <f>+SUMPRODUCT(('2019'!$G31:$R31)*('2019'!$G$5:$R$5&lt;=Master!$B$3)*($A31='2019'!$A$10:$A$66))</f>
        <v>331326215.27000004</v>
      </c>
      <c r="H31" s="389">
        <f>+SUMPRODUCT(('2019'!$G126:$R126)*('2019'!$G$5:$R$5&lt;=Master!$B$3))</f>
        <v>385807676.81250006</v>
      </c>
      <c r="I31" s="213">
        <f t="shared" si="0"/>
        <v>-54481461.542500019</v>
      </c>
      <c r="J31" s="214">
        <f t="shared" si="1"/>
        <v>-0.14121404216893707</v>
      </c>
      <c r="K31" s="389">
        <f>+SUMPRODUCT(('2018'!$G31:$R31)*('2018'!$G$5:$R$5&lt;=Master!$B$3))</f>
        <v>326732635.08000004</v>
      </c>
      <c r="L31" s="213">
        <f t="shared" si="7"/>
        <v>4593580.1899999976</v>
      </c>
      <c r="M31" s="215">
        <f t="shared" si="2"/>
        <v>1.4059141012575216E-2</v>
      </c>
      <c r="N31" s="389">
        <f>+INDEX('2019'!$1:$1048576,MATCH('Analytics - 2019'!$A31,'2019'!$A:$A,0),MATCH('Analytics - 2019'!$N$6,'2019'!$6:$6,0))</f>
        <v>58770255.339999996</v>
      </c>
      <c r="O31" s="389">
        <f>+INDEX('2019'!$1:$1048576,MATCH(CONCATENATE('Analytics - 2019'!$A31,"p"),'2019'!$A:$A,0),MATCH('Analytics - 2019'!$O$6,'2019'!$101:$101,0))</f>
        <v>75302081.212500021</v>
      </c>
      <c r="P31" s="213">
        <f t="shared" si="3"/>
        <v>-16531825.872500025</v>
      </c>
      <c r="Q31" s="214">
        <f t="shared" si="4"/>
        <v>-0.21954009246899497</v>
      </c>
      <c r="R31" s="389">
        <f>+INDEX('2018'!$1:$1048576,MATCH('Analytics - 2019'!$A31,'2018'!$A:$A,0),MATCH('Analytics - 2019'!$R$6,'2018'!$6:$6,0))</f>
        <v>66171008.000000007</v>
      </c>
      <c r="S31" s="213">
        <f t="shared" si="5"/>
        <v>-7400752.6600000113</v>
      </c>
      <c r="T31" s="215">
        <f t="shared" si="6"/>
        <v>-0.11184282790432953</v>
      </c>
    </row>
    <row r="32" spans="1:20">
      <c r="A32" s="175">
        <v>411</v>
      </c>
      <c r="B32" s="484" t="str">
        <f>+VLOOKUP($A32,Master!$D$27:$G$225,4,FALSE)</f>
        <v>Gross Salaries and Contributions</v>
      </c>
      <c r="C32" s="485"/>
      <c r="D32" s="485"/>
      <c r="E32" s="485"/>
      <c r="F32" s="485"/>
      <c r="G32" s="188">
        <f>+SUMPRODUCT(('2019'!$G32:$R32)*('2019'!$G$5:$R$5&lt;=Master!$B$3)*($A32='2019'!$A$10:$A$66))</f>
        <v>195478604.47000003</v>
      </c>
      <c r="H32" s="188">
        <f>+SUMPRODUCT(('2019'!$G127:$R127)*('2019'!$G$5:$R$5&lt;=Master!$B$3))</f>
        <v>195814364.16833338</v>
      </c>
      <c r="I32" s="189">
        <f t="shared" si="0"/>
        <v>-335759.6983333528</v>
      </c>
      <c r="J32" s="190">
        <f t="shared" si="1"/>
        <v>-1.7146836993261472E-3</v>
      </c>
      <c r="K32" s="188">
        <f>+SUMPRODUCT(('2018'!$G32:$R32)*('2018'!$G$5:$R$5&lt;=Master!$B$3))</f>
        <v>188789092</v>
      </c>
      <c r="L32" s="189">
        <f t="shared" si="7"/>
        <v>6689512.4700000286</v>
      </c>
      <c r="M32" s="191">
        <f t="shared" si="2"/>
        <v>3.5433786979599535E-2</v>
      </c>
      <c r="N32" s="188">
        <f>+INDEX('2019'!$1:$1048576,MATCH('Analytics - 2019'!$A32,'2019'!$A:$A,0),MATCH('Analytics - 2019'!$N$6,'2019'!$6:$6,0))</f>
        <v>39904782.170000002</v>
      </c>
      <c r="O32" s="188">
        <f>+INDEX('2019'!$1:$1048576,MATCH(CONCATENATE('Analytics - 2019'!$A32,"p"),'2019'!$A:$A,0),MATCH('Analytics - 2019'!$O$6,'2019'!$101:$101,0))</f>
        <v>39107573.981666677</v>
      </c>
      <c r="P32" s="189">
        <f t="shared" si="3"/>
        <v>797208.18833332509</v>
      </c>
      <c r="Q32" s="190">
        <f t="shared" si="4"/>
        <v>2.0385007484919671E-2</v>
      </c>
      <c r="R32" s="188">
        <f>+INDEX('2018'!$1:$1048576,MATCH('Analytics - 2019'!$A32,'2018'!$A:$A,0),MATCH('Analytics - 2019'!$R$6,'2018'!$6:$6,0))</f>
        <v>38447534.82</v>
      </c>
      <c r="S32" s="189">
        <f t="shared" si="5"/>
        <v>1457247.3500000015</v>
      </c>
      <c r="T32" s="191">
        <f t="shared" si="6"/>
        <v>3.7902231100704009E-2</v>
      </c>
    </row>
    <row r="33" spans="1:20">
      <c r="A33" s="175">
        <v>412</v>
      </c>
      <c r="B33" s="484" t="str">
        <f>+VLOOKUP($A33,Master!$D$27:$G$225,4,FALSE)</f>
        <v>Other Personal Income</v>
      </c>
      <c r="C33" s="485"/>
      <c r="D33" s="485"/>
      <c r="E33" s="485"/>
      <c r="F33" s="485"/>
      <c r="G33" s="188">
        <f>+SUMPRODUCT(('2019'!$G33:$R33)*('2019'!$G$5:$R$5&lt;=Master!$B$3)*($A33='2019'!$A$10:$A$66))</f>
        <v>4862593.17</v>
      </c>
      <c r="H33" s="188">
        <f>+SUMPRODUCT(('2019'!$G128:$R128)*('2019'!$G$5:$R$5&lt;=Master!$B$3))</f>
        <v>6361270.4941666666</v>
      </c>
      <c r="I33" s="189">
        <f t="shared" si="0"/>
        <v>-1498677.3241666667</v>
      </c>
      <c r="J33" s="190">
        <f t="shared" si="1"/>
        <v>-0.23559402568102794</v>
      </c>
      <c r="K33" s="188">
        <f>+SUMPRODUCT(('2018'!$G33:$R33)*('2018'!$G$5:$R$5&lt;=Master!$B$3))</f>
        <v>3964631.94</v>
      </c>
      <c r="L33" s="189">
        <f t="shared" si="7"/>
        <v>897961.23</v>
      </c>
      <c r="M33" s="191">
        <f t="shared" si="2"/>
        <v>0.22649296166443134</v>
      </c>
      <c r="N33" s="188">
        <f>+INDEX('2019'!$1:$1048576,MATCH('Analytics - 2019'!$A33,'2019'!$A:$A,0),MATCH('Analytics - 2019'!$N$6,'2019'!$6:$6,0))</f>
        <v>1045480.66</v>
      </c>
      <c r="O33" s="188">
        <f>+INDEX('2019'!$1:$1048576,MATCH(CONCATENATE('Analytics - 2019'!$A33,"p"),'2019'!$A:$A,0),MATCH('Analytics - 2019'!$O$6,'2019'!$101:$101,0))</f>
        <v>1248015.2908333333</v>
      </c>
      <c r="P33" s="189">
        <f t="shared" si="3"/>
        <v>-202534.63083333324</v>
      </c>
      <c r="Q33" s="190">
        <f t="shared" si="4"/>
        <v>-0.16228537608549287</v>
      </c>
      <c r="R33" s="188">
        <f>+INDEX('2018'!$1:$1048576,MATCH('Analytics - 2019'!$A33,'2018'!$A:$A,0),MATCH('Analytics - 2019'!$R$6,'2018'!$6:$6,0))</f>
        <v>835475.63</v>
      </c>
      <c r="S33" s="189">
        <f t="shared" si="5"/>
        <v>210005.03000000003</v>
      </c>
      <c r="T33" s="191">
        <f t="shared" si="6"/>
        <v>0.25135985115448545</v>
      </c>
    </row>
    <row r="34" spans="1:20">
      <c r="A34" s="175">
        <v>413</v>
      </c>
      <c r="B34" s="484" t="str">
        <f>+VLOOKUP($A34,Master!$D$27:$G$225,4,FALSE)</f>
        <v>Expenditures for Supplies</v>
      </c>
      <c r="C34" s="485"/>
      <c r="D34" s="485"/>
      <c r="E34" s="485"/>
      <c r="F34" s="485"/>
      <c r="G34" s="188">
        <f>+SUMPRODUCT(('2019'!$G34:$R34)*('2019'!$G$5:$R$5&lt;=Master!$B$3)*($A34='2019'!$A$10:$A$66))</f>
        <v>10696701.109999999</v>
      </c>
      <c r="H34" s="188">
        <f>+SUMPRODUCT(('2019'!$G129:$R129)*('2019'!$G$5:$R$5&lt;=Master!$B$3))</f>
        <v>15249783.999166669</v>
      </c>
      <c r="I34" s="189">
        <f t="shared" si="0"/>
        <v>-4553082.8891666699</v>
      </c>
      <c r="J34" s="190">
        <f t="shared" si="1"/>
        <v>-0.29856704130468181</v>
      </c>
      <c r="K34" s="188">
        <f>+SUMPRODUCT(('2018'!$G34:$R34)*('2018'!$G$5:$R$5&lt;=Master!$B$3))</f>
        <v>12437022.23</v>
      </c>
      <c r="L34" s="189">
        <f t="shared" si="7"/>
        <v>-1740321.120000001</v>
      </c>
      <c r="M34" s="191">
        <f t="shared" si="2"/>
        <v>-0.13993069143207615</v>
      </c>
      <c r="N34" s="188">
        <f>+INDEX('2019'!$1:$1048576,MATCH('Analytics - 2019'!$A34,'2019'!$A:$A,0),MATCH('Analytics - 2019'!$N$6,'2019'!$6:$6,0))</f>
        <v>2262319.3199999998</v>
      </c>
      <c r="O34" s="188">
        <f>+INDEX('2019'!$1:$1048576,MATCH(CONCATENATE('Analytics - 2019'!$A34,"p"),'2019'!$A:$A,0),MATCH('Analytics - 2019'!$O$6,'2019'!$101:$101,0))</f>
        <v>3057105.8058333341</v>
      </c>
      <c r="P34" s="189">
        <f t="shared" si="3"/>
        <v>-794786.48583333427</v>
      </c>
      <c r="Q34" s="190">
        <f t="shared" si="4"/>
        <v>-0.25998003874016529</v>
      </c>
      <c r="R34" s="188">
        <f>+INDEX('2018'!$1:$1048576,MATCH('Analytics - 2019'!$A34,'2018'!$A:$A,0),MATCH('Analytics - 2019'!$R$6,'2018'!$6:$6,0))</f>
        <v>2819164.34</v>
      </c>
      <c r="S34" s="189">
        <f t="shared" si="5"/>
        <v>-556845.02</v>
      </c>
      <c r="T34" s="191">
        <f t="shared" si="6"/>
        <v>-0.19752130519641864</v>
      </c>
    </row>
    <row r="35" spans="1:20">
      <c r="A35" s="175">
        <v>414</v>
      </c>
      <c r="B35" s="484" t="str">
        <f>+VLOOKUP($A35,Master!$D$27:$G$225,4,FALSE)</f>
        <v>Expenditures for Services</v>
      </c>
      <c r="C35" s="485"/>
      <c r="D35" s="485"/>
      <c r="E35" s="485"/>
      <c r="F35" s="485"/>
      <c r="G35" s="188">
        <f>+SUMPRODUCT(('2019'!$G35:$R35)*('2019'!$G$5:$R$5&lt;=Master!$B$3)*($A35='2019'!$A$10:$A$66))</f>
        <v>21721423.859999999</v>
      </c>
      <c r="H35" s="188">
        <f>+SUMPRODUCT(('2019'!$G130:$R130)*('2019'!$G$5:$R$5&lt;=Master!$B$3))</f>
        <v>27498860.267500002</v>
      </c>
      <c r="I35" s="189">
        <f t="shared" si="0"/>
        <v>-5777436.4075000025</v>
      </c>
      <c r="J35" s="190">
        <f t="shared" si="1"/>
        <v>-0.21009730408093186</v>
      </c>
      <c r="K35" s="188">
        <f>+SUMPRODUCT(('2018'!$G35:$R35)*('2018'!$G$5:$R$5&lt;=Master!$B$3))</f>
        <v>18545220.25</v>
      </c>
      <c r="L35" s="189">
        <f t="shared" si="7"/>
        <v>3176203.6099999994</v>
      </c>
      <c r="M35" s="191">
        <f t="shared" si="2"/>
        <v>0.17126804465964751</v>
      </c>
      <c r="N35" s="188">
        <f>+INDEX('2019'!$1:$1048576,MATCH('Analytics - 2019'!$A35,'2019'!$A:$A,0),MATCH('Analytics - 2019'!$N$6,'2019'!$6:$6,0))</f>
        <v>5518669.6799999997</v>
      </c>
      <c r="O35" s="188">
        <f>+INDEX('2019'!$1:$1048576,MATCH(CONCATENATE('Analytics - 2019'!$A35,"p"),'2019'!$A:$A,0),MATCH('Analytics - 2019'!$O$6,'2019'!$101:$101,0))</f>
        <v>5141875.5275000008</v>
      </c>
      <c r="P35" s="189">
        <f t="shared" si="3"/>
        <v>376794.15249999892</v>
      </c>
      <c r="Q35" s="190">
        <f t="shared" si="4"/>
        <v>7.3279516488645502E-2</v>
      </c>
      <c r="R35" s="188">
        <f>+INDEX('2018'!$1:$1048576,MATCH('Analytics - 2019'!$A35,'2018'!$A:$A,0),MATCH('Analytics - 2019'!$R$6,'2018'!$6:$6,0))</f>
        <v>4902792.45</v>
      </c>
      <c r="S35" s="189">
        <f t="shared" si="5"/>
        <v>615877.22999999952</v>
      </c>
      <c r="T35" s="191">
        <f t="shared" si="6"/>
        <v>0.12561764265587039</v>
      </c>
    </row>
    <row r="36" spans="1:20">
      <c r="A36" s="175">
        <v>415</v>
      </c>
      <c r="B36" s="484" t="str">
        <f>+VLOOKUP($A36,Master!$D$27:$G$225,4,FALSE)</f>
        <v>Current Maintenance</v>
      </c>
      <c r="C36" s="485"/>
      <c r="D36" s="485"/>
      <c r="E36" s="485"/>
      <c r="F36" s="485"/>
      <c r="G36" s="188">
        <f>+SUMPRODUCT(('2019'!$G36:$R36)*('2019'!$G$5:$R$5&lt;=Master!$B$3)*($A36='2019'!$A$10:$A$66))</f>
        <v>6518674.3999999994</v>
      </c>
      <c r="H36" s="188">
        <f>+SUMPRODUCT(('2019'!$G131:$R131)*('2019'!$G$5:$R$5&lt;=Master!$B$3))</f>
        <v>9631037.9683333337</v>
      </c>
      <c r="I36" s="189">
        <f t="shared" si="0"/>
        <v>-3112363.5683333343</v>
      </c>
      <c r="J36" s="190">
        <f t="shared" si="1"/>
        <v>-0.3231597236524999</v>
      </c>
      <c r="K36" s="188">
        <f>+SUMPRODUCT(('2018'!$G36:$R36)*('2018'!$G$5:$R$5&lt;=Master!$B$3))</f>
        <v>6669766.5699999994</v>
      </c>
      <c r="L36" s="189">
        <f t="shared" si="7"/>
        <v>-151092.16999999993</v>
      </c>
      <c r="M36" s="191">
        <f t="shared" si="2"/>
        <v>-2.2653292047670526E-2</v>
      </c>
      <c r="N36" s="188">
        <f>+INDEX('2019'!$1:$1048576,MATCH('Analytics - 2019'!$A36,'2019'!$A:$A,0),MATCH('Analytics - 2019'!$N$6,'2019'!$6:$6,0))</f>
        <v>1719004.83</v>
      </c>
      <c r="O36" s="188">
        <f>+INDEX('2019'!$1:$1048576,MATCH(CONCATENATE('Analytics - 2019'!$A36,"p"),'2019'!$A:$A,0),MATCH('Analytics - 2019'!$O$6,'2019'!$101:$101,0))</f>
        <v>1927678.7016666669</v>
      </c>
      <c r="P36" s="189">
        <f t="shared" si="3"/>
        <v>-208673.87166666682</v>
      </c>
      <c r="Q36" s="190">
        <f t="shared" si="4"/>
        <v>-0.10825137585752642</v>
      </c>
      <c r="R36" s="188">
        <f>+INDEX('2018'!$1:$1048576,MATCH('Analytics - 2019'!$A36,'2018'!$A:$A,0),MATCH('Analytics - 2019'!$R$6,'2018'!$6:$6,0))</f>
        <v>1674065.37</v>
      </c>
      <c r="S36" s="189">
        <f t="shared" si="5"/>
        <v>44939.459999999963</v>
      </c>
      <c r="T36" s="191">
        <f t="shared" si="6"/>
        <v>2.6844507272735685E-2</v>
      </c>
    </row>
    <row r="37" spans="1:20">
      <c r="A37" s="175">
        <v>416</v>
      </c>
      <c r="B37" s="484" t="str">
        <f>+VLOOKUP($A37,Master!$D$27:$G$225,4,FALSE)</f>
        <v>Interests</v>
      </c>
      <c r="C37" s="485"/>
      <c r="D37" s="485"/>
      <c r="E37" s="485"/>
      <c r="F37" s="485"/>
      <c r="G37" s="188">
        <f>+SUMPRODUCT(('2019'!$G37:$R37)*('2019'!$G$5:$R$5&lt;=Master!$B$3)*($A37='2019'!$A$10:$A$66))</f>
        <v>55358741.329999998</v>
      </c>
      <c r="H37" s="188">
        <f>+SUMPRODUCT(('2019'!$G132:$R132)*('2019'!$G$5:$R$5&lt;=Master!$B$3))</f>
        <v>69614512.430000007</v>
      </c>
      <c r="I37" s="189">
        <f t="shared" si="0"/>
        <v>-14255771.100000009</v>
      </c>
      <c r="J37" s="190">
        <f t="shared" si="1"/>
        <v>-0.20478159800852902</v>
      </c>
      <c r="K37" s="188">
        <f>+SUMPRODUCT(('2018'!$G37:$R37)*('2018'!$G$5:$R$5&lt;=Master!$B$3))</f>
        <v>63084033.100000001</v>
      </c>
      <c r="L37" s="189">
        <f t="shared" si="7"/>
        <v>-7725291.7700000033</v>
      </c>
      <c r="M37" s="191">
        <f t="shared" si="2"/>
        <v>-0.12246033410314727</v>
      </c>
      <c r="N37" s="188">
        <f>+INDEX('2019'!$1:$1048576,MATCH('Analytics - 2019'!$A37,'2019'!$A:$A,0),MATCH('Analytics - 2019'!$N$6,'2019'!$6:$6,0))</f>
        <v>1152255.24</v>
      </c>
      <c r="O37" s="188">
        <f>+INDEX('2019'!$1:$1048576,MATCH(CONCATENATE('Analytics - 2019'!$A37,"p"),'2019'!$A:$A,0),MATCH('Analytics - 2019'!$O$6,'2019'!$101:$101,0))</f>
        <v>14045836.270000001</v>
      </c>
      <c r="P37" s="189">
        <f t="shared" si="3"/>
        <v>-12893581.030000001</v>
      </c>
      <c r="Q37" s="190">
        <f t="shared" si="4"/>
        <v>-0.91796463963765118</v>
      </c>
      <c r="R37" s="188">
        <f>+INDEX('2018'!$1:$1048576,MATCH('Analytics - 2019'!$A37,'2018'!$A:$A,0),MATCH('Analytics - 2019'!$R$6,'2018'!$6:$6,0))</f>
        <v>10064809.060000001</v>
      </c>
      <c r="S37" s="189">
        <f t="shared" si="5"/>
        <v>-8912553.8200000003</v>
      </c>
      <c r="T37" s="191">
        <f t="shared" si="6"/>
        <v>-0.88551643323475027</v>
      </c>
    </row>
    <row r="38" spans="1:20">
      <c r="A38" s="175">
        <v>417</v>
      </c>
      <c r="B38" s="484" t="str">
        <f>+VLOOKUP($A38,Master!$D$27:$G$225,4,FALSE)</f>
        <v>Rent</v>
      </c>
      <c r="C38" s="485"/>
      <c r="D38" s="485"/>
      <c r="E38" s="485"/>
      <c r="F38" s="485"/>
      <c r="G38" s="188">
        <f>+SUMPRODUCT(('2019'!$G38:$R38)*('2019'!$G$5:$R$5&lt;=Master!$B$3)*($A38='2019'!$A$10:$A$66))</f>
        <v>3915038.14</v>
      </c>
      <c r="H38" s="188">
        <f>+SUMPRODUCT(('2019'!$G133:$R133)*('2019'!$G$5:$R$5&lt;=Master!$B$3))</f>
        <v>3976609.0300000003</v>
      </c>
      <c r="I38" s="189">
        <f t="shared" si="0"/>
        <v>-61570.89000000013</v>
      </c>
      <c r="J38" s="190">
        <f t="shared" si="1"/>
        <v>-1.5483264644701622E-2</v>
      </c>
      <c r="K38" s="188">
        <f>+SUMPRODUCT(('2018'!$G38:$R38)*('2018'!$G$5:$R$5&lt;=Master!$B$3))</f>
        <v>3405080.6500000004</v>
      </c>
      <c r="L38" s="189">
        <f t="shared" si="7"/>
        <v>509957.48999999976</v>
      </c>
      <c r="M38" s="191">
        <f t="shared" si="2"/>
        <v>0.1497637038347388</v>
      </c>
      <c r="N38" s="188">
        <f>+INDEX('2019'!$1:$1048576,MATCH('Analytics - 2019'!$A38,'2019'!$A:$A,0),MATCH('Analytics - 2019'!$N$6,'2019'!$6:$6,0))</f>
        <v>989005.29</v>
      </c>
      <c r="O38" s="188">
        <f>+INDEX('2019'!$1:$1048576,MATCH(CONCATENATE('Analytics - 2019'!$A38,"p"),'2019'!$A:$A,0),MATCH('Analytics - 2019'!$O$6,'2019'!$101:$101,0))</f>
        <v>793070.39</v>
      </c>
      <c r="P38" s="189">
        <f t="shared" si="3"/>
        <v>195934.90000000002</v>
      </c>
      <c r="Q38" s="190">
        <f t="shared" si="4"/>
        <v>0.24705865011553385</v>
      </c>
      <c r="R38" s="188">
        <f>+INDEX('2018'!$1:$1048576,MATCH('Analytics - 2019'!$A38,'2018'!$A:$A,0),MATCH('Analytics - 2019'!$R$6,'2018'!$6:$6,0))</f>
        <v>939648.68</v>
      </c>
      <c r="S38" s="189">
        <f t="shared" si="5"/>
        <v>49356.609999999986</v>
      </c>
      <c r="T38" s="191">
        <f t="shared" si="6"/>
        <v>5.2526663475970681E-2</v>
      </c>
    </row>
    <row r="39" spans="1:20">
      <c r="A39" s="175">
        <v>418</v>
      </c>
      <c r="B39" s="484" t="str">
        <f>+VLOOKUP($A39,Master!$D$27:$G$225,4,FALSE)</f>
        <v>Subsidies</v>
      </c>
      <c r="C39" s="485"/>
      <c r="D39" s="485"/>
      <c r="E39" s="485"/>
      <c r="F39" s="485"/>
      <c r="G39" s="188">
        <f>+SUMPRODUCT(('2019'!$G39:$R39)*('2019'!$G$5:$R$5&lt;=Master!$B$3)*($A39='2019'!$A$10:$A$66))</f>
        <v>8967486</v>
      </c>
      <c r="H39" s="188">
        <f>+SUMPRODUCT(('2019'!$G134:$R134)*('2019'!$G$5:$R$5&lt;=Master!$B$3))</f>
        <v>13938256.943333331</v>
      </c>
      <c r="I39" s="189">
        <f t="shared" si="0"/>
        <v>-4970770.9433333315</v>
      </c>
      <c r="J39" s="190">
        <f t="shared" si="1"/>
        <v>-0.35662787416979358</v>
      </c>
      <c r="K39" s="188">
        <f>+SUMPRODUCT(('2018'!$G39:$R39)*('2018'!$G$5:$R$5&lt;=Master!$B$3))</f>
        <v>8619571.129999999</v>
      </c>
      <c r="L39" s="189">
        <f t="shared" si="7"/>
        <v>347914.87000000104</v>
      </c>
      <c r="M39" s="191">
        <f t="shared" si="2"/>
        <v>4.0363362022630023E-2</v>
      </c>
      <c r="N39" s="188">
        <f>+INDEX('2019'!$1:$1048576,MATCH('Analytics - 2019'!$A39,'2019'!$A:$A,0),MATCH('Analytics - 2019'!$N$6,'2019'!$6:$6,0))</f>
        <v>2194236.0299999998</v>
      </c>
      <c r="O39" s="188">
        <f>+INDEX('2019'!$1:$1048576,MATCH(CONCATENATE('Analytics - 2019'!$A39,"p"),'2019'!$A:$A,0),MATCH('Analytics - 2019'!$O$6,'2019'!$101:$101,0))</f>
        <v>2190037.4966666666</v>
      </c>
      <c r="P39" s="189">
        <f t="shared" si="3"/>
        <v>4198.5333333332092</v>
      </c>
      <c r="Q39" s="190">
        <f t="shared" si="4"/>
        <v>1.9171056841371659E-3</v>
      </c>
      <c r="R39" s="188">
        <f>+INDEX('2018'!$1:$1048576,MATCH('Analytics - 2019'!$A39,'2018'!$A:$A,0),MATCH('Analytics - 2019'!$R$6,'2018'!$6:$6,0))</f>
        <v>1488510.36</v>
      </c>
      <c r="S39" s="189">
        <f t="shared" si="5"/>
        <v>705725.66999999969</v>
      </c>
      <c r="T39" s="191">
        <f t="shared" si="6"/>
        <v>0.47411539010047576</v>
      </c>
    </row>
    <row r="40" spans="1:20">
      <c r="A40" s="175">
        <v>419</v>
      </c>
      <c r="B40" s="484" t="str">
        <f>+VLOOKUP($A40,Master!$D$27:$G$225,4,FALSE)</f>
        <v>Other expenditures</v>
      </c>
      <c r="C40" s="485"/>
      <c r="D40" s="485"/>
      <c r="E40" s="485"/>
      <c r="F40" s="485"/>
      <c r="G40" s="188">
        <f>+SUMPRODUCT(('2019'!$G40:$R40)*('2019'!$G$5:$R$5&lt;=Master!$B$3)*($A40='2019'!$A$10:$A$66))</f>
        <v>13914628.600000001</v>
      </c>
      <c r="H40" s="188">
        <f>+SUMPRODUCT(('2019'!$G135:$R135)*('2019'!$G$5:$R$5&lt;=Master!$B$3))</f>
        <v>18843444.964166671</v>
      </c>
      <c r="I40" s="189">
        <f t="shared" si="0"/>
        <v>-4928816.3641666695</v>
      </c>
      <c r="J40" s="190">
        <f t="shared" si="1"/>
        <v>-0.26156662826460197</v>
      </c>
      <c r="K40" s="188">
        <f>+SUMPRODUCT(('2018'!$G40:$R40)*('2018'!$G$5:$R$5&lt;=Master!$B$3))</f>
        <v>11659693.219999999</v>
      </c>
      <c r="L40" s="189">
        <f t="shared" si="7"/>
        <v>2254935.3800000027</v>
      </c>
      <c r="M40" s="191">
        <f t="shared" si="2"/>
        <v>0.19339577272342701</v>
      </c>
      <c r="N40" s="188">
        <f>+INDEX('2019'!$1:$1048576,MATCH('Analytics - 2019'!$A40,'2019'!$A:$A,0),MATCH('Analytics - 2019'!$N$6,'2019'!$6:$6,0))</f>
        <v>2122463.62</v>
      </c>
      <c r="O40" s="188">
        <f>+INDEX('2019'!$1:$1048576,MATCH(CONCATENATE('Analytics - 2019'!$A40,"p"),'2019'!$A:$A,0),MATCH('Analytics - 2019'!$O$6,'2019'!$101:$101,0))</f>
        <v>3070265.2508333339</v>
      </c>
      <c r="P40" s="189">
        <f t="shared" si="3"/>
        <v>-947801.63083333382</v>
      </c>
      <c r="Q40" s="190">
        <f t="shared" si="4"/>
        <v>-0.30870350064251961</v>
      </c>
      <c r="R40" s="188">
        <f>+INDEX('2018'!$1:$1048576,MATCH('Analytics - 2019'!$A40,'2018'!$A:$A,0),MATCH('Analytics - 2019'!$R$6,'2018'!$6:$6,0))</f>
        <v>2637225.6800000002</v>
      </c>
      <c r="S40" s="189">
        <f t="shared" si="5"/>
        <v>-514762.06000000006</v>
      </c>
      <c r="T40" s="191">
        <f t="shared" si="6"/>
        <v>-0.19519075060728208</v>
      </c>
    </row>
    <row r="41" spans="1:20">
      <c r="A41" s="175">
        <v>440</v>
      </c>
      <c r="B41" s="484" t="str">
        <f>+VLOOKUP($A41,Master!$D$27:$G$225,4,FALSE)</f>
        <v>Current Capital Expenditure</v>
      </c>
      <c r="C41" s="485"/>
      <c r="D41" s="485"/>
      <c r="E41" s="485"/>
      <c r="F41" s="485"/>
      <c r="G41" s="188">
        <f>+SUMPRODUCT(('2019'!$G41:$R41)*('2019'!$G$5:$R$5&lt;=Master!$B$3)*($A41='2019'!$A$10:$A$66))</f>
        <v>9892324.1900000013</v>
      </c>
      <c r="H41" s="188">
        <f>+SUMPRODUCT(('2019'!$G136:$R136)*('2019'!$G$5:$R$5&lt;=Master!$B$3))</f>
        <v>24879536.547500007</v>
      </c>
      <c r="I41" s="189">
        <f t="shared" si="0"/>
        <v>-14987212.357500006</v>
      </c>
      <c r="J41" s="190">
        <f t="shared" si="1"/>
        <v>-0.60239113895415297</v>
      </c>
      <c r="K41" s="188">
        <f>+SUMPRODUCT(('2018'!$G41:$R41)*('2018'!$G$5:$R$5&lt;=Master!$B$3))</f>
        <v>9558523.9900000002</v>
      </c>
      <c r="L41" s="189">
        <f t="shared" si="7"/>
        <v>333800.20000000112</v>
      </c>
      <c r="M41" s="191">
        <f t="shared" si="2"/>
        <v>3.4921730630086634E-2</v>
      </c>
      <c r="N41" s="188">
        <f>+INDEX('2019'!$1:$1048576,MATCH('Analytics - 2019'!$A41,'2019'!$A:$A,0),MATCH('Analytics - 2019'!$N$6,'2019'!$6:$6,0))</f>
        <v>1862038.5</v>
      </c>
      <c r="O41" s="188">
        <f>+INDEX('2019'!$1:$1048576,MATCH(CONCATENATE('Analytics - 2019'!$A41,"p"),'2019'!$A:$A,0),MATCH('Analytics - 2019'!$O$6,'2019'!$101:$101,0))</f>
        <v>4720622.4975000015</v>
      </c>
      <c r="P41" s="189">
        <f t="shared" si="3"/>
        <v>-2858583.9975000015</v>
      </c>
      <c r="Q41" s="190">
        <f t="shared" si="4"/>
        <v>-0.60555233955137933</v>
      </c>
      <c r="R41" s="188">
        <f>+INDEX('2018'!$1:$1048576,MATCH('Analytics - 2019'!$A41,'2018'!$A:$A,0),MATCH('Analytics - 2019'!$R$6,'2018'!$6:$6,0))</f>
        <v>2361781.61</v>
      </c>
      <c r="S41" s="189">
        <f t="shared" si="5"/>
        <v>-499743.10999999987</v>
      </c>
      <c r="T41" s="191">
        <f t="shared" si="6"/>
        <v>-0.21159581727795729</v>
      </c>
    </row>
    <row r="42" spans="1:20">
      <c r="A42" s="175">
        <v>42</v>
      </c>
      <c r="B42" s="480" t="str">
        <f>+VLOOKUP($A42,Master!$D$27:$G$225,4,FALSE)</f>
        <v>Social Security Transfers</v>
      </c>
      <c r="C42" s="481"/>
      <c r="D42" s="481"/>
      <c r="E42" s="481"/>
      <c r="F42" s="481"/>
      <c r="G42" s="200">
        <f>+SUMPRODUCT(('2019'!$G42:$R42)*('2019'!$G$5:$R$5&lt;=Master!$B$3)*($A42='2019'!$A$10:$A$66))</f>
        <v>225798845.63000003</v>
      </c>
      <c r="H42" s="200">
        <f>+SUMPRODUCT(('2019'!$G137:$R137)*('2019'!$G$5:$R$5&lt;=Master!$B$3))</f>
        <v>231029449.14999998</v>
      </c>
      <c r="I42" s="219">
        <f t="shared" si="0"/>
        <v>-5230603.5199999511</v>
      </c>
      <c r="J42" s="220">
        <f t="shared" si="1"/>
        <v>-2.2640418956303199E-2</v>
      </c>
      <c r="K42" s="200">
        <f>+SUMPRODUCT(('2018'!$G42:$R42)*('2018'!$G$5:$R$5&lt;=Master!$B$3))</f>
        <v>219652293.66000003</v>
      </c>
      <c r="L42" s="219">
        <f t="shared" si="7"/>
        <v>6146551.9699999988</v>
      </c>
      <c r="M42" s="221">
        <f t="shared" si="2"/>
        <v>2.7983099413995793E-2</v>
      </c>
      <c r="N42" s="200">
        <f>+INDEX('2019'!$1:$1048576,MATCH('Analytics - 2019'!$A42,'2019'!$A:$A,0),MATCH('Analytics - 2019'!$N$6,'2019'!$6:$6,0))</f>
        <v>45755730.580000006</v>
      </c>
      <c r="O42" s="200">
        <f>+INDEX('2019'!$1:$1048576,MATCH(CONCATENATE('Analytics - 2019'!$A42,"p"),'2019'!$A:$A,0),MATCH('Analytics - 2019'!$O$6,'2019'!$101:$101,0))</f>
        <v>46206149.810000002</v>
      </c>
      <c r="P42" s="219">
        <f t="shared" si="3"/>
        <v>-450419.22999999672</v>
      </c>
      <c r="Q42" s="220">
        <f t="shared" si="4"/>
        <v>-9.7480363945519066E-3</v>
      </c>
      <c r="R42" s="200">
        <f>+INDEX('2018'!$1:$1048576,MATCH('Analytics - 2019'!$A42,'2018'!$A:$A,0),MATCH('Analytics - 2019'!$R$6,'2018'!$6:$6,0))</f>
        <v>43668965.609999999</v>
      </c>
      <c r="S42" s="219">
        <f t="shared" si="5"/>
        <v>2086764.9700000063</v>
      </c>
      <c r="T42" s="221">
        <f t="shared" si="6"/>
        <v>4.7785994947454169E-2</v>
      </c>
    </row>
    <row r="43" spans="1:20">
      <c r="A43" s="175">
        <v>421</v>
      </c>
      <c r="B43" s="484" t="str">
        <f>+VLOOKUP($A43,Master!$D$27:$G$225,4,FALSE)</f>
        <v>Social Security</v>
      </c>
      <c r="C43" s="485"/>
      <c r="D43" s="485"/>
      <c r="E43" s="485"/>
      <c r="F43" s="485"/>
      <c r="G43" s="188">
        <f>+SUMPRODUCT(('2019'!$G43:$R43)*('2019'!$G$5:$R$5&lt;=Master!$B$3)*($A43='2019'!$A$10:$A$66))</f>
        <v>32499805.229999997</v>
      </c>
      <c r="H43" s="188">
        <f>+SUMPRODUCT(('2019'!$G138:$R138)*('2019'!$G$5:$R$5&lt;=Master!$B$3))</f>
        <v>33745075.000000015</v>
      </c>
      <c r="I43" s="189">
        <f t="shared" si="0"/>
        <v>-1245269.7700000182</v>
      </c>
      <c r="J43" s="190">
        <f t="shared" si="1"/>
        <v>-3.6902267071565742E-2</v>
      </c>
      <c r="K43" s="188">
        <f>+SUMPRODUCT(('2018'!$G43:$R43)*('2018'!$G$5:$R$5&lt;=Master!$B$3))</f>
        <v>31827889.939999998</v>
      </c>
      <c r="L43" s="189">
        <f t="shared" si="7"/>
        <v>671915.28999999911</v>
      </c>
      <c r="M43" s="191">
        <f t="shared" si="2"/>
        <v>2.1110896489420217E-2</v>
      </c>
      <c r="N43" s="188">
        <f>+INDEX('2019'!$1:$1048576,MATCH('Analytics - 2019'!$A43,'2019'!$A:$A,0),MATCH('Analytics - 2019'!$N$6,'2019'!$6:$6,0))</f>
        <v>6410465.4699999997</v>
      </c>
      <c r="O43" s="188">
        <f>+INDEX('2019'!$1:$1048576,MATCH(CONCATENATE('Analytics - 2019'!$A43,"p"),'2019'!$A:$A,0),MATCH('Analytics - 2019'!$O$6,'2019'!$101:$101,0))</f>
        <v>6749275.0000000028</v>
      </c>
      <c r="P43" s="189">
        <f t="shared" si="3"/>
        <v>-338809.53000000305</v>
      </c>
      <c r="Q43" s="190">
        <f t="shared" si="4"/>
        <v>-5.0199396231447535E-2</v>
      </c>
      <c r="R43" s="188">
        <f>+INDEX('2018'!$1:$1048576,MATCH('Analytics - 2019'!$A43,'2018'!$A:$A,0),MATCH('Analytics - 2019'!$R$6,'2018'!$6:$6,0))</f>
        <v>6153473.4699999997</v>
      </c>
      <c r="S43" s="189">
        <f t="shared" si="5"/>
        <v>256992</v>
      </c>
      <c r="T43" s="191">
        <f t="shared" si="6"/>
        <v>4.1763729258428084E-2</v>
      </c>
    </row>
    <row r="44" spans="1:20">
      <c r="A44" s="175">
        <v>422</v>
      </c>
      <c r="B44" s="484" t="str">
        <f>+VLOOKUP($A44,Master!$D$27:$G$225,4,FALSE)</f>
        <v>Funds for redundant labor</v>
      </c>
      <c r="C44" s="485"/>
      <c r="D44" s="485"/>
      <c r="E44" s="485"/>
      <c r="F44" s="485"/>
      <c r="G44" s="188">
        <f>+SUMPRODUCT(('2019'!$G44:$R44)*('2019'!$G$5:$R$5&lt;=Master!$B$3)*($A44='2019'!$A$10:$A$66))</f>
        <v>4789797.46</v>
      </c>
      <c r="H44" s="188">
        <f>+SUMPRODUCT(('2019'!$G139:$R139)*('2019'!$G$5:$R$5&lt;=Master!$B$3))</f>
        <v>6180159.2800000012</v>
      </c>
      <c r="I44" s="189">
        <f t="shared" si="0"/>
        <v>-1390361.8200000012</v>
      </c>
      <c r="J44" s="190">
        <f t="shared" si="1"/>
        <v>-0.22497184247328994</v>
      </c>
      <c r="K44" s="188">
        <f>+SUMPRODUCT(('2018'!$G44:$R44)*('2018'!$G$5:$R$5&lt;=Master!$B$3))</f>
        <v>4540085.5199999996</v>
      </c>
      <c r="L44" s="189">
        <f t="shared" si="7"/>
        <v>249711.94000000041</v>
      </c>
      <c r="M44" s="191">
        <f t="shared" si="2"/>
        <v>5.5001593890680711E-2</v>
      </c>
      <c r="N44" s="188">
        <f>+INDEX('2019'!$1:$1048576,MATCH('Analytics - 2019'!$A44,'2019'!$A:$A,0),MATCH('Analytics - 2019'!$N$6,'2019'!$6:$6,0))</f>
        <v>1341095.6299999999</v>
      </c>
      <c r="O44" s="188">
        <f>+INDEX('2019'!$1:$1048576,MATCH(CONCATENATE('Analytics - 2019'!$A44,"p"),'2019'!$A:$A,0),MATCH('Analytics - 2019'!$O$6,'2019'!$101:$101,0))</f>
        <v>1236031.8699999999</v>
      </c>
      <c r="P44" s="189">
        <f t="shared" si="3"/>
        <v>105063.76000000001</v>
      </c>
      <c r="Q44" s="190">
        <f t="shared" si="4"/>
        <v>8.5000850342151768E-2</v>
      </c>
      <c r="R44" s="188">
        <f>+INDEX('2018'!$1:$1048576,MATCH('Analytics - 2019'!$A44,'2018'!$A:$A,0),MATCH('Analytics - 2019'!$R$6,'2018'!$6:$6,0))</f>
        <v>1061504.47</v>
      </c>
      <c r="S44" s="189">
        <f t="shared" si="5"/>
        <v>279591.15999999992</v>
      </c>
      <c r="T44" s="191">
        <f t="shared" si="6"/>
        <v>0.26339141087177897</v>
      </c>
    </row>
    <row r="45" spans="1:20">
      <c r="A45" s="175">
        <v>423</v>
      </c>
      <c r="B45" s="484" t="str">
        <f>+VLOOKUP($A45,Master!$D$27:$G$225,4,FALSE)</f>
        <v>Pension and Disability Insurance</v>
      </c>
      <c r="C45" s="485"/>
      <c r="D45" s="485"/>
      <c r="E45" s="485"/>
      <c r="F45" s="485"/>
      <c r="G45" s="188">
        <f>+SUMPRODUCT(('2019'!$G45:$R45)*('2019'!$G$5:$R$5&lt;=Master!$B$3)*($A45='2019'!$A$10:$A$66))</f>
        <v>175706812.54000002</v>
      </c>
      <c r="H45" s="188">
        <f>+SUMPRODUCT(('2019'!$G140:$R140)*('2019'!$G$5:$R$5&lt;=Master!$B$3))</f>
        <v>178760422.73999998</v>
      </c>
      <c r="I45" s="189">
        <f t="shared" si="0"/>
        <v>-3053610.1999999583</v>
      </c>
      <c r="J45" s="190">
        <f t="shared" si="1"/>
        <v>-1.7082137943035147E-2</v>
      </c>
      <c r="K45" s="188">
        <f>+SUMPRODUCT(('2018'!$G45:$R45)*('2018'!$G$5:$R$5&lt;=Master!$B$3))</f>
        <v>172958523.13999999</v>
      </c>
      <c r="L45" s="189">
        <f t="shared" si="7"/>
        <v>2748289.4000000358</v>
      </c>
      <c r="M45" s="191">
        <f t="shared" si="2"/>
        <v>1.588987550370935E-2</v>
      </c>
      <c r="N45" s="188">
        <f>+INDEX('2019'!$1:$1048576,MATCH('Analytics - 2019'!$A45,'2019'!$A:$A,0),MATCH('Analytics - 2019'!$N$6,'2019'!$6:$6,0))</f>
        <v>35184087.420000002</v>
      </c>
      <c r="O45" s="188">
        <f>+INDEX('2019'!$1:$1048576,MATCH(CONCATENATE('Analytics - 2019'!$A45,"p"),'2019'!$A:$A,0),MATCH('Analytics - 2019'!$O$6,'2019'!$101:$101,0))</f>
        <v>35752084.530000001</v>
      </c>
      <c r="P45" s="189">
        <f t="shared" si="3"/>
        <v>-567997.1099999994</v>
      </c>
      <c r="Q45" s="190">
        <f t="shared" si="4"/>
        <v>-1.5887104695206933E-2</v>
      </c>
      <c r="R45" s="188">
        <f>+INDEX('2018'!$1:$1048576,MATCH('Analytics - 2019'!$A45,'2018'!$A:$A,0),MATCH('Analytics - 2019'!$R$6,'2018'!$6:$6,0))</f>
        <v>34624926.579999998</v>
      </c>
      <c r="S45" s="189">
        <f t="shared" si="5"/>
        <v>559160.84000000358</v>
      </c>
      <c r="T45" s="191">
        <f t="shared" si="6"/>
        <v>1.6149083773739692E-2</v>
      </c>
    </row>
    <row r="46" spans="1:20">
      <c r="A46" s="175">
        <v>424</v>
      </c>
      <c r="B46" s="484" t="str">
        <f>+VLOOKUP($A46,Master!$D$27:$G$225,4,FALSE)</f>
        <v>Other Health Care Transfers</v>
      </c>
      <c r="C46" s="485"/>
      <c r="D46" s="485"/>
      <c r="E46" s="485"/>
      <c r="F46" s="485"/>
      <c r="G46" s="188">
        <f>+SUMPRODUCT(('2019'!$G46:$R46)*('2019'!$G$5:$R$5&lt;=Master!$B$3)*($A46='2019'!$A$10:$A$66))</f>
        <v>8466938.3300000001</v>
      </c>
      <c r="H46" s="188">
        <f>+SUMPRODUCT(('2019'!$G141:$R141)*('2019'!$G$5:$R$5&lt;=Master!$B$3))</f>
        <v>7916708.379999999</v>
      </c>
      <c r="I46" s="189">
        <f t="shared" si="0"/>
        <v>550229.95000000112</v>
      </c>
      <c r="J46" s="190">
        <f t="shared" si="1"/>
        <v>6.950236431470036E-2</v>
      </c>
      <c r="K46" s="188">
        <f>+SUMPRODUCT(('2018'!$G46:$R46)*('2018'!$G$5:$R$5&lt;=Master!$B$3))</f>
        <v>6881113.2400000002</v>
      </c>
      <c r="L46" s="189">
        <f t="shared" si="7"/>
        <v>1585825.0899999999</v>
      </c>
      <c r="M46" s="191">
        <f t="shared" si="2"/>
        <v>0.23046054245722591</v>
      </c>
      <c r="N46" s="188">
        <f>+INDEX('2019'!$1:$1048576,MATCH('Analytics - 2019'!$A46,'2019'!$A:$A,0),MATCH('Analytics - 2019'!$N$6,'2019'!$6:$6,0))</f>
        <v>1914804.54</v>
      </c>
      <c r="O46" s="188">
        <f>+INDEX('2019'!$1:$1048576,MATCH(CONCATENATE('Analytics - 2019'!$A46,"p"),'2019'!$A:$A,0),MATCH('Analytics - 2019'!$O$6,'2019'!$101:$101,0))</f>
        <v>1583341.6600000001</v>
      </c>
      <c r="P46" s="189">
        <f t="shared" si="3"/>
        <v>331462.87999999989</v>
      </c>
      <c r="Q46" s="190">
        <f t="shared" si="4"/>
        <v>0.20934387591367987</v>
      </c>
      <c r="R46" s="188">
        <f>+INDEX('2018'!$1:$1048576,MATCH('Analytics - 2019'!$A46,'2018'!$A:$A,0),MATCH('Analytics - 2019'!$R$6,'2018'!$6:$6,0))</f>
        <v>1118465.46</v>
      </c>
      <c r="S46" s="189">
        <f t="shared" si="5"/>
        <v>796339.08000000007</v>
      </c>
      <c r="T46" s="191">
        <f t="shared" si="6"/>
        <v>0.71199255451303789</v>
      </c>
    </row>
    <row r="47" spans="1:20">
      <c r="A47" s="175">
        <v>425</v>
      </c>
      <c r="B47" s="484" t="str">
        <f>+VLOOKUP($A47,Master!$D$27:$G$225,4,FALSE)</f>
        <v>Other Health Care Insurance</v>
      </c>
      <c r="C47" s="485"/>
      <c r="D47" s="485"/>
      <c r="E47" s="485"/>
      <c r="F47" s="485"/>
      <c r="G47" s="188">
        <f>+SUMPRODUCT(('2019'!$G47:$R47)*('2019'!$G$5:$R$5&lt;=Master!$B$3)*($A47='2019'!$A$10:$A$66))</f>
        <v>4335492.07</v>
      </c>
      <c r="H47" s="188">
        <f>+SUMPRODUCT(('2019'!$G142:$R142)*('2019'!$G$5:$R$5&lt;=Master!$B$3))</f>
        <v>4427083.75</v>
      </c>
      <c r="I47" s="189">
        <f t="shared" si="0"/>
        <v>-91591.679999999702</v>
      </c>
      <c r="J47" s="190">
        <f t="shared" si="1"/>
        <v>-2.0688942241040675E-2</v>
      </c>
      <c r="K47" s="188">
        <f>+SUMPRODUCT(('2018'!$G47:$R47)*('2018'!$G$5:$R$5&lt;=Master!$B$3))</f>
        <v>3444681.82</v>
      </c>
      <c r="L47" s="189">
        <f t="shared" si="7"/>
        <v>890810.25000000047</v>
      </c>
      <c r="M47" s="191">
        <f t="shared" si="2"/>
        <v>0.25860450879030683</v>
      </c>
      <c r="N47" s="188">
        <f>+INDEX('2019'!$1:$1048576,MATCH('Analytics - 2019'!$A47,'2019'!$A:$A,0),MATCH('Analytics - 2019'!$N$6,'2019'!$6:$6,0))</f>
        <v>905277.52</v>
      </c>
      <c r="O47" s="188">
        <f>+INDEX('2019'!$1:$1048576,MATCH(CONCATENATE('Analytics - 2019'!$A47,"p"),'2019'!$A:$A,0),MATCH('Analytics - 2019'!$O$6,'2019'!$101:$101,0))</f>
        <v>885416.75</v>
      </c>
      <c r="P47" s="189">
        <f t="shared" si="3"/>
        <v>19860.770000000019</v>
      </c>
      <c r="Q47" s="190">
        <f t="shared" si="4"/>
        <v>2.2430985182966046E-2</v>
      </c>
      <c r="R47" s="188">
        <f>+INDEX('2018'!$1:$1048576,MATCH('Analytics - 2019'!$A47,'2018'!$A:$A,0),MATCH('Analytics - 2019'!$R$6,'2018'!$6:$6,0))</f>
        <v>710595.63</v>
      </c>
      <c r="S47" s="189">
        <f t="shared" si="5"/>
        <v>194681.89</v>
      </c>
      <c r="T47" s="191">
        <f t="shared" si="6"/>
        <v>0.27397000738662025</v>
      </c>
    </row>
    <row r="48" spans="1:20">
      <c r="A48" s="175">
        <v>43</v>
      </c>
      <c r="B48" s="482" t="str">
        <f>+VLOOKUP($A48,Master!$D$27:$G$225,4,FALSE)</f>
        <v xml:space="preserve">Transfers to Institutions, Individuals, NGO and Public Sector </v>
      </c>
      <c r="C48" s="483"/>
      <c r="D48" s="483"/>
      <c r="E48" s="483"/>
      <c r="F48" s="483"/>
      <c r="G48" s="200">
        <f>+SUMPRODUCT(('2019'!$G48:$R48)*('2019'!$G$5:$R$5&lt;=Master!$B$3)*($A48='2019'!$A$10:$A$66))</f>
        <v>84430458.900000006</v>
      </c>
      <c r="H48" s="200">
        <f>+SUMPRODUCT(('2019'!$G143:$R143)*('2019'!$G$5:$R$5&lt;=Master!$B$3))</f>
        <v>92298849.231666654</v>
      </c>
      <c r="I48" s="201">
        <f t="shared" si="0"/>
        <v>-7868390.3316666484</v>
      </c>
      <c r="J48" s="202">
        <f t="shared" si="1"/>
        <v>-8.5249062119044261E-2</v>
      </c>
      <c r="K48" s="200">
        <f>+SUMPRODUCT(('2018'!$G48:$R48)*('2018'!$G$5:$R$5&lt;=Master!$B$3))</f>
        <v>69485225.13000001</v>
      </c>
      <c r="L48" s="201">
        <f t="shared" si="7"/>
        <v>14945233.769999996</v>
      </c>
      <c r="M48" s="203">
        <f t="shared" si="2"/>
        <v>0.21508505933511679</v>
      </c>
      <c r="N48" s="200">
        <f>+INDEX('2019'!$1:$1048576,MATCH('Analytics - 2019'!$A48,'2019'!$A:$A,0),MATCH('Analytics - 2019'!$N$6,'2019'!$6:$6,0))</f>
        <v>17254969.68</v>
      </c>
      <c r="O48" s="200">
        <f>+INDEX('2019'!$1:$1048576,MATCH(CONCATENATE('Analytics - 2019'!$A48,"p"),'2019'!$A:$A,0),MATCH('Analytics - 2019'!$O$6,'2019'!$101:$101,0))</f>
        <v>15993608.598333333</v>
      </c>
      <c r="P48" s="201">
        <f t="shared" si="3"/>
        <v>1261361.081666667</v>
      </c>
      <c r="Q48" s="202">
        <f t="shared" si="4"/>
        <v>7.8866571850339628E-2</v>
      </c>
      <c r="R48" s="200">
        <f>+INDEX('2018'!$1:$1048576,MATCH('Analytics - 2019'!$A48,'2018'!$A:$A,0),MATCH('Analytics - 2019'!$R$6,'2018'!$6:$6,0))</f>
        <v>13306183.48</v>
      </c>
      <c r="S48" s="201">
        <f t="shared" si="5"/>
        <v>3948786.1999999993</v>
      </c>
      <c r="T48" s="203">
        <f t="shared" si="6"/>
        <v>0.29676324589505798</v>
      </c>
    </row>
    <row r="49" spans="1:23">
      <c r="A49" s="175">
        <v>44</v>
      </c>
      <c r="B49" s="482" t="str">
        <f>+VLOOKUP($A49,Master!$D$27:$G$225,4,FALSE)</f>
        <v>Capital Expenditure</v>
      </c>
      <c r="C49" s="483"/>
      <c r="D49" s="483"/>
      <c r="E49" s="483"/>
      <c r="F49" s="483"/>
      <c r="G49" s="200">
        <f>+SUMPRODUCT(('2019'!$G49:$R49)*('2019'!$G$5:$R$5&lt;=Master!$B$3)*($A49='2019'!$A$10:$A$66))</f>
        <v>69009497.510000005</v>
      </c>
      <c r="H49" s="200">
        <f>+SUMPRODUCT(('2019'!$G144:$R144)*('2019'!$G$5:$R$5&lt;=Master!$B$3))</f>
        <v>133718749.94999997</v>
      </c>
      <c r="I49" s="201">
        <f t="shared" si="0"/>
        <v>-64709252.439999968</v>
      </c>
      <c r="J49" s="202">
        <f t="shared" si="1"/>
        <v>-0.48392056061095401</v>
      </c>
      <c r="K49" s="200">
        <f>+SUMPRODUCT(('2018'!$G49:$R49)*('2018'!$G$5:$R$5&lt;=Master!$B$3))</f>
        <v>59933409.270000003</v>
      </c>
      <c r="L49" s="201">
        <f t="shared" si="7"/>
        <v>9076088.2400000021</v>
      </c>
      <c r="M49" s="203">
        <f t="shared" si="2"/>
        <v>0.15143620812746073</v>
      </c>
      <c r="N49" s="200">
        <f>+INDEX('2019'!$1:$1048576,MATCH('Analytics - 2019'!$A49,'2019'!$A:$A,0),MATCH('Analytics - 2019'!$N$6,'2019'!$6:$6,0))</f>
        <v>11464377.560000001</v>
      </c>
      <c r="O49" s="200">
        <f>+INDEX('2019'!$1:$1048576,MATCH(CONCATENATE('Analytics - 2019'!$A49,"p"),'2019'!$A:$A,0),MATCH('Analytics - 2019'!$O$6,'2019'!$101:$101,0))</f>
        <v>26743749.989999995</v>
      </c>
      <c r="P49" s="201">
        <f t="shared" si="3"/>
        <v>-15279372.429999994</v>
      </c>
      <c r="Q49" s="202">
        <f t="shared" si="4"/>
        <v>-0.57132498006873556</v>
      </c>
      <c r="R49" s="200">
        <f>+INDEX('2018'!$1:$1048576,MATCH('Analytics - 2019'!$A49,'2018'!$A:$A,0),MATCH('Analytics - 2019'!$R$6,'2018'!$6:$6,0))</f>
        <v>13043534.289999999</v>
      </c>
      <c r="S49" s="201">
        <f t="shared" si="5"/>
        <v>-1579156.7299999986</v>
      </c>
      <c r="T49" s="203" t="s">
        <v>777</v>
      </c>
    </row>
    <row r="50" spans="1:23">
      <c r="A50" s="175">
        <v>451</v>
      </c>
      <c r="B50" s="452" t="str">
        <f>+VLOOKUP($A50,Master!$D$27:$G$225,4,FALSE)</f>
        <v>Credits and Borrowings</v>
      </c>
      <c r="C50" s="453"/>
      <c r="D50" s="453"/>
      <c r="E50" s="453"/>
      <c r="F50" s="453"/>
      <c r="G50" s="188">
        <f>+SUMPRODUCT(('2019'!$G50:$R50)*('2019'!$G$5:$R$5&lt;=Master!$B$3)*($A50='2019'!$A$10:$A$66))</f>
        <v>946857.98</v>
      </c>
      <c r="H50" s="188">
        <f>+SUMPRODUCT(('2019'!$G145:$R145)*('2019'!$G$5:$R$5&lt;=Master!$B$3))</f>
        <v>950000.41666666674</v>
      </c>
      <c r="I50" s="189">
        <f>G50-H50</f>
        <v>-3142.4366666667629</v>
      </c>
      <c r="J50" s="343">
        <f t="shared" si="1"/>
        <v>-3.3078266193743433E-3</v>
      </c>
      <c r="K50" s="188">
        <f>+SUMPRODUCT(('2018'!$G50:$R50)*('2018'!$G$5:$R$5&lt;=Master!$B$3))</f>
        <v>949392.62</v>
      </c>
      <c r="L50" s="349">
        <f t="shared" si="7"/>
        <v>-2534.640000000014</v>
      </c>
      <c r="M50" s="352">
        <f t="shared" si="2"/>
        <v>-2.669749002262134E-3</v>
      </c>
      <c r="N50" s="188">
        <f>+INDEX('2019'!$1:$1048576,MATCH('Analytics - 2019'!$A50,'2019'!$A:$A,0),MATCH('Analytics - 2019'!$N$6,'2019'!$6:$6,0))</f>
        <v>260000</v>
      </c>
      <c r="O50" s="188">
        <f>+INDEX('2019'!$1:$1048576,MATCH(CONCATENATE('Analytics - 2019'!$A50,"p"),'2019'!$A:$A,0),MATCH('Analytics - 2019'!$O$6,'2019'!$101:$101,0))</f>
        <v>190000.08333333334</v>
      </c>
      <c r="P50" s="189">
        <f t="shared" si="3"/>
        <v>69999.916666666657</v>
      </c>
      <c r="Q50" s="343">
        <f t="shared" si="4"/>
        <v>0.36842045244716992</v>
      </c>
      <c r="R50" s="188">
        <f>+INDEX('2018'!$1:$1048576,MATCH('Analytics - 2019'!$A50,'2018'!$A:$A,0),MATCH('Analytics - 2019'!$R$6,'2018'!$6:$6,0))</f>
        <v>278222</v>
      </c>
      <c r="S50" s="349">
        <f t="shared" si="5"/>
        <v>-18222</v>
      </c>
      <c r="T50" s="352" t="s">
        <v>777</v>
      </c>
    </row>
    <row r="51" spans="1:23">
      <c r="A51" s="175">
        <v>47</v>
      </c>
      <c r="B51" s="452" t="str">
        <f>+VLOOKUP($A51,Master!$D$27:$G$225,4,FALSE)</f>
        <v>Reserves</v>
      </c>
      <c r="C51" s="453"/>
      <c r="D51" s="453"/>
      <c r="E51" s="453"/>
      <c r="F51" s="453"/>
      <c r="G51" s="188">
        <f>+SUMPRODUCT(('2019'!$G51:$R51)*('2019'!$G$5:$R$5&lt;=Master!$B$3)*($A51='2019'!$A$10:$A$66))</f>
        <v>5449963.3000000007</v>
      </c>
      <c r="H51" s="188">
        <f>+SUMPRODUCT(('2019'!$G146:$R146)*('2019'!$G$5:$R$5&lt;=Master!$B$3))</f>
        <v>8445916.666666666</v>
      </c>
      <c r="I51" s="189">
        <f t="shared" ref="I51:I52" si="8">G51-H51</f>
        <v>-2995953.3666666653</v>
      </c>
      <c r="J51" s="344">
        <f t="shared" si="1"/>
        <v>-0.35472210831664208</v>
      </c>
      <c r="K51" s="188">
        <f>+SUMPRODUCT(('2018'!$G51:$R51)*('2018'!$G$5:$R$5&lt;=Master!$B$3))</f>
        <v>7137280.5</v>
      </c>
      <c r="L51" s="350">
        <f t="shared" si="7"/>
        <v>-1687317.1999999993</v>
      </c>
      <c r="M51" s="353">
        <f t="shared" si="2"/>
        <v>-0.23640897958262941</v>
      </c>
      <c r="N51" s="188">
        <f>+INDEX('2019'!$1:$1048576,MATCH('Analytics - 2019'!$A51,'2019'!$A:$A,0),MATCH('Analytics - 2019'!$N$6,'2019'!$6:$6,0))</f>
        <v>1408200</v>
      </c>
      <c r="O51" s="188">
        <f>+INDEX('2019'!$1:$1048576,MATCH(CONCATENATE('Analytics - 2019'!$A51,"p"),'2019'!$A:$A,0),MATCH('Analytics - 2019'!$O$6,'2019'!$101:$101,0))</f>
        <v>1650583.3333333333</v>
      </c>
      <c r="P51" s="189">
        <f t="shared" si="3"/>
        <v>-242383.33333333326</v>
      </c>
      <c r="Q51" s="344">
        <f t="shared" si="4"/>
        <v>-0.14684707426667332</v>
      </c>
      <c r="R51" s="188">
        <f>+INDEX('2018'!$1:$1048576,MATCH('Analytics - 2019'!$A51,'2018'!$A:$A,0),MATCH('Analytics - 2019'!$R$6,'2018'!$6:$6,0))</f>
        <v>4042331.56</v>
      </c>
      <c r="S51" s="350">
        <f t="shared" si="5"/>
        <v>-2634131.56</v>
      </c>
      <c r="T51" s="353">
        <f t="shared" si="6"/>
        <v>-0.65163669058358986</v>
      </c>
      <c r="W51" s="441"/>
    </row>
    <row r="52" spans="1:23" ht="15.75" thickBot="1">
      <c r="A52" s="175">
        <v>462</v>
      </c>
      <c r="B52" s="470" t="str">
        <f>+VLOOKUP($A52,Master!$D$27:$G$225,4,FALSE)</f>
        <v>Repayment of Guarantees</v>
      </c>
      <c r="C52" s="471"/>
      <c r="D52" s="471"/>
      <c r="E52" s="471"/>
      <c r="F52" s="471"/>
      <c r="G52" s="188">
        <f>+SUMPRODUCT(('2019'!$G52:$R52)*('2019'!$G$5:$R$5&lt;=Master!$B$3)*($A52='2019'!$A$10:$A$66))</f>
        <v>9434672.4100000001</v>
      </c>
      <c r="H52" s="188">
        <f>+SUMPRODUCT(('2019'!$G147:$R147)*('2019'!$G$5:$R$5&lt;=Master!$B$3))</f>
        <v>0</v>
      </c>
      <c r="I52" s="189">
        <f t="shared" si="8"/>
        <v>9434672.4100000001</v>
      </c>
      <c r="J52" s="345" t="str">
        <f t="shared" si="1"/>
        <v>…</v>
      </c>
      <c r="K52" s="188">
        <f>+SUMPRODUCT(('2018'!$G52:$R52)*('2018'!$G$5:$R$5&lt;=Master!$B$3))</f>
        <v>0</v>
      </c>
      <c r="L52" s="350">
        <f t="shared" si="7"/>
        <v>9434672.4100000001</v>
      </c>
      <c r="M52" s="354" t="str">
        <f t="shared" si="2"/>
        <v>…</v>
      </c>
      <c r="N52" s="188">
        <f>+INDEX('2019'!$1:$1048576,MATCH('Analytics - 2019'!$A52,'2019'!$A:$A,0),MATCH('Analytics - 2019'!$N$6,'2019'!$6:$6,0))</f>
        <v>0</v>
      </c>
      <c r="O52" s="188">
        <f>+INDEX('2019'!$1:$1048576,MATCH(CONCATENATE('Analytics - 2019'!$A52,"p"),'2019'!$A:$A,0),MATCH('Analytics - 2019'!$O$6,'2019'!$101:$101,0))</f>
        <v>0</v>
      </c>
      <c r="P52" s="189">
        <f t="shared" si="3"/>
        <v>0</v>
      </c>
      <c r="Q52" s="345" t="str">
        <f t="shared" si="4"/>
        <v>…</v>
      </c>
      <c r="R52" s="188">
        <f>+INDEX('2018'!$1:$1048576,MATCH('Analytics - 2019'!$A52,'2018'!$A:$A,0),MATCH('Analytics - 2019'!$R$6,'2018'!$6:$6,0))</f>
        <v>0</v>
      </c>
      <c r="S52" s="350">
        <f t="shared" si="5"/>
        <v>0</v>
      </c>
      <c r="T52" s="354" t="str">
        <f t="shared" si="6"/>
        <v>…</v>
      </c>
    </row>
    <row r="53" spans="1:23" ht="15.75" thickBot="1">
      <c r="A53" s="169">
        <v>4630</v>
      </c>
      <c r="B53" s="470" t="str">
        <f>+VLOOKUP($A53,Master!$D$27:$G$225,4,FALSE)</f>
        <v>Repayments of Arrears</v>
      </c>
      <c r="C53" s="471"/>
      <c r="D53" s="471"/>
      <c r="E53" s="471"/>
      <c r="F53" s="471"/>
      <c r="G53" s="390">
        <f>+SUMPRODUCT(('2019'!$G53:$R53)*('2019'!$G$5:$R$5&lt;=Master!$B$3)*($A53='2019'!$A$10:$A$66))</f>
        <v>7524025.6399999997</v>
      </c>
      <c r="H53" s="390">
        <f>+SUMPRODUCT(('2019'!$G148:$R148)*('2019'!$G$5:$R$5&lt;=Master!$B$3))</f>
        <v>7221752.7800000003</v>
      </c>
      <c r="I53" s="351">
        <f>G53-H53</f>
        <v>302272.8599999994</v>
      </c>
      <c r="J53" s="346">
        <f t="shared" si="1"/>
        <v>4.1855885850470731E-2</v>
      </c>
      <c r="K53" s="390">
        <f>+SUMPRODUCT(('2018'!$G53:$R53)*('2018'!$G$5:$R$5&lt;=Master!$B$3))</f>
        <v>9682771.2599999998</v>
      </c>
      <c r="L53" s="357">
        <f t="shared" si="7"/>
        <v>-2158745.62</v>
      </c>
      <c r="M53" s="355">
        <f t="shared" si="2"/>
        <v>-0.22294708426273413</v>
      </c>
      <c r="N53" s="390">
        <f>+INDEX('2019'!$1:$1048576,MATCH('Analytics - 2019'!$A53,'2019'!$A:$A,0),MATCH('Analytics - 2019'!$N$6,'2019'!$6:$6,0))</f>
        <v>1459507.08</v>
      </c>
      <c r="O53" s="390">
        <f>+INDEX('2019'!$1:$1048576,MATCH(CONCATENATE('Analytics - 2019'!$A53,"p"),'2019'!$A:$A,0),MATCH('Analytics - 2019'!$O$6,'2019'!$101:$101,0))</f>
        <v>1677270.12</v>
      </c>
      <c r="P53" s="351">
        <f>N53-O53</f>
        <v>-217763.04000000004</v>
      </c>
      <c r="Q53" s="346">
        <f t="shared" si="4"/>
        <v>-0.12983182458410458</v>
      </c>
      <c r="R53" s="390">
        <f>+INDEX('2018'!$1:$1048576,MATCH('Analytics - 2019'!$A53,'2018'!$A:$A,0),MATCH('Analytics - 2019'!$R$6,'2018'!$6:$6,0))</f>
        <v>1250843.27</v>
      </c>
      <c r="S53" s="357">
        <f>+N53-R53</f>
        <v>208663.81000000006</v>
      </c>
      <c r="T53" s="355">
        <f>+IF(ISNUMBER(N53/R53-1),N53/R53-1,"…")</f>
        <v>0.16681850956435174</v>
      </c>
    </row>
    <row r="54" spans="1:23" ht="15.75" thickBot="1">
      <c r="A54" s="169">
        <v>1005</v>
      </c>
      <c r="B54" s="470" t="str">
        <f>+VLOOKUP($A54,Master!$D$27:$G$227,4,FALSE)</f>
        <v>Net increase of liabilities</v>
      </c>
      <c r="C54" s="471"/>
      <c r="D54" s="471"/>
      <c r="E54" s="471"/>
      <c r="F54" s="471"/>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-53390213.380000114</v>
      </c>
      <c r="H55" s="176">
        <f>+SUMPRODUCT(('2019'!$G150:$R150)*('2019'!$G$5:$R$5&lt;=Master!$B$3))</f>
        <v>-203451746.75511017</v>
      </c>
      <c r="I55" s="397">
        <f>+G55-H55</f>
        <v>150061533.37511006</v>
      </c>
      <c r="J55" s="348">
        <f t="shared" si="1"/>
        <v>-0.73757800445790922</v>
      </c>
      <c r="K55" s="176">
        <f>+SUMPRODUCT(('2018'!$G55:$R55)*('2018'!$G$5:$R$5&lt;=Master!$B$3))</f>
        <v>-70411680.349999979</v>
      </c>
      <c r="L55" s="358">
        <f t="shared" si="7"/>
        <v>17021466.969999865</v>
      </c>
      <c r="M55" s="356">
        <f t="shared" si="2"/>
        <v>-0.24174209286570258</v>
      </c>
      <c r="N55" s="176">
        <f>+INDEX('2019'!$1:$1048576,MATCH('Analytics - 2019'!$A55,'2019'!$A:$A,0),MATCH('Analytics - 2019'!$N$6,'2019'!$6:$6,0))</f>
        <v>7764624.5199999809</v>
      </c>
      <c r="O55" s="176">
        <f>+INDEX('2019'!$1:$1048576,MATCH(CONCATENATE('Analytics - 2019'!$A55,"p"),'2019'!$A:$A,0),MATCH('Analytics - 2019'!$O$6,'2019'!$101:$101,0))</f>
        <v>-22836050.737300813</v>
      </c>
      <c r="P55" s="397">
        <f>N55-O55</f>
        <v>30600675.257300794</v>
      </c>
      <c r="Q55" s="348">
        <f t="shared" si="4"/>
        <v>-1.3400160828736076</v>
      </c>
      <c r="R55" s="176">
        <f>+INDEX('2018'!$1:$1048576,MATCH('Analytics - 2019'!$A55,'2018'!$A:$A,0),MATCH('Analytics - 2019'!$R$6,'2018'!$6:$6,0))</f>
        <v>-2919925.2200000286</v>
      </c>
      <c r="S55" s="358">
        <f t="shared" si="5"/>
        <v>10684549.74000001</v>
      </c>
      <c r="T55" s="348">
        <f>+IF(ISNUMBER(N55/R55-1),N55/R55-1,"…")</f>
        <v>-3.6591860869642083</v>
      </c>
    </row>
    <row r="56" spans="1:23" ht="15.75" thickBot="1">
      <c r="A56" s="169">
        <v>1001</v>
      </c>
      <c r="B56" s="478" t="str">
        <f>+VLOOKUP($A56,Master!$D$27:$G$225,4,FALSE)</f>
        <v>Primary balance</v>
      </c>
      <c r="C56" s="479"/>
      <c r="D56" s="479"/>
      <c r="E56" s="479"/>
      <c r="F56" s="479"/>
      <c r="G56" s="176">
        <f>+SUMPRODUCT(('2019'!$G56:$R56)*('2019'!$G$5:$R$5&lt;=Master!$B$3)*($A56='2019'!$A$10:$A$66))</f>
        <v>1968527.9499998819</v>
      </c>
      <c r="H56" s="176">
        <f>+SUMPRODUCT(('2019'!$G151:$R151)*('2019'!$G$5:$R$5&lt;=Master!$B$3))</f>
        <v>-133837234.32511018</v>
      </c>
      <c r="I56" s="231">
        <f t="shared" si="0"/>
        <v>135805762.27511007</v>
      </c>
      <c r="J56" s="232">
        <f t="shared" si="1"/>
        <v>-1.0147083728973212</v>
      </c>
      <c r="K56" s="176">
        <f>+SUMPRODUCT(('2018'!$G56:$R56)*('2018'!$G$5:$R$5&lt;=Master!$B$3))</f>
        <v>-7327647.2499999758</v>
      </c>
      <c r="L56" s="231">
        <f t="shared" si="7"/>
        <v>9296175.1999998577</v>
      </c>
      <c r="M56" s="233">
        <f t="shared" si="2"/>
        <v>-1.2686439293321452</v>
      </c>
      <c r="N56" s="176">
        <f>+INDEX('2019'!$1:$1048576,MATCH('Analytics - 2019'!$A56,'2019'!$A:$A,0),MATCH('Analytics - 2019'!$N$6,'2019'!$6:$6,0))</f>
        <v>8916879.7599999812</v>
      </c>
      <c r="O56" s="176">
        <f>+INDEX('2019'!$1:$1048576,MATCH(CONCATENATE('Analytics - 2019'!$A56,"p"),'2019'!$A:$A,0),MATCH('Analytics - 2019'!$O$6,'2019'!$101:$101,0))</f>
        <v>-8790214.4673008118</v>
      </c>
      <c r="P56" s="231">
        <f t="shared" si="3"/>
        <v>17707094.227300793</v>
      </c>
      <c r="Q56" s="232">
        <f t="shared" si="4"/>
        <v>-2.0144098068562899</v>
      </c>
      <c r="R56" s="176">
        <f>+INDEX('2018'!$1:$1048576,MATCH('Analytics - 2019'!$A56,'2018'!$A:$A,0),MATCH('Analytics - 2019'!$R$6,'2018'!$6:$6,0))</f>
        <v>7144883.8399999719</v>
      </c>
      <c r="S56" s="231">
        <f t="shared" si="5"/>
        <v>1771995.9200000092</v>
      </c>
      <c r="T56" s="348">
        <f>+IF(ISNUMBER(N56/R56-1),N56/R56-1,"…")</f>
        <v>0.24800905930473682</v>
      </c>
    </row>
    <row r="57" spans="1:23">
      <c r="A57" s="169">
        <v>46</v>
      </c>
      <c r="B57" s="480" t="str">
        <f>+VLOOKUP($A57,Master!$D$27:$G$225,4,FALSE)</f>
        <v>Repayment of Debt</v>
      </c>
      <c r="C57" s="481"/>
      <c r="D57" s="481"/>
      <c r="E57" s="481"/>
      <c r="F57" s="481"/>
      <c r="G57" s="182">
        <f>+SUMPRODUCT(('2019'!$G57:$R57)*('2019'!$G$5:$R$5&lt;=Master!$B$3)*($A57='2019'!$A$10:$A$66))</f>
        <v>137550157.69</v>
      </c>
      <c r="H57" s="182">
        <f>+SUMPRODUCT(('2019'!$G152:$R152)*('2019'!$G$5:$R$5&lt;=Master!$B$3))</f>
        <v>225408735.47</v>
      </c>
      <c r="I57" s="219">
        <f t="shared" si="0"/>
        <v>-87858577.780000001</v>
      </c>
      <c r="J57" s="220">
        <f t="shared" si="1"/>
        <v>-0.38977450273524661</v>
      </c>
      <c r="K57" s="182">
        <f>+SUMPRODUCT(('2018'!$G57:$R57)*('2018'!$G$5:$R$5&lt;=Master!$B$3))</f>
        <v>496848328.98000002</v>
      </c>
      <c r="L57" s="219">
        <f t="shared" si="7"/>
        <v>-359298171.29000002</v>
      </c>
      <c r="M57" s="221">
        <f t="shared" si="2"/>
        <v>-0.72315463358328635</v>
      </c>
      <c r="N57" s="182">
        <f>+INDEX('2019'!$1:$1048576,MATCH('Analytics - 2019'!$A57,'2019'!$A:$A,0),MATCH('Analytics - 2019'!$N$6,'2019'!$6:$6,0))</f>
        <v>14577731.82</v>
      </c>
      <c r="O57" s="182">
        <f>+INDEX('2019'!$1:$1048576,MATCH(CONCATENATE('Analytics - 2019'!$A57,"p"),'2019'!$A:$A,0),MATCH('Analytics - 2019'!$O$6,'2019'!$101:$101,0))</f>
        <v>181489557.88</v>
      </c>
      <c r="P57" s="219">
        <f t="shared" si="3"/>
        <v>-166911826.06</v>
      </c>
      <c r="Q57" s="220">
        <f t="shared" si="4"/>
        <v>-0.91967729719393154</v>
      </c>
      <c r="R57" s="182">
        <f>+INDEX('2018'!$1:$1048576,MATCH('Analytics - 2019'!$A57,'2018'!$A:$A,0),MATCH('Analytics - 2019'!$R$6,'2018'!$6:$6,0))</f>
        <v>14760695.76</v>
      </c>
      <c r="S57" s="219">
        <f t="shared" si="5"/>
        <v>-182963.93999999948</v>
      </c>
      <c r="T57" s="221">
        <f t="shared" si="6"/>
        <v>-1.2395346599840762E-2</v>
      </c>
    </row>
    <row r="58" spans="1:23">
      <c r="A58" s="169">
        <v>4611</v>
      </c>
      <c r="B58" s="468" t="str">
        <f>+VLOOKUP($A58,Master!$D$27:$G$225,4,FALSE)</f>
        <v>Repayment of Domestic Debt</v>
      </c>
      <c r="C58" s="469"/>
      <c r="D58" s="469"/>
      <c r="E58" s="469"/>
      <c r="F58" s="469"/>
      <c r="G58" s="188">
        <f>+SUMPRODUCT(('2019'!$G58:$R58)*('2019'!$G$5:$R$5&lt;=Master!$B$3)*($A58='2019'!$A$10:$A$66))</f>
        <v>92111079.480000004</v>
      </c>
      <c r="H58" s="188">
        <f>+SUMPRODUCT(('2019'!$G153:$R153)*('2019'!$G$5:$R$5&lt;=Master!$B$3))</f>
        <v>10111145.74</v>
      </c>
      <c r="I58" s="237">
        <f t="shared" si="0"/>
        <v>81999933.74000001</v>
      </c>
      <c r="J58" s="238">
        <f t="shared" si="1"/>
        <v>8.1098557817840344</v>
      </c>
      <c r="K58" s="188">
        <f>+SUMPRODUCT(('2018'!$G58:$R58)*('2018'!$G$5:$R$5&lt;=Master!$B$3))</f>
        <v>85633681.020000011</v>
      </c>
      <c r="L58" s="237">
        <f t="shared" si="7"/>
        <v>6477398.4599999934</v>
      </c>
      <c r="M58" s="239">
        <f t="shared" si="2"/>
        <v>7.5640780389753193E-2</v>
      </c>
      <c r="N58" s="188">
        <f>+INDEX('2019'!$1:$1048576,MATCH('Analytics - 2019'!$A58,'2019'!$A:$A,0),MATCH('Analytics - 2019'!$N$6,'2019'!$6:$6,0))</f>
        <v>5836708.6600000001</v>
      </c>
      <c r="O58" s="188">
        <f>+INDEX('2019'!$1:$1048576,MATCH(CONCATENATE('Analytics - 2019'!$A58,"p"),'2019'!$A:$A,0),MATCH('Analytics - 2019'!$O$6,'2019'!$101:$101,0))</f>
        <v>2836722.65</v>
      </c>
      <c r="P58" s="237">
        <f t="shared" si="3"/>
        <v>2999986.0100000002</v>
      </c>
      <c r="Q58" s="238">
        <f t="shared" si="4"/>
        <v>1.0575535151453739</v>
      </c>
      <c r="R58" s="188">
        <f>+INDEX('2018'!$1:$1048576,MATCH('Analytics - 2019'!$A58,'2018'!$A:$A,0),MATCH('Analytics - 2019'!$R$6,'2018'!$6:$6,0))</f>
        <v>831498.83</v>
      </c>
      <c r="S58" s="237">
        <f t="shared" si="5"/>
        <v>5005209.83</v>
      </c>
      <c r="T58" s="239">
        <f t="shared" si="6"/>
        <v>6.0195031543219377</v>
      </c>
    </row>
    <row r="59" spans="1:23">
      <c r="A59" s="169">
        <v>4612</v>
      </c>
      <c r="B59" s="452" t="str">
        <f>+VLOOKUP($A59,Master!$D$27:$G$225,4,FALSE)</f>
        <v>Repayment of Foreign Debt</v>
      </c>
      <c r="C59" s="453"/>
      <c r="D59" s="453"/>
      <c r="E59" s="453"/>
      <c r="F59" s="453"/>
      <c r="G59" s="188">
        <f>+SUMPRODUCT(('2019'!$G59:$R59)*('2019'!$G$5:$R$5&lt;=Master!$B$3)*($A59='2019'!$A$10:$A$66))</f>
        <v>45439078.209999993</v>
      </c>
      <c r="H59" s="188">
        <f>+SUMPRODUCT(('2019'!$G154:$R154)*('2019'!$G$5:$R$5&lt;=Master!$B$3))</f>
        <v>215297589.72999999</v>
      </c>
      <c r="I59" s="237">
        <f t="shared" si="0"/>
        <v>-169858511.51999998</v>
      </c>
      <c r="J59" s="238">
        <f t="shared" si="1"/>
        <v>-0.78894757592509901</v>
      </c>
      <c r="K59" s="188">
        <f>+SUMPRODUCT(('2018'!$G59:$R59)*('2018'!$G$5:$R$5&lt;=Master!$B$3))</f>
        <v>411214647.96000004</v>
      </c>
      <c r="L59" s="237">
        <f t="shared" si="7"/>
        <v>-365775569.75000006</v>
      </c>
      <c r="M59" s="239">
        <f t="shared" si="2"/>
        <v>-0.8895003414021867</v>
      </c>
      <c r="N59" s="188">
        <f>+INDEX('2019'!$1:$1048576,MATCH('Analytics - 2019'!$A59,'2019'!$A:$A,0),MATCH('Analytics - 2019'!$N$6,'2019'!$6:$6,0))</f>
        <v>8741023.1600000001</v>
      </c>
      <c r="O59" s="188">
        <f>+INDEX('2019'!$1:$1048576,MATCH(CONCATENATE('Analytics - 2019'!$A59,"p"),'2019'!$A:$A,0),MATCH('Analytics - 2019'!$O$6,'2019'!$101:$101,0))</f>
        <v>178652835.22999999</v>
      </c>
      <c r="P59" s="237">
        <f t="shared" si="3"/>
        <v>-169911812.06999999</v>
      </c>
      <c r="Q59" s="238">
        <f t="shared" si="4"/>
        <v>-0.95107257520572408</v>
      </c>
      <c r="R59" s="188">
        <f>+INDEX('2018'!$1:$1048576,MATCH('Analytics - 2019'!$A59,'2018'!$A:$A,0),MATCH('Analytics - 2019'!$R$6,'2018'!$6:$6,0))</f>
        <v>13929196.93</v>
      </c>
      <c r="S59" s="237">
        <f t="shared" si="5"/>
        <v>-5188173.7699999996</v>
      </c>
      <c r="T59" s="239">
        <f t="shared" si="6"/>
        <v>-0.37246754397060566</v>
      </c>
    </row>
    <row r="60" spans="1:23" ht="15.75" thickBot="1">
      <c r="A60" s="169">
        <v>4418</v>
      </c>
      <c r="B60" s="488" t="s">
        <v>794</v>
      </c>
      <c r="C60" s="489"/>
      <c r="D60" s="489"/>
      <c r="E60" s="489"/>
      <c r="F60" s="489"/>
      <c r="G60" s="425">
        <f>+SUMPRODUCT(('2019'!$G60:$R60)*('2019'!$G$5:$R$5&lt;=Master!$B$3)*($A60='2019'!$A$10:$A$66))</f>
        <v>39983668.460000001</v>
      </c>
      <c r="H60" s="425">
        <f>+SUMPRODUCT(('2019'!$G155:$R155)*('2019'!$G$5:$R$5&lt;=Master!$B$3))</f>
        <v>40033333.350000001</v>
      </c>
      <c r="I60" s="426">
        <f t="shared" ref="I60:I66" si="9">+G60-H60</f>
        <v>-49664.890000000596</v>
      </c>
      <c r="J60" s="427">
        <f>+IF(ISNUMBER(G60/H60-1),G60/H61-1,"…")</f>
        <v>-1.0852723306042307</v>
      </c>
      <c r="K60" s="425">
        <f>+SUMPRODUCT(('2018'!$G60:$R60)*('2018'!$G$5:$R$5&lt;=Master!$B$3))</f>
        <v>68939595.359999999</v>
      </c>
      <c r="L60" s="426">
        <f>+G60-K60</f>
        <v>-28955926.899999999</v>
      </c>
      <c r="M60" s="428">
        <f>+IF(ISNUMBER(G60/K60-1),G60/K61-1,"…")</f>
        <v>-1.0628476788813517</v>
      </c>
      <c r="N60" s="425">
        <f>+INDEX('2019'!$1:$1048576,MATCH('Analytics - 2019'!$A60,'2019'!$A:$A,0),MATCH('Analytics - 2019'!$N$6,'2019'!$6:$6,0))</f>
        <v>0</v>
      </c>
      <c r="O60" s="425">
        <f>+INDEX('2019'!$1:$1048576,MATCH('Analytics - 2019'!$A60,'2019'!$A:$A,0),MATCH('Analytics - 2019'!$O$6,'2019'!$101:$101,0))</f>
        <v>0</v>
      </c>
      <c r="P60" s="426">
        <f t="shared" ref="P60:P66" si="10">+N60-O60</f>
        <v>0</v>
      </c>
      <c r="Q60" s="427" t="str">
        <f t="shared" ref="Q60:Q66" si="11">+IF(ISNUMBER(N60/O60-1),N60/O60-1,"…")</f>
        <v>…</v>
      </c>
      <c r="R60" s="425">
        <f>+INDEX('2018'!$1:$1048576,MATCH('Analytics - 2019'!$A60,'2018'!$A:$A,0),MATCH('Analytics - 2019'!$R$6,'2018'!$6:$6,0))</f>
        <v>68939595.359999999</v>
      </c>
      <c r="S60" s="426">
        <f t="shared" ref="S60:S66" si="12">+N60-R60</f>
        <v>-68939595.359999999</v>
      </c>
      <c r="T60" s="428">
        <f t="shared" ref="T60:T66" si="13">+IF(ISNUMBER(N60/R60-1),N60/R60-1,"…")</f>
        <v>-1</v>
      </c>
    </row>
    <row r="61" spans="1:23" ht="15.75" thickBot="1">
      <c r="A61" s="169">
        <v>1002</v>
      </c>
      <c r="B61" s="472" t="str">
        <f>+VLOOKUP($A61,Master!$D$27:$G$225,4,FALSE)</f>
        <v>Financing needs</v>
      </c>
      <c r="C61" s="473"/>
      <c r="D61" s="473"/>
      <c r="E61" s="473"/>
      <c r="F61" s="473"/>
      <c r="G61" s="396">
        <f>+SUMPRODUCT(('2019'!$G61:$R61)*('2019'!$G$5:$R$5&lt;=Master!$B$3)*($A61='2019'!$A$10:$A$66))</f>
        <v>-230924039.53000012</v>
      </c>
      <c r="H61" s="396">
        <f>+SUMPRODUCT(('2019'!$G156:$R156)*('2019'!$G$5:$R$5&lt;=Master!$B$3))</f>
        <v>-468893815.5751102</v>
      </c>
      <c r="I61" s="398">
        <f t="shared" si="9"/>
        <v>237969776.04511008</v>
      </c>
      <c r="J61" s="399">
        <f t="shared" ref="J61:J66" si="14">+IF(ISNUMBER(G61/H61-1),G61/H61-1,"…")</f>
        <v>-0.50751314719993501</v>
      </c>
      <c r="K61" s="396">
        <f>+SUMPRODUCT(('2018'!$G61:$R61)*('2018'!$G$5:$R$5&lt;=Master!$B$3))</f>
        <v>-636199604.69000006</v>
      </c>
      <c r="L61" s="398">
        <f>+G61-K62</f>
        <v>-867123644.22000015</v>
      </c>
      <c r="M61" s="401">
        <f>+IF(ISNUMBER(G61/K62-1),G61/K62-1,"…")</f>
        <v>-1.362974195248867</v>
      </c>
      <c r="N61" s="396">
        <f>+INDEX('2019'!$1:$1048576,MATCH('Analytics - 2019'!$A61,'2019'!$A:$A,0),MATCH('Analytics - 2019'!$N$6,'2019'!$6:$6,0))</f>
        <v>-6813107.3000000194</v>
      </c>
      <c r="O61" s="396">
        <f>+INDEX('2019'!$1:$1048576,MATCH(CONCATENATE('Analytics - 2019'!$A61,"p"),'2019'!$A:$A,0),MATCH('Analytics - 2019'!$O$6,'2019'!$101:$101,0))</f>
        <v>-204352275.2873008</v>
      </c>
      <c r="P61" s="398">
        <f t="shared" si="10"/>
        <v>197539167.98730078</v>
      </c>
      <c r="Q61" s="399">
        <f t="shared" si="11"/>
        <v>-0.96665998805043196</v>
      </c>
      <c r="R61" s="396">
        <f>+INDEX('2018'!$1:$1048576,MATCH('Analytics - 2019'!$A61,'2018'!$A:$A,0),MATCH('Analytics - 2019'!$R$6,'2018'!$6:$6,0))</f>
        <v>-86620216.340000033</v>
      </c>
      <c r="S61" s="398">
        <f t="shared" si="12"/>
        <v>79807109.040000021</v>
      </c>
      <c r="T61" s="401">
        <f t="shared" si="13"/>
        <v>-0.92134506714624975</v>
      </c>
    </row>
    <row r="62" spans="1:23" ht="15.75" thickBot="1">
      <c r="A62" s="169">
        <v>1003</v>
      </c>
      <c r="B62" s="474" t="str">
        <f>+VLOOKUP($A62,Master!$D$27:$G$225,4,FALSE)</f>
        <v>Financing</v>
      </c>
      <c r="C62" s="475"/>
      <c r="D62" s="475"/>
      <c r="E62" s="475"/>
      <c r="F62" s="475"/>
      <c r="G62" s="176">
        <f>+SUMPRODUCT(('2019'!$G62:$R62)*('2019'!$G$5:$R$5&lt;=Master!$B$3)*($A62='2019'!$A$10:$A$66))</f>
        <v>230924039.53000012</v>
      </c>
      <c r="H62" s="176">
        <f>+SUMPRODUCT(('2019'!$G157:$R157)*('2019'!$G$5:$R$5&lt;=Master!$B$3))</f>
        <v>468893815.5751102</v>
      </c>
      <c r="I62" s="397">
        <f t="shared" si="9"/>
        <v>-237969776.04511008</v>
      </c>
      <c r="J62" s="400">
        <f t="shared" si="14"/>
        <v>-0.50751314719993501</v>
      </c>
      <c r="K62" s="176">
        <f>+SUMPRODUCT(('2018'!$G62:$R62)*('2018'!$G$5:$R$5&lt;=Master!$B$3))</f>
        <v>636199604.69000006</v>
      </c>
      <c r="L62" s="397">
        <f>+G62-K63</f>
        <v>94324039.53000012</v>
      </c>
      <c r="M62" s="402">
        <f>+IF(ISNUMBER(G62/K63-1),G62/K63-1,"…")</f>
        <v>0.69051273448023509</v>
      </c>
      <c r="N62" s="176">
        <f>+INDEX('2019'!$1:$1048576,MATCH('Analytics - 2019'!$A62,'2019'!$A:$A,0),MATCH('Analytics - 2019'!$N$6,'2019'!$6:$6,0))</f>
        <v>6813107.3000000119</v>
      </c>
      <c r="O62" s="176">
        <f>+INDEX('2019'!$1:$1048576,MATCH(CONCATENATE('Analytics - 2019'!$A62,"p"),'2019'!$A:$A,0),MATCH('Analytics - 2019'!$O$6,'2019'!$101:$101,0))</f>
        <v>204352275.2873008</v>
      </c>
      <c r="P62" s="397">
        <f t="shared" si="10"/>
        <v>-197539167.98730078</v>
      </c>
      <c r="Q62" s="400">
        <f t="shared" si="11"/>
        <v>-0.96665998805043207</v>
      </c>
      <c r="R62" s="176">
        <f>+INDEX('2018'!$1:$1048576,MATCH('Analytics - 2019'!$A62,'2018'!$A:$A,0),MATCH('Analytics - 2019'!$R$6,'2018'!$6:$6,0))</f>
        <v>86620216.340000033</v>
      </c>
      <c r="S62" s="397">
        <f t="shared" si="12"/>
        <v>-79807109.040000021</v>
      </c>
      <c r="T62" s="402">
        <f t="shared" si="13"/>
        <v>-0.92134506714624986</v>
      </c>
    </row>
    <row r="63" spans="1:23">
      <c r="A63" s="169">
        <v>7511</v>
      </c>
      <c r="B63" s="468" t="str">
        <f>+VLOOKUP($A63,Master!$D$27:$G$225,4,FALSE)</f>
        <v>Domestic Loans and Borrowings</v>
      </c>
      <c r="C63" s="469"/>
      <c r="D63" s="469"/>
      <c r="E63" s="469"/>
      <c r="F63" s="469"/>
      <c r="G63" s="188">
        <f>+SUMPRODUCT(('2019'!$G63:$R63)*('2019'!$G$5:$R$5&lt;=Master!$B$3)*($A63='2019'!$A$10:$A$66))</f>
        <v>214438000</v>
      </c>
      <c r="H63" s="188">
        <f>+SUMPRODUCT(('2019'!$G158:$R158)*('2019'!$G$5:$R$5&lt;=Master!$B$3))</f>
        <v>190000000</v>
      </c>
      <c r="I63" s="237">
        <f t="shared" si="9"/>
        <v>24438000</v>
      </c>
      <c r="J63" s="238">
        <f t="shared" si="14"/>
        <v>0.12862105263157897</v>
      </c>
      <c r="K63" s="188">
        <f>+SUMPRODUCT(('2018'!$G63:$R63)*('2018'!$G$5:$R$5&lt;=Master!$B$3))</f>
        <v>136600000</v>
      </c>
      <c r="L63" s="237">
        <f>+G63-K64</f>
        <v>-293170393.98000002</v>
      </c>
      <c r="M63" s="239">
        <f>+IF(ISNUMBER(G63/K63-1),G63/K63-1,"…")</f>
        <v>0.5698243045387994</v>
      </c>
      <c r="N63" s="188">
        <f>+INDEX('2019'!$1:$1048576,MATCH('Analytics - 2019'!$A63,'2019'!$A:$A,0),MATCH('Analytics - 2019'!$N$6,'2019'!$6:$6,0))</f>
        <v>67815000</v>
      </c>
      <c r="O63" s="188">
        <f>+INDEX('2019'!$1:$1048576,MATCH(CONCATENATE('Analytics - 2019'!$A63,"p"),'2019'!$A:$A,0),MATCH('Analytics - 2019'!$O$6,'2019'!$101:$101,0))</f>
        <v>95000000</v>
      </c>
      <c r="P63" s="237">
        <f t="shared" si="10"/>
        <v>-27185000</v>
      </c>
      <c r="Q63" s="238">
        <f t="shared" si="11"/>
        <v>-0.28615789473684206</v>
      </c>
      <c r="R63" s="188">
        <f>+INDEX('2018'!$1:$1048576,MATCH('Analytics - 2019'!$A63,'2018'!$A:$A,0),MATCH('Analytics - 2019'!$R$6,'2018'!$6:$6,0))</f>
        <v>0</v>
      </c>
      <c r="S63" s="237">
        <f t="shared" si="12"/>
        <v>67815000</v>
      </c>
      <c r="T63" s="239" t="str">
        <f t="shared" si="13"/>
        <v>…</v>
      </c>
    </row>
    <row r="64" spans="1:23">
      <c r="A64" s="169">
        <v>7512</v>
      </c>
      <c r="B64" s="452" t="str">
        <f>+VLOOKUP($A64,Master!$D$27:$G$225,4,FALSE)</f>
        <v>Foreign Loans and Borrowings</v>
      </c>
      <c r="C64" s="453"/>
      <c r="D64" s="453"/>
      <c r="E64" s="453"/>
      <c r="F64" s="453"/>
      <c r="G64" s="188">
        <f>+SUMPRODUCT(('2019'!$G64:$R64)*('2019'!$G$5:$R$5&lt;=Master!$B$3)*($A64='2019'!$A$10:$A$66))</f>
        <v>57981008.280000001</v>
      </c>
      <c r="H64" s="188">
        <f>+SUMPRODUCT(('2019'!$G159:$R159)*('2019'!$G$5:$R$5&lt;=Master!$B$3))</f>
        <v>68422181.24000001</v>
      </c>
      <c r="I64" s="237">
        <f t="shared" si="9"/>
        <v>-10441172.960000008</v>
      </c>
      <c r="J64" s="238">
        <f t="shared" si="14"/>
        <v>-0.15259924151462212</v>
      </c>
      <c r="K64" s="188">
        <f>+SUMPRODUCT(('2018'!$G64:$R64)*('2018'!$G$5:$R$5&lt;=Master!$B$3))</f>
        <v>507608393.98000002</v>
      </c>
      <c r="L64" s="237">
        <f>+G64-K65</f>
        <v>54903914.960000001</v>
      </c>
      <c r="M64" s="239" t="s">
        <v>777</v>
      </c>
      <c r="N64" s="188">
        <f>+INDEX('2019'!$1:$1048576,MATCH('Analytics - 2019'!$A64,'2019'!$A:$A,0),MATCH('Analytics - 2019'!$N$6,'2019'!$6:$6,0))</f>
        <v>7856343.8600000003</v>
      </c>
      <c r="O64" s="188">
        <f>+INDEX('2019'!$1:$1048576,MATCH(CONCATENATE('Analytics - 2019'!$A64,"p"),'2019'!$A:$A,0),MATCH('Analytics - 2019'!$O$6,'2019'!$101:$101,0))</f>
        <v>17000000</v>
      </c>
      <c r="P64" s="237">
        <f t="shared" si="10"/>
        <v>-9143656.1400000006</v>
      </c>
      <c r="Q64" s="238">
        <f t="shared" si="11"/>
        <v>-0.53786212588235294</v>
      </c>
      <c r="R64" s="188">
        <f>+INDEX('2018'!$1:$1048576,MATCH('Analytics - 2019'!$A64,'2018'!$A:$A,0),MATCH('Analytics - 2019'!$R$6,'2018'!$6:$6,0))</f>
        <v>7673073.0999999996</v>
      </c>
      <c r="S64" s="237">
        <f t="shared" si="12"/>
        <v>183270.76000000071</v>
      </c>
      <c r="T64" s="239" t="s">
        <v>777</v>
      </c>
    </row>
    <row r="65" spans="1:20">
      <c r="A65" s="169">
        <v>72</v>
      </c>
      <c r="B65" s="452" t="str">
        <f>+VLOOKUP($A65,Master!$D$27:$G$225,4,FALSE)</f>
        <v>Revenues from Selling Assets</v>
      </c>
      <c r="C65" s="453"/>
      <c r="D65" s="453"/>
      <c r="E65" s="453"/>
      <c r="F65" s="453"/>
      <c r="G65" s="188">
        <f>+SUMPRODUCT(('2019'!$G65:$R65)*('2019'!$G$5:$R$5&lt;=Master!$B$3)*($A65='2019'!$A$10:$A$66))</f>
        <v>777954.52999999991</v>
      </c>
      <c r="H65" s="188">
        <f>+SUMPRODUCT(('2019'!$G160:$R160)*('2019'!$G$5:$R$5&lt;=Master!$B$3))</f>
        <v>2500000</v>
      </c>
      <c r="I65" s="237">
        <f t="shared" si="9"/>
        <v>-1722045.4700000002</v>
      </c>
      <c r="J65" s="238">
        <f t="shared" si="14"/>
        <v>-0.68881818800000005</v>
      </c>
      <c r="K65" s="188">
        <f>+SUMPRODUCT(('2018'!$G65:$R65)*('2018'!$G$5:$R$5&lt;=Master!$B$3))</f>
        <v>3077093.3200000003</v>
      </c>
      <c r="L65" s="237">
        <f>+G65-K66</f>
        <v>11863837.139999999</v>
      </c>
      <c r="M65" s="239">
        <f>+IF(ISNUMBER(G65/K65-1),G65/K65-1,"…")</f>
        <v>-0.74717876609605072</v>
      </c>
      <c r="N65" s="188">
        <f>+INDEX('2019'!$1:$1048576,MATCH('Analytics - 2019'!$A65,'2019'!$A:$A,0),MATCH('Analytics - 2019'!$N$6,'2019'!$6:$6,0))</f>
        <v>223780.48000000001</v>
      </c>
      <c r="O65" s="188">
        <f>+INDEX('2019'!$1:$1048576,MATCH(CONCATENATE('Analytics - 2019'!$A65,"p"),'2019'!$A:$A,0),MATCH('Analytics - 2019'!$O$6,'2019'!$101:$101,0))</f>
        <v>500000</v>
      </c>
      <c r="P65" s="237">
        <f t="shared" si="10"/>
        <v>-276219.52000000002</v>
      </c>
      <c r="Q65" s="238">
        <f t="shared" si="11"/>
        <v>-0.55243903999999999</v>
      </c>
      <c r="R65" s="188">
        <f>+INDEX('2018'!$1:$1048576,MATCH('Analytics - 2019'!$A65,'2018'!$A:$A,0),MATCH('Analytics - 2019'!$R$6,'2018'!$6:$6,0))</f>
        <v>215845.16</v>
      </c>
      <c r="S65" s="237">
        <f t="shared" si="12"/>
        <v>7935.320000000007</v>
      </c>
      <c r="T65" s="239">
        <f t="shared" si="13"/>
        <v>3.6763946896006372E-2</v>
      </c>
    </row>
    <row r="66" spans="1:20" ht="15.75" thickBot="1">
      <c r="A66" s="169">
        <v>1004</v>
      </c>
      <c r="B66" s="248" t="str">
        <f>+VLOOKUP($A66,Master!$D$27:$G$225,4,FALSE)</f>
        <v>Increase / decrease of deposits</v>
      </c>
      <c r="C66" s="249"/>
      <c r="D66" s="249"/>
      <c r="E66" s="249"/>
      <c r="F66" s="249"/>
      <c r="G66" s="394">
        <f>+SUMPRODUCT(('2019'!$G66:$R66)*('2019'!$G$5:$R$5&lt;=Master!$B$3)*($A66='2019'!$A$10:$A$66))</f>
        <v>-42272923.279999882</v>
      </c>
      <c r="H66" s="394">
        <f>+SUMPRODUCT(('2019'!$G161:$R161)*('2019'!$G$5:$R$5&lt;=Master!$B$3))</f>
        <v>207971634.33511016</v>
      </c>
      <c r="I66" s="251">
        <f t="shared" si="9"/>
        <v>-250244557.61511004</v>
      </c>
      <c r="J66" s="252">
        <f t="shared" si="14"/>
        <v>-1.2032629277312137</v>
      </c>
      <c r="K66" s="394">
        <f>+SUMPRODUCT(('2018'!$G66:$R66)*('2018'!$G$5:$R$5&lt;=Master!$B$3))</f>
        <v>-11085882.609999999</v>
      </c>
      <c r="L66" s="251">
        <f>+G66-K66</f>
        <v>-31187040.669999883</v>
      </c>
      <c r="M66" s="253" t="s">
        <v>777</v>
      </c>
      <c r="N66" s="394">
        <f>+INDEX('2019'!$1:$1048576,MATCH('Analytics - 2019'!$A66,'2019'!$A:$A,0),MATCH('Analytics - 2019'!$N$6,'2019'!$6:$6,0))</f>
        <v>-69082017.039999992</v>
      </c>
      <c r="O66" s="394">
        <f>+INDEX('2019'!$1:$1048576,MATCH(CONCATENATE('Analytics - 2019'!$A66,"p"),'2019'!$A:$A,0),MATCH('Analytics - 2019'!$O$6,'2019'!$101:$101,0))</f>
        <v>91852275.287300795</v>
      </c>
      <c r="P66" s="251">
        <f t="shared" si="10"/>
        <v>-160934292.32730079</v>
      </c>
      <c r="Q66" s="252">
        <f t="shared" si="11"/>
        <v>-1.7520991377069464</v>
      </c>
      <c r="R66" s="394">
        <f>+INDEX('2018'!$1:$1048576,MATCH('Analytics - 2019'!$A66,'2018'!$A:$A,0),MATCH('Analytics - 2019'!$R$6,'2018'!$6:$6,0))</f>
        <v>78731298.080000028</v>
      </c>
      <c r="S66" s="251">
        <f t="shared" si="12"/>
        <v>-147813315.12</v>
      </c>
      <c r="T66" s="253">
        <f t="shared" si="13"/>
        <v>-1.8774403410674716</v>
      </c>
    </row>
    <row r="68" spans="1:20">
      <c r="H68" s="391"/>
    </row>
    <row r="69" spans="1:20">
      <c r="H69" s="364"/>
    </row>
    <row r="71" spans="1:20">
      <c r="R71" s="443"/>
    </row>
  </sheetData>
  <mergeCells count="63">
    <mergeCell ref="B64:F64"/>
    <mergeCell ref="B65:F65"/>
    <mergeCell ref="B57:F57"/>
    <mergeCell ref="B58:F58"/>
    <mergeCell ref="B59:F59"/>
    <mergeCell ref="B61:F61"/>
    <mergeCell ref="B62:F62"/>
    <mergeCell ref="B63:F63"/>
    <mergeCell ref="B60:F60"/>
    <mergeCell ref="B56:F56"/>
    <mergeCell ref="B45:F45"/>
    <mergeCell ref="B46:F46"/>
    <mergeCell ref="B47:F47"/>
    <mergeCell ref="B48:F48"/>
    <mergeCell ref="B49:F49"/>
    <mergeCell ref="B50:F50"/>
    <mergeCell ref="B51:F51"/>
    <mergeCell ref="B52:F52"/>
    <mergeCell ref="B53:F53"/>
    <mergeCell ref="B54:F54"/>
    <mergeCell ref="B55:F55"/>
    <mergeCell ref="B44:F44"/>
    <mergeCell ref="B33:F33"/>
    <mergeCell ref="B34:F34"/>
    <mergeCell ref="B35:F35"/>
    <mergeCell ref="B36:F36"/>
    <mergeCell ref="B37:F37"/>
    <mergeCell ref="B38:F38"/>
    <mergeCell ref="B39:F39"/>
    <mergeCell ref="B40:F40"/>
    <mergeCell ref="B41:F41"/>
    <mergeCell ref="B42:F42"/>
    <mergeCell ref="B43:F43"/>
    <mergeCell ref="B32:F32"/>
    <mergeCell ref="B21:F21"/>
    <mergeCell ref="B22:F22"/>
    <mergeCell ref="B23:F23"/>
    <mergeCell ref="B24:F24"/>
    <mergeCell ref="B25:F25"/>
    <mergeCell ref="B26:F26"/>
    <mergeCell ref="B27:F27"/>
    <mergeCell ref="B28:F28"/>
    <mergeCell ref="B29:F29"/>
    <mergeCell ref="B30:F30"/>
    <mergeCell ref="B31:F31"/>
    <mergeCell ref="B20:F20"/>
    <mergeCell ref="B10:F10"/>
    <mergeCell ref="B11:F11"/>
    <mergeCell ref="B12:F12"/>
    <mergeCell ref="B13:F13"/>
    <mergeCell ref="B14:F14"/>
    <mergeCell ref="B15:F15"/>
    <mergeCell ref="B16:F16"/>
    <mergeCell ref="B17:F17"/>
    <mergeCell ref="B18:F18"/>
    <mergeCell ref="B19:F19"/>
    <mergeCell ref="B7:F9"/>
    <mergeCell ref="G7:M7"/>
    <mergeCell ref="N7:T7"/>
    <mergeCell ref="I8:J8"/>
    <mergeCell ref="L8:M8"/>
    <mergeCell ref="P8:Q8"/>
    <mergeCell ref="S8:T8"/>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R14" sqref="R14"/>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782</v>
      </c>
      <c r="H6" s="259" t="s">
        <v>783</v>
      </c>
      <c r="I6" s="259" t="s">
        <v>784</v>
      </c>
      <c r="J6" s="259" t="s">
        <v>785</v>
      </c>
      <c r="K6" s="259" t="s">
        <v>786</v>
      </c>
      <c r="L6" s="259" t="s">
        <v>787</v>
      </c>
      <c r="M6" s="259" t="s">
        <v>788</v>
      </c>
      <c r="N6" s="259" t="s">
        <v>789</v>
      </c>
      <c r="O6" s="259" t="s">
        <v>790</v>
      </c>
      <c r="P6" s="259" t="s">
        <v>791</v>
      </c>
      <c r="Q6" s="259" t="s">
        <v>792</v>
      </c>
      <c r="R6" s="259" t="s">
        <v>793</v>
      </c>
      <c r="S6" s="258"/>
      <c r="T6" s="258"/>
    </row>
    <row r="7" spans="1:20" ht="15" customHeight="1" thickBot="1">
      <c r="A7" s="169"/>
      <c r="B7" s="557" t="str">
        <f>+Master!G251</f>
        <v>Budget Execution</v>
      </c>
      <c r="C7" s="455"/>
      <c r="D7" s="455"/>
      <c r="E7" s="455"/>
      <c r="F7" s="455"/>
      <c r="G7" s="463">
        <v>2019</v>
      </c>
      <c r="H7" s="464"/>
      <c r="I7" s="464"/>
      <c r="J7" s="464"/>
      <c r="K7" s="464"/>
      <c r="L7" s="464"/>
      <c r="M7" s="464"/>
      <c r="N7" s="464"/>
      <c r="O7" s="464"/>
      <c r="P7" s="464"/>
      <c r="Q7" s="464"/>
      <c r="R7" s="467"/>
      <c r="S7" s="260" t="str">
        <f>+Master!G248</f>
        <v>GDP</v>
      </c>
      <c r="T7" s="261">
        <v>4788600000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May</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96" t="str">
        <f>+VLOOKUP($A10,Master!$D$27:$G$225,4,FALSE)</f>
        <v>Total Revenues</v>
      </c>
      <c r="C10" s="497"/>
      <c r="D10" s="497"/>
      <c r="E10" s="497"/>
      <c r="F10" s="497"/>
      <c r="G10" s="176">
        <f t="shared" ref="G10:R10" si="1">+G11+G19+SUM(G24:G28)</f>
        <v>107257935.59</v>
      </c>
      <c r="H10" s="176">
        <f t="shared" si="1"/>
        <v>116544625.94999999</v>
      </c>
      <c r="I10" s="176">
        <f t="shared" si="1"/>
        <v>147544680.63</v>
      </c>
      <c r="J10" s="176">
        <f t="shared" si="1"/>
        <v>165045416.32999998</v>
      </c>
      <c r="K10" s="176">
        <f t="shared" si="1"/>
        <v>144137664.75999999</v>
      </c>
      <c r="L10" s="176">
        <f t="shared" si="1"/>
        <v>0</v>
      </c>
      <c r="M10" s="176">
        <f t="shared" si="1"/>
        <v>0</v>
      </c>
      <c r="N10" s="176">
        <f t="shared" si="1"/>
        <v>0</v>
      </c>
      <c r="O10" s="176">
        <f t="shared" si="1"/>
        <v>0</v>
      </c>
      <c r="P10" s="176">
        <f t="shared" si="1"/>
        <v>0</v>
      </c>
      <c r="Q10" s="176">
        <f t="shared" si="1"/>
        <v>0</v>
      </c>
      <c r="R10" s="176">
        <f t="shared" si="1"/>
        <v>0</v>
      </c>
      <c r="S10" s="264">
        <f>+SUM(G10:R10)</f>
        <v>680530323.25999999</v>
      </c>
      <c r="T10" s="265">
        <f>+S10/$T$7</f>
        <v>0.14211467302760722</v>
      </c>
    </row>
    <row r="11" spans="1:20">
      <c r="A11" s="175">
        <v>711</v>
      </c>
      <c r="B11" s="498" t="str">
        <f>+VLOOKUP($A11,Master!$D$27:$G$225,4,FALSE)</f>
        <v>Taxes</v>
      </c>
      <c r="C11" s="499"/>
      <c r="D11" s="499"/>
      <c r="E11" s="499"/>
      <c r="F11" s="499"/>
      <c r="G11" s="182">
        <f t="shared" ref="G11:R11" si="2">+SUM(G12:G18)</f>
        <v>72429730.420000002</v>
      </c>
      <c r="H11" s="182">
        <f t="shared" si="2"/>
        <v>68470908.439999998</v>
      </c>
      <c r="I11" s="182">
        <f t="shared" si="2"/>
        <v>98709545.510000005</v>
      </c>
      <c r="J11" s="182">
        <f t="shared" si="2"/>
        <v>106791818.52</v>
      </c>
      <c r="K11" s="182">
        <f t="shared" si="2"/>
        <v>94372185.030000001</v>
      </c>
      <c r="L11" s="182">
        <f t="shared" si="2"/>
        <v>0</v>
      </c>
      <c r="M11" s="182">
        <f t="shared" si="2"/>
        <v>0</v>
      </c>
      <c r="N11" s="182">
        <f t="shared" si="2"/>
        <v>0</v>
      </c>
      <c r="O11" s="182">
        <f t="shared" si="2"/>
        <v>0</v>
      </c>
      <c r="P11" s="182">
        <f t="shared" si="2"/>
        <v>0</v>
      </c>
      <c r="Q11" s="182">
        <f t="shared" si="2"/>
        <v>0</v>
      </c>
      <c r="R11" s="266">
        <f t="shared" si="2"/>
        <v>0</v>
      </c>
      <c r="S11" s="267">
        <f t="shared" ref="S11:S65" si="3">+SUM(G11:R11)</f>
        <v>440774187.91999996</v>
      </c>
      <c r="T11" s="268">
        <f t="shared" ref="T11:T66" si="4">+S11/$T$7</f>
        <v>9.2046566411894903E-2</v>
      </c>
    </row>
    <row r="12" spans="1:20">
      <c r="A12" s="175">
        <v>7111</v>
      </c>
      <c r="B12" s="484" t="str">
        <f>+VLOOKUP($A12,Master!$D$27:$G$225,4,FALSE)</f>
        <v>Personal Income Tax</v>
      </c>
      <c r="C12" s="485"/>
      <c r="D12" s="485"/>
      <c r="E12" s="485"/>
      <c r="F12" s="485"/>
      <c r="G12" s="188">
        <f>+INDEX(DataEx!$1:$1048576,MATCH('2019'!$A12,DataEx!$D:$D,0),MATCH('2019'!G$6,DataEx!$7:$7,0))</f>
        <v>4240913.8099999996</v>
      </c>
      <c r="H12" s="188">
        <f>+INDEX(DataEx!$1:$1048576,MATCH('2019'!$A12,DataEx!$D:$D,0),MATCH('2019'!H$6,DataEx!$7:$7,0))</f>
        <v>9361661.1500000004</v>
      </c>
      <c r="I12" s="188">
        <f>+INDEX(DataEx!$1:$1048576,MATCH('2019'!$A12,DataEx!$D:$D,0),MATCH('2019'!I$6,DataEx!$7:$7,0))</f>
        <v>9044961.5800000001</v>
      </c>
      <c r="J12" s="188">
        <f>+INDEX(DataEx!$1:$1048576,MATCH('2019'!$A12,DataEx!$D:$D,0),MATCH('2019'!J$6,DataEx!$7:$7,0))</f>
        <v>10767101.800000001</v>
      </c>
      <c r="K12" s="188">
        <f>+INDEX(DataEx!$1:$1048576,MATCH('2019'!$A12,DataEx!$D:$D,0),MATCH('2019'!K$6,DataEx!$7:$7,0))</f>
        <v>10210712.41</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43625350.75</v>
      </c>
      <c r="T12" s="270">
        <f t="shared" si="4"/>
        <v>9.110251587102703E-3</v>
      </c>
    </row>
    <row r="13" spans="1:20">
      <c r="A13" s="175">
        <v>7112</v>
      </c>
      <c r="B13" s="484" t="str">
        <f>+VLOOKUP($A13,Master!$D$27:$G$225,4,FALSE)</f>
        <v>Corporate Income Tax</v>
      </c>
      <c r="C13" s="485"/>
      <c r="D13" s="485"/>
      <c r="E13" s="485"/>
      <c r="F13" s="485"/>
      <c r="G13" s="188">
        <f>+INDEX(DataEx!$1:$1048576,MATCH('2019'!$A13,DataEx!$D:$D,0),MATCH('2019'!G$6,DataEx!$7:$7,0))</f>
        <v>936843.13</v>
      </c>
      <c r="H13" s="188">
        <f>+INDEX(DataEx!$1:$1048576,MATCH('2019'!$A13,DataEx!$D:$D,0),MATCH('2019'!H$6,DataEx!$7:$7,0))</f>
        <v>1962550.32</v>
      </c>
      <c r="I13" s="188">
        <f>+INDEX(DataEx!$1:$1048576,MATCH('2019'!$A13,DataEx!$D:$D,0),MATCH('2019'!I$6,DataEx!$7:$7,0))</f>
        <v>22465664.23</v>
      </c>
      <c r="J13" s="188">
        <f>+INDEX(DataEx!$1:$1048576,MATCH('2019'!$A13,DataEx!$D:$D,0),MATCH('2019'!J$6,DataEx!$7:$7,0))</f>
        <v>20408432.98</v>
      </c>
      <c r="K13" s="188">
        <f>+INDEX(DataEx!$1:$1048576,MATCH('2019'!$A13,DataEx!$D:$D,0),MATCH('2019'!K$6,DataEx!$7:$7,0))</f>
        <v>4781744.7</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50555235.359999999</v>
      </c>
      <c r="T13" s="270">
        <f t="shared" si="4"/>
        <v>1.0557414559579001E-2</v>
      </c>
    </row>
    <row r="14" spans="1:20">
      <c r="A14" s="175">
        <v>7113</v>
      </c>
      <c r="B14" s="484" t="str">
        <f>+VLOOKUP($A14,Master!$D$27:$G$225,4,FALSE)</f>
        <v xml:space="preserve">Taxes on Sales of Property </v>
      </c>
      <c r="C14" s="485"/>
      <c r="D14" s="485"/>
      <c r="E14" s="485"/>
      <c r="F14" s="485"/>
      <c r="G14" s="188">
        <f>+INDEX(DataEx!$1:$1048576,MATCH('2019'!$A14,DataEx!$D:$D,0),MATCH('2019'!G$6,DataEx!$7:$7,0))</f>
        <v>118243.45</v>
      </c>
      <c r="H14" s="188">
        <f>+INDEX(DataEx!$1:$1048576,MATCH('2019'!$A14,DataEx!$D:$D,0),MATCH('2019'!H$6,DataEx!$7:$7,0))</f>
        <v>169568.16</v>
      </c>
      <c r="I14" s="188">
        <f>+INDEX(DataEx!$1:$1048576,MATCH('2019'!$A14,DataEx!$D:$D,0),MATCH('2019'!I$6,DataEx!$7:$7,0))</f>
        <v>146352.49</v>
      </c>
      <c r="J14" s="188">
        <f>+INDEX(DataEx!$1:$1048576,MATCH('2019'!$A14,DataEx!$D:$D,0),MATCH('2019'!J$6,DataEx!$7:$7,0))</f>
        <v>204359.36</v>
      </c>
      <c r="K14" s="188">
        <f>+INDEX(DataEx!$1:$1048576,MATCH('2019'!$A14,DataEx!$D:$D,0),MATCH('2019'!K$6,DataEx!$7:$7,0))</f>
        <v>147510.5</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786033.96</v>
      </c>
      <c r="T14" s="270">
        <f t="shared" si="4"/>
        <v>1.6414692394436787E-4</v>
      </c>
    </row>
    <row r="15" spans="1:20">
      <c r="A15" s="175">
        <v>7114</v>
      </c>
      <c r="B15" s="484" t="str">
        <f>+VLOOKUP($A15,Master!$D$27:$G$225,4,FALSE)</f>
        <v>Value Added Tax</v>
      </c>
      <c r="C15" s="485"/>
      <c r="D15" s="485"/>
      <c r="E15" s="485"/>
      <c r="F15" s="485"/>
      <c r="G15" s="188">
        <f>+INDEX(DataEx!$1:$1048576,MATCH('2019'!$A15,DataEx!$D:$D,0),MATCH('2019'!G$6,DataEx!$7:$7,0))</f>
        <v>49847223.18</v>
      </c>
      <c r="H15" s="188">
        <f>+INDEX(DataEx!$1:$1048576,MATCH('2019'!$A15,DataEx!$D:$D,0),MATCH('2019'!H$6,DataEx!$7:$7,0))</f>
        <v>38958365.399999999</v>
      </c>
      <c r="I15" s="188">
        <f>+INDEX(DataEx!$1:$1048576,MATCH('2019'!$A15,DataEx!$D:$D,0),MATCH('2019'!I$6,DataEx!$7:$7,0))</f>
        <v>50498218.18</v>
      </c>
      <c r="J15" s="188">
        <f>+INDEX(DataEx!$1:$1048576,MATCH('2019'!$A15,DataEx!$D:$D,0),MATCH('2019'!J$6,DataEx!$7:$7,0))</f>
        <v>55142838.460000001</v>
      </c>
      <c r="K15" s="188">
        <f>+INDEX(DataEx!$1:$1048576,MATCH('2019'!$A15,DataEx!$D:$D,0),MATCH('2019'!K$6,DataEx!$7:$7,0))</f>
        <v>56428341.859999999</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250874987.07999998</v>
      </c>
      <c r="T15" s="270">
        <f t="shared" si="4"/>
        <v>5.2390048673933924E-2</v>
      </c>
    </row>
    <row r="16" spans="1:20">
      <c r="A16" s="175">
        <v>7115</v>
      </c>
      <c r="B16" s="484" t="str">
        <f>+VLOOKUP($A16,Master!$D$27:$G$225,4,FALSE)</f>
        <v>Excises</v>
      </c>
      <c r="C16" s="485"/>
      <c r="D16" s="485"/>
      <c r="E16" s="485"/>
      <c r="F16" s="485"/>
      <c r="G16" s="188">
        <f>+INDEX(DataEx!$1:$1048576,MATCH('2019'!$A16,DataEx!$D:$D,0),MATCH('2019'!G$6,DataEx!$7:$7,0))</f>
        <v>15141217.210000001</v>
      </c>
      <c r="H16" s="188">
        <f>+INDEX(DataEx!$1:$1048576,MATCH('2019'!$A16,DataEx!$D:$D,0),MATCH('2019'!H$6,DataEx!$7:$7,0))</f>
        <v>13186126.23</v>
      </c>
      <c r="I16" s="188">
        <f>+INDEX(DataEx!$1:$1048576,MATCH('2019'!$A16,DataEx!$D:$D,0),MATCH('2019'!I$6,DataEx!$7:$7,0))</f>
        <v>13315087.640000001</v>
      </c>
      <c r="J16" s="188">
        <f>+INDEX(DataEx!$1:$1048576,MATCH('2019'!$A16,DataEx!$D:$D,0),MATCH('2019'!J$6,DataEx!$7:$7,0))</f>
        <v>16826313.73</v>
      </c>
      <c r="K16" s="188">
        <f>+INDEX(DataEx!$1:$1048576,MATCH('2019'!$A16,DataEx!$D:$D,0),MATCH('2019'!K$6,DataEx!$7:$7,0))</f>
        <v>19442485.359999999</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77911230.170000002</v>
      </c>
      <c r="T16" s="270">
        <f t="shared" si="4"/>
        <v>1.6270147886647456E-2</v>
      </c>
    </row>
    <row r="17" spans="1:25">
      <c r="A17" s="175">
        <v>7116</v>
      </c>
      <c r="B17" s="484" t="str">
        <f>+VLOOKUP($A17,Master!$D$27:$G$225,4,FALSE)</f>
        <v>Tax on International Trade and Transactions</v>
      </c>
      <c r="C17" s="485"/>
      <c r="D17" s="485"/>
      <c r="E17" s="485"/>
      <c r="F17" s="485"/>
      <c r="G17" s="188">
        <f>+INDEX(DataEx!$1:$1048576,MATCH('2019'!$A17,DataEx!$D:$D,0),MATCH('2019'!G$6,DataEx!$7:$7,0))</f>
        <v>1424968.68</v>
      </c>
      <c r="H17" s="188">
        <f>+INDEX(DataEx!$1:$1048576,MATCH('2019'!$A17,DataEx!$D:$D,0),MATCH('2019'!H$6,DataEx!$7:$7,0))</f>
        <v>1733788.33</v>
      </c>
      <c r="I17" s="188">
        <f>+INDEX(DataEx!$1:$1048576,MATCH('2019'!$A17,DataEx!$D:$D,0),MATCH('2019'!I$6,DataEx!$7:$7,0))</f>
        <v>2462209.73</v>
      </c>
      <c r="J17" s="188">
        <f>+INDEX(DataEx!$1:$1048576,MATCH('2019'!$A17,DataEx!$D:$D,0),MATCH('2019'!J$6,DataEx!$7:$7,0))</f>
        <v>2531899.16</v>
      </c>
      <c r="K17" s="188">
        <f>+INDEX(DataEx!$1:$1048576,MATCH('2019'!$A17,DataEx!$D:$D,0),MATCH('2019'!K$6,DataEx!$7:$7,0))</f>
        <v>2502520.2799999998</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10655386.18</v>
      </c>
      <c r="T17" s="270">
        <f t="shared" si="4"/>
        <v>2.2251568683957731E-3</v>
      </c>
    </row>
    <row r="18" spans="1:25">
      <c r="A18" s="175">
        <v>7118</v>
      </c>
      <c r="B18" s="484" t="str">
        <f>+VLOOKUP($A18,Master!$D$27:$G$225,4,FALSE)</f>
        <v>Other Republic Taxes</v>
      </c>
      <c r="C18" s="485"/>
      <c r="D18" s="485"/>
      <c r="E18" s="485"/>
      <c r="F18" s="485"/>
      <c r="G18" s="188">
        <f>+INDEX(DataEx!$1:$1048576,MATCH('2019'!$A18,DataEx!$D:$D,0),MATCH('2019'!G$6,DataEx!$7:$7,0))</f>
        <v>720320.96</v>
      </c>
      <c r="H18" s="188">
        <f>+INDEX(DataEx!$1:$1048576,MATCH('2019'!$A18,DataEx!$D:$D,0),MATCH('2019'!H$6,DataEx!$7:$7,0))</f>
        <v>3098848.85</v>
      </c>
      <c r="I18" s="188">
        <f>+INDEX(DataEx!$1:$1048576,MATCH('2019'!$A18,DataEx!$D:$D,0),MATCH('2019'!I$6,DataEx!$7:$7,0))</f>
        <v>777051.66</v>
      </c>
      <c r="J18" s="188">
        <f>+INDEX(DataEx!$1:$1048576,MATCH('2019'!$A18,DataEx!$D:$D,0),MATCH('2019'!J$6,DataEx!$7:$7,0))</f>
        <v>910873.03</v>
      </c>
      <c r="K18" s="188">
        <f>+INDEX(DataEx!$1:$1048576,MATCH('2019'!$A18,DataEx!$D:$D,0),MATCH('2019'!K$6,DataEx!$7:$7,0))</f>
        <v>858869.92</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6365964.4199999999</v>
      </c>
      <c r="T18" s="270">
        <f t="shared" si="4"/>
        <v>1.3293999122916927E-3</v>
      </c>
    </row>
    <row r="19" spans="1:25">
      <c r="A19" s="175">
        <v>712</v>
      </c>
      <c r="B19" s="494" t="str">
        <f>+VLOOKUP($A19,Master!$D$27:$G$225,4,FALSE)</f>
        <v>Contributions</v>
      </c>
      <c r="C19" s="495"/>
      <c r="D19" s="495"/>
      <c r="E19" s="495"/>
      <c r="F19" s="495"/>
      <c r="G19" s="194">
        <f>+INDEX(DataEx!$1:$1048576,MATCH('2019'!$A19,DataEx!$D:$D,0),MATCH('2019'!G$6,DataEx!$7:$7,0))</f>
        <v>16498881.48</v>
      </c>
      <c r="H19" s="194">
        <f>+INDEX(DataEx!$1:$1048576,MATCH('2019'!$A19,DataEx!$D:$D,0),MATCH('2019'!H$6,DataEx!$7:$7,0))</f>
        <v>41912269.380000003</v>
      </c>
      <c r="I19" s="194">
        <f>+INDEX(DataEx!$1:$1048576,MATCH('2019'!$A19,DataEx!$D:$D,0),MATCH('2019'!I$6,DataEx!$7:$7,0))</f>
        <v>41047599.18</v>
      </c>
      <c r="J19" s="194">
        <f>+INDEX(DataEx!$1:$1048576,MATCH('2019'!$A19,DataEx!$D:$D,0),MATCH('2019'!J$6,DataEx!$7:$7,0))</f>
        <v>50290988.939999998</v>
      </c>
      <c r="K19" s="194">
        <f>+INDEX(DataEx!$1:$1048576,MATCH('2019'!$A19,DataEx!$D:$D,0),MATCH('2019'!K$6,DataEx!$7:$7,0))</f>
        <v>37496285.130000003</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187246024.10999998</v>
      </c>
      <c r="T19" s="273">
        <f t="shared" si="4"/>
        <v>3.9102456690890859E-2</v>
      </c>
    </row>
    <row r="20" spans="1:25">
      <c r="A20" s="175">
        <v>7121</v>
      </c>
      <c r="B20" s="484" t="str">
        <f>+VLOOKUP($A20,Master!$D$27:$G$225,4,FALSE)</f>
        <v>Contributions for Pension and Disability Insurance</v>
      </c>
      <c r="C20" s="485"/>
      <c r="D20" s="485"/>
      <c r="E20" s="485"/>
      <c r="F20" s="485"/>
      <c r="G20" s="188">
        <f>+INDEX(DataEx!$1:$1048576,MATCH('2019'!$A20,DataEx!$D:$D,0),MATCH('2019'!G$6,DataEx!$7:$7,0))</f>
        <v>9695765.5800000001</v>
      </c>
      <c r="H20" s="188">
        <f>+INDEX(DataEx!$1:$1048576,MATCH('2019'!$A20,DataEx!$D:$D,0),MATCH('2019'!H$6,DataEx!$7:$7,0))</f>
        <v>24593790.260000002</v>
      </c>
      <c r="I20" s="188">
        <f>+INDEX(DataEx!$1:$1048576,MATCH('2019'!$A20,DataEx!$D:$D,0),MATCH('2019'!I$6,DataEx!$7:$7,0))</f>
        <v>23923752.719999999</v>
      </c>
      <c r="J20" s="188">
        <f>+INDEX(DataEx!$1:$1048576,MATCH('2019'!$A20,DataEx!$D:$D,0),MATCH('2019'!J$6,DataEx!$7:$7,0))</f>
        <v>29650595.870000001</v>
      </c>
      <c r="K20" s="188">
        <f>+INDEX(DataEx!$1:$1048576,MATCH('2019'!$A20,DataEx!$D:$D,0),MATCH('2019'!K$6,DataEx!$7:$7,0))</f>
        <v>22104934.850000001</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109968839.28</v>
      </c>
      <c r="T20" s="270">
        <f t="shared" si="4"/>
        <v>2.2964716050620223E-2</v>
      </c>
    </row>
    <row r="21" spans="1:25">
      <c r="A21" s="175">
        <v>7122</v>
      </c>
      <c r="B21" s="484" t="str">
        <f>+VLOOKUP($A21,Master!$D$27:$G$225,4,FALSE)</f>
        <v>Contributions for Health Insurance</v>
      </c>
      <c r="C21" s="485"/>
      <c r="D21" s="485"/>
      <c r="E21" s="485"/>
      <c r="F21" s="485"/>
      <c r="G21" s="188">
        <f>+INDEX(DataEx!$1:$1048576,MATCH('2019'!$A21,DataEx!$D:$D,0),MATCH('2019'!G$6,DataEx!$7:$7,0))</f>
        <v>5963049.2000000002</v>
      </c>
      <c r="H21" s="188">
        <f>+INDEX(DataEx!$1:$1048576,MATCH('2019'!$A21,DataEx!$D:$D,0),MATCH('2019'!H$6,DataEx!$7:$7,0))</f>
        <v>15122476.890000001</v>
      </c>
      <c r="I21" s="188">
        <f>+INDEX(DataEx!$1:$1048576,MATCH('2019'!$A21,DataEx!$D:$D,0),MATCH('2019'!I$6,DataEx!$7:$7,0))</f>
        <v>14777265.789999999</v>
      </c>
      <c r="J21" s="188">
        <f>+INDEX(DataEx!$1:$1048576,MATCH('2019'!$A21,DataEx!$D:$D,0),MATCH('2019'!J$6,DataEx!$7:$7,0))</f>
        <v>17925167.550000001</v>
      </c>
      <c r="K21" s="188">
        <f>+INDEX(DataEx!$1:$1048576,MATCH('2019'!$A21,DataEx!$D:$D,0),MATCH('2019'!K$6,DataEx!$7:$7,0))</f>
        <v>13458982.5</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67246941.929999992</v>
      </c>
      <c r="T21" s="270">
        <f t="shared" si="4"/>
        <v>1.4043132007267258E-2</v>
      </c>
    </row>
    <row r="22" spans="1:25">
      <c r="A22" s="175">
        <v>7123</v>
      </c>
      <c r="B22" s="484" t="str">
        <f>+VLOOKUP($A22,Master!$D$27:$G$225,4,FALSE)</f>
        <v>Contributions for  Unemployment Insurance</v>
      </c>
      <c r="C22" s="485"/>
      <c r="D22" s="485"/>
      <c r="E22" s="485"/>
      <c r="F22" s="485"/>
      <c r="G22" s="188">
        <f>+INDEX(DataEx!$1:$1048576,MATCH('2019'!$A22,DataEx!$D:$D,0),MATCH('2019'!G$6,DataEx!$7:$7,0))</f>
        <v>459881.42</v>
      </c>
      <c r="H22" s="188">
        <f>+INDEX(DataEx!$1:$1048576,MATCH('2019'!$A22,DataEx!$D:$D,0),MATCH('2019'!H$6,DataEx!$7:$7,0))</f>
        <v>1160315.8500000001</v>
      </c>
      <c r="I22" s="188">
        <f>+INDEX(DataEx!$1:$1048576,MATCH('2019'!$A22,DataEx!$D:$D,0),MATCH('2019'!I$6,DataEx!$7:$7,0))</f>
        <v>1135767.8899999999</v>
      </c>
      <c r="J22" s="188">
        <f>+INDEX(DataEx!$1:$1048576,MATCH('2019'!$A22,DataEx!$D:$D,0),MATCH('2019'!J$6,DataEx!$7:$7,0))</f>
        <v>1375720.59</v>
      </c>
      <c r="K22" s="188">
        <f>+INDEX(DataEx!$1:$1048576,MATCH('2019'!$A22,DataEx!$D:$D,0),MATCH('2019'!K$6,DataEx!$7:$7,0))</f>
        <v>1026106.03</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5157791.78</v>
      </c>
      <c r="T22" s="270">
        <f t="shared" si="4"/>
        <v>1.0770980620640688E-3</v>
      </c>
    </row>
    <row r="23" spans="1:25">
      <c r="A23" s="175">
        <v>7124</v>
      </c>
      <c r="B23" s="484" t="str">
        <f>+VLOOKUP($A23,Master!$D$27:$G$225,4,FALSE)</f>
        <v>Other contributions</v>
      </c>
      <c r="C23" s="485"/>
      <c r="D23" s="485"/>
      <c r="E23" s="485"/>
      <c r="F23" s="485"/>
      <c r="G23" s="188">
        <f>+INDEX(DataEx!$1:$1048576,MATCH('2019'!$A23,DataEx!$D:$D,0),MATCH('2019'!G$6,DataEx!$7:$7,0))</f>
        <v>380185.28</v>
      </c>
      <c r="H23" s="188">
        <f>+INDEX(DataEx!$1:$1048576,MATCH('2019'!$A23,DataEx!$D:$D,0),MATCH('2019'!H$6,DataEx!$7:$7,0))</f>
        <v>1035686.38</v>
      </c>
      <c r="I23" s="188">
        <f>+INDEX(DataEx!$1:$1048576,MATCH('2019'!$A23,DataEx!$D:$D,0),MATCH('2019'!I$6,DataEx!$7:$7,0))</f>
        <v>1210812.78</v>
      </c>
      <c r="J23" s="188">
        <f>+INDEX(DataEx!$1:$1048576,MATCH('2019'!$A23,DataEx!$D:$D,0),MATCH('2019'!J$6,DataEx!$7:$7,0))</f>
        <v>1339504.93</v>
      </c>
      <c r="K23" s="188">
        <f>+INDEX(DataEx!$1:$1048576,MATCH('2019'!$A23,DataEx!$D:$D,0),MATCH('2019'!K$6,DataEx!$7:$7,0))</f>
        <v>906261.75</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4872451.12</v>
      </c>
      <c r="T23" s="270">
        <f t="shared" si="4"/>
        <v>1.0175105709393142E-3</v>
      </c>
      <c r="Y23" s="379"/>
    </row>
    <row r="24" spans="1:25">
      <c r="A24" s="175">
        <v>713</v>
      </c>
      <c r="B24" s="486" t="str">
        <f>+VLOOKUP($A24,Master!$D$27:$G$225,4,FALSE)</f>
        <v>Duties</v>
      </c>
      <c r="C24" s="487"/>
      <c r="D24" s="487"/>
      <c r="E24" s="487"/>
      <c r="F24" s="487"/>
      <c r="G24" s="200">
        <f>+INDEX(DataEx!$1:$1048576,MATCH('2019'!$A24,DataEx!$D:$D,0),MATCH('2019'!G$6,DataEx!$7:$7,0))</f>
        <v>851162.27</v>
      </c>
      <c r="H24" s="200">
        <f>+INDEX(DataEx!$1:$1048576,MATCH('2019'!$A24,DataEx!$D:$D,0),MATCH('2019'!H$6,DataEx!$7:$7,0))</f>
        <v>1041125.39</v>
      </c>
      <c r="I24" s="200">
        <f>+INDEX(DataEx!$1:$1048576,MATCH('2019'!$A24,DataEx!$D:$D,0),MATCH('2019'!I$6,DataEx!$7:$7,0))</f>
        <v>1066481.8799999999</v>
      </c>
      <c r="J24" s="200">
        <f>+INDEX(DataEx!$1:$1048576,MATCH('2019'!$A24,DataEx!$D:$D,0),MATCH('2019'!J$6,DataEx!$7:$7,0))</f>
        <v>1290371.49</v>
      </c>
      <c r="K24" s="200">
        <f>+INDEX(DataEx!$1:$1048576,MATCH('2019'!$A24,DataEx!$D:$D,0),MATCH('2019'!K$6,DataEx!$7:$7,0))</f>
        <v>1119638.28</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5368779.3100000005</v>
      </c>
      <c r="T24" s="273">
        <f t="shared" si="4"/>
        <v>1.1211584408804245E-3</v>
      </c>
      <c r="Y24" s="379"/>
    </row>
    <row r="25" spans="1:25">
      <c r="A25" s="175">
        <v>714</v>
      </c>
      <c r="B25" s="486" t="str">
        <f>+VLOOKUP($A25,Master!$D$27:$G$225,4,FALSE)</f>
        <v>Fees</v>
      </c>
      <c r="C25" s="487"/>
      <c r="D25" s="487"/>
      <c r="E25" s="487"/>
      <c r="F25" s="487"/>
      <c r="G25" s="200">
        <f>+INDEX(DataEx!$1:$1048576,MATCH('2019'!$A25,DataEx!$D:$D,0),MATCH('2019'!G$6,DataEx!$7:$7,0))</f>
        <v>2315003.25</v>
      </c>
      <c r="H25" s="200">
        <f>+INDEX(DataEx!$1:$1048576,MATCH('2019'!$A25,DataEx!$D:$D,0),MATCH('2019'!H$6,DataEx!$7:$7,0))</f>
        <v>1541397.86</v>
      </c>
      <c r="I25" s="200">
        <f>+INDEX(DataEx!$1:$1048576,MATCH('2019'!$A25,DataEx!$D:$D,0),MATCH('2019'!I$6,DataEx!$7:$7,0))</f>
        <v>2408517.5</v>
      </c>
      <c r="J25" s="200">
        <f>+INDEX(DataEx!$1:$1048576,MATCH('2019'!$A25,DataEx!$D:$D,0),MATCH('2019'!J$6,DataEx!$7:$7,0))</f>
        <v>3310133.38</v>
      </c>
      <c r="K25" s="200">
        <f>+INDEX(DataEx!$1:$1048576,MATCH('2019'!$A25,DataEx!$D:$D,0),MATCH('2019'!K$6,DataEx!$7:$7,0))</f>
        <v>1792591.2</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11367643.189999999</v>
      </c>
      <c r="T25" s="273">
        <f t="shared" si="4"/>
        <v>2.3738970032995028E-3</v>
      </c>
      <c r="W25" s="366"/>
    </row>
    <row r="26" spans="1:25">
      <c r="A26" s="175">
        <v>715</v>
      </c>
      <c r="B26" s="486" t="str">
        <f>+VLOOKUP($A26,Master!$D$27:$G$225,4,FALSE)</f>
        <v>Other revenues</v>
      </c>
      <c r="C26" s="487"/>
      <c r="D26" s="487"/>
      <c r="E26" s="487"/>
      <c r="F26" s="487"/>
      <c r="G26" s="200">
        <f>+INDEX(DataEx!$1:$1048576,MATCH('2019'!$A26,DataEx!$D:$D,0),MATCH('2019'!G$6,DataEx!$7:$7,0))</f>
        <v>1567288.04</v>
      </c>
      <c r="H26" s="200">
        <f>+INDEX(DataEx!$1:$1048576,MATCH('2019'!$A26,DataEx!$D:$D,0),MATCH('2019'!H$6,DataEx!$7:$7,0))</f>
        <v>2199531.1</v>
      </c>
      <c r="I26" s="200">
        <f>+INDEX(DataEx!$1:$1048576,MATCH('2019'!$A26,DataEx!$D:$D,0),MATCH('2019'!I$6,DataEx!$7:$7,0))</f>
        <v>3194097.81</v>
      </c>
      <c r="J26" s="200">
        <f>+INDEX(DataEx!$1:$1048576,MATCH('2019'!$A26,DataEx!$D:$D,0),MATCH('2019'!J$6,DataEx!$7:$7,0))</f>
        <v>2385711.15</v>
      </c>
      <c r="K26" s="200">
        <f>+INDEX(DataEx!$1:$1048576,MATCH('2019'!$A26,DataEx!$D:$D,0),MATCH('2019'!K$6,DataEx!$7:$7,0))</f>
        <v>7159438.3899999997</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16506066.489999998</v>
      </c>
      <c r="T26" s="273">
        <f t="shared" si="4"/>
        <v>3.4469503591864005E-3</v>
      </c>
    </row>
    <row r="27" spans="1:25">
      <c r="A27" s="175">
        <v>73</v>
      </c>
      <c r="B27" s="486" t="str">
        <f>+VLOOKUP($A27,Master!$D$27:$G$225,4,FALSE)</f>
        <v>Receipts from Repayment of Loans and Funds Carried over from Previous Year</v>
      </c>
      <c r="C27" s="487"/>
      <c r="D27" s="487"/>
      <c r="E27" s="487"/>
      <c r="F27" s="487"/>
      <c r="G27" s="200">
        <f>+INDEX(DataEx!$1:$1048576,MATCH('2019'!$A27,DataEx!$D:$D,0),MATCH('2019'!G$6,DataEx!$7:$7,0))</f>
        <v>69158.880000000005</v>
      </c>
      <c r="H27" s="200">
        <f>+INDEX(DataEx!$1:$1048576,MATCH('2019'!$A27,DataEx!$D:$D,0),MATCH('2019'!H$6,DataEx!$7:$7,0))</f>
        <v>378338.04</v>
      </c>
      <c r="I27" s="200">
        <f>+INDEX(DataEx!$1:$1048576,MATCH('2019'!$A27,DataEx!$D:$D,0),MATCH('2019'!I$6,DataEx!$7:$7,0))</f>
        <v>257172.98</v>
      </c>
      <c r="J27" s="200">
        <f>+INDEX(DataEx!$1:$1048576,MATCH('2019'!$A27,DataEx!$D:$D,0),MATCH('2019'!J$6,DataEx!$7:$7,0))</f>
        <v>349238.34</v>
      </c>
      <c r="K27" s="200">
        <f>+INDEX(DataEx!$1:$1048576,MATCH('2019'!$A27,DataEx!$D:$D,0),MATCH('2019'!K$6,DataEx!$7:$7,0))</f>
        <v>808656.23</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1862564.47</v>
      </c>
      <c r="T27" s="273">
        <f t="shared" si="4"/>
        <v>3.8895803992816273E-4</v>
      </c>
    </row>
    <row r="28" spans="1:25" ht="13.5" thickBot="1">
      <c r="A28" s="175">
        <v>74</v>
      </c>
      <c r="B28" s="488" t="str">
        <f>+VLOOKUP($A28,Master!$D$27:$G$225,4,FALSE)</f>
        <v>Grants and Transfers</v>
      </c>
      <c r="C28" s="489"/>
      <c r="D28" s="489"/>
      <c r="E28" s="489"/>
      <c r="F28" s="489"/>
      <c r="G28" s="200">
        <f>+INDEX(DataEx!$1:$1048576,MATCH('2019'!$A28,DataEx!$D:$D,0),MATCH('2019'!G$6,DataEx!$7:$7,0))</f>
        <v>13526711.25</v>
      </c>
      <c r="H28" s="200">
        <f>+INDEX(DataEx!$1:$1048576,MATCH('2019'!$A28,DataEx!$D:$D,0),MATCH('2019'!H$6,DataEx!$7:$7,0))</f>
        <v>1001055.74</v>
      </c>
      <c r="I28" s="200">
        <f>+INDEX(DataEx!$1:$1048576,MATCH('2019'!$A28,DataEx!$D:$D,0),MATCH('2019'!I$6,DataEx!$7:$7,0))</f>
        <v>861265.77</v>
      </c>
      <c r="J28" s="200">
        <f>+INDEX(DataEx!$1:$1048576,MATCH('2019'!$A28,DataEx!$D:$D,0),MATCH('2019'!J$6,DataEx!$7:$7,0))</f>
        <v>627154.51</v>
      </c>
      <c r="K28" s="200">
        <f>+INDEX(DataEx!$1:$1048576,MATCH('2019'!$A28,DataEx!$D:$D,0),MATCH('2019'!K$6,DataEx!$7:$7,0))</f>
        <v>1388870.5</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17405057.77</v>
      </c>
      <c r="T28" s="276">
        <f t="shared" si="4"/>
        <v>3.6346860815269599E-3</v>
      </c>
    </row>
    <row r="29" spans="1:25" ht="13.5" thickBot="1">
      <c r="A29" s="175">
        <v>4</v>
      </c>
      <c r="B29" s="474" t="str">
        <f>+VLOOKUP($A29,Master!$D$27:$G$225,4,FALSE)</f>
        <v>Total Expenditures</v>
      </c>
      <c r="C29" s="475"/>
      <c r="D29" s="475"/>
      <c r="E29" s="475"/>
      <c r="F29" s="475"/>
      <c r="G29" s="176">
        <f>+G31+G42+G48+SUM(G49:G53)</f>
        <v>139590250.27000004</v>
      </c>
      <c r="H29" s="176">
        <f t="shared" ref="H29:R29" si="5">+H31+H42+H48+SUM(H49:H53)</f>
        <v>130859731.31</v>
      </c>
      <c r="I29" s="176">
        <f t="shared" si="5"/>
        <v>172197939.67000002</v>
      </c>
      <c r="J29" s="176">
        <f t="shared" si="5"/>
        <v>154899575.15000001</v>
      </c>
      <c r="K29" s="176">
        <f t="shared" si="5"/>
        <v>136373040.24000001</v>
      </c>
      <c r="L29" s="176">
        <f t="shared" si="5"/>
        <v>0</v>
      </c>
      <c r="M29" s="176">
        <f t="shared" si="5"/>
        <v>0</v>
      </c>
      <c r="N29" s="176">
        <f t="shared" si="5"/>
        <v>0</v>
      </c>
      <c r="O29" s="176">
        <f t="shared" si="5"/>
        <v>0</v>
      </c>
      <c r="P29" s="176">
        <f t="shared" si="5"/>
        <v>0</v>
      </c>
      <c r="Q29" s="176">
        <f t="shared" si="5"/>
        <v>0</v>
      </c>
      <c r="R29" s="176">
        <f t="shared" si="5"/>
        <v>0</v>
      </c>
      <c r="S29" s="277">
        <f t="shared" si="3"/>
        <v>733920536.6400001</v>
      </c>
      <c r="T29" s="278">
        <f t="shared" si="4"/>
        <v>0.15326411407091844</v>
      </c>
    </row>
    <row r="30" spans="1:25" ht="13.5" thickBot="1">
      <c r="A30" s="175">
        <v>41</v>
      </c>
      <c r="B30" s="490" t="str">
        <f>+VLOOKUP($A30,Master!$D$27:$G$225,4,FALSE)</f>
        <v>Current Budgetary Consumption</v>
      </c>
      <c r="C30" s="491"/>
      <c r="D30" s="491"/>
      <c r="E30" s="491"/>
      <c r="F30" s="491"/>
      <c r="G30" s="206">
        <f>+G29-G49</f>
        <v>112761895.32000004</v>
      </c>
      <c r="H30" s="206">
        <f t="shared" ref="H30:R30" si="6">+H29-H49</f>
        <v>127169281.3</v>
      </c>
      <c r="I30" s="206">
        <f t="shared" si="6"/>
        <v>157267742.07000002</v>
      </c>
      <c r="J30" s="206">
        <f t="shared" si="6"/>
        <v>142803457.75999999</v>
      </c>
      <c r="K30" s="206">
        <f t="shared" si="6"/>
        <v>124908662.68000001</v>
      </c>
      <c r="L30" s="206">
        <f t="shared" si="6"/>
        <v>0</v>
      </c>
      <c r="M30" s="206">
        <f t="shared" si="6"/>
        <v>0</v>
      </c>
      <c r="N30" s="206">
        <f t="shared" si="6"/>
        <v>0</v>
      </c>
      <c r="O30" s="206">
        <f t="shared" si="6"/>
        <v>0</v>
      </c>
      <c r="P30" s="206">
        <f t="shared" si="6"/>
        <v>0</v>
      </c>
      <c r="Q30" s="206">
        <f t="shared" si="6"/>
        <v>0</v>
      </c>
      <c r="R30" s="206">
        <f t="shared" si="6"/>
        <v>0</v>
      </c>
      <c r="S30" s="431">
        <f t="shared" si="3"/>
        <v>664911039.13000011</v>
      </c>
      <c r="T30" s="280">
        <f t="shared" si="4"/>
        <v>0.13885290881050832</v>
      </c>
    </row>
    <row r="31" spans="1:25">
      <c r="A31" s="175">
        <v>40</v>
      </c>
      <c r="B31" s="492" t="str">
        <f>+VLOOKUP($A31,Master!$D$27:$G$225,4,FALSE)</f>
        <v>Current Expenditures</v>
      </c>
      <c r="C31" s="493"/>
      <c r="D31" s="493"/>
      <c r="E31" s="493"/>
      <c r="F31" s="493"/>
      <c r="G31" s="212">
        <f>+SUM(G32:G41)</f>
        <v>50999390.180000007</v>
      </c>
      <c r="H31" s="212">
        <f t="shared" ref="H31:R31" si="7">+SUM(H32:H41)</f>
        <v>58383083.520000003</v>
      </c>
      <c r="I31" s="212">
        <f t="shared" si="7"/>
        <v>85917156.579999998</v>
      </c>
      <c r="J31" s="212">
        <f t="shared" si="7"/>
        <v>77256329.650000006</v>
      </c>
      <c r="K31" s="212">
        <f t="shared" si="7"/>
        <v>58770255.339999996</v>
      </c>
      <c r="L31" s="212">
        <f t="shared" si="7"/>
        <v>0</v>
      </c>
      <c r="M31" s="212">
        <f t="shared" si="7"/>
        <v>0</v>
      </c>
      <c r="N31" s="212">
        <f t="shared" si="7"/>
        <v>0</v>
      </c>
      <c r="O31" s="212">
        <f t="shared" si="7"/>
        <v>0</v>
      </c>
      <c r="P31" s="212">
        <f t="shared" si="7"/>
        <v>0</v>
      </c>
      <c r="Q31" s="212">
        <f t="shared" si="7"/>
        <v>0</v>
      </c>
      <c r="R31" s="281">
        <f t="shared" si="7"/>
        <v>0</v>
      </c>
      <c r="S31" s="432">
        <f t="shared" si="3"/>
        <v>331326215.27000004</v>
      </c>
      <c r="T31" s="268">
        <f t="shared" si="4"/>
        <v>6.9190622576535951E-2</v>
      </c>
    </row>
    <row r="32" spans="1:25">
      <c r="A32" s="175">
        <v>411</v>
      </c>
      <c r="B32" s="484" t="str">
        <f>+VLOOKUP($A32,Master!$D$27:$G$225,4,FALSE)</f>
        <v>Gross Salaries and Contributions</v>
      </c>
      <c r="C32" s="485"/>
      <c r="D32" s="485"/>
      <c r="E32" s="485"/>
      <c r="F32" s="485"/>
      <c r="G32" s="188">
        <f>+INDEX(DataEx!$1:$1048576,MATCH('2019'!$A32,DataEx!$D:$D,0),MATCH('2019'!G$6,DataEx!$7:$7,0))</f>
        <v>38898745.609999999</v>
      </c>
      <c r="H32" s="188">
        <f>+INDEX(DataEx!$1:$1048576,MATCH('2019'!$A32,DataEx!$D:$D,0),MATCH('2019'!H$6,DataEx!$7:$7,0))</f>
        <v>38576856.590000004</v>
      </c>
      <c r="I32" s="188">
        <f>+INDEX(DataEx!$1:$1048576,MATCH('2019'!$A32,DataEx!$D:$D,0),MATCH('2019'!I$6,DataEx!$7:$7,0))</f>
        <v>39174668.049999997</v>
      </c>
      <c r="J32" s="188">
        <f>+INDEX(DataEx!$1:$1048576,MATCH('2019'!$A32,DataEx!$D:$D,0),MATCH('2019'!J$6,DataEx!$7:$7,0))</f>
        <v>38923552.049999997</v>
      </c>
      <c r="K32" s="188">
        <f>+INDEX(DataEx!$1:$1048576,MATCH('2019'!$A32,DataEx!$D:$D,0),MATCH('2019'!K$6,DataEx!$7:$7,0))</f>
        <v>39904782.170000002</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195478604.47000003</v>
      </c>
      <c r="T32" s="270">
        <f t="shared" si="4"/>
        <v>4.0821660708766659E-2</v>
      </c>
    </row>
    <row r="33" spans="1:22">
      <c r="A33" s="175">
        <v>412</v>
      </c>
      <c r="B33" s="484" t="str">
        <f>+VLOOKUP($A33,Master!$D$27:$G$225,4,FALSE)</f>
        <v>Other Personal Income</v>
      </c>
      <c r="C33" s="485"/>
      <c r="D33" s="485"/>
      <c r="E33" s="485"/>
      <c r="F33" s="485"/>
      <c r="G33" s="188">
        <f>+INDEX(DataEx!$1:$1048576,MATCH('2019'!$A33,DataEx!$D:$D,0),MATCH('2019'!G$6,DataEx!$7:$7,0))</f>
        <v>432717.77</v>
      </c>
      <c r="H33" s="188">
        <f>+INDEX(DataEx!$1:$1048576,MATCH('2019'!$A33,DataEx!$D:$D,0),MATCH('2019'!H$6,DataEx!$7:$7,0))</f>
        <v>1037317.51</v>
      </c>
      <c r="I33" s="188">
        <f>+INDEX(DataEx!$1:$1048576,MATCH('2019'!$A33,DataEx!$D:$D,0),MATCH('2019'!I$6,DataEx!$7:$7,0))</f>
        <v>740149.21</v>
      </c>
      <c r="J33" s="188">
        <f>+INDEX(DataEx!$1:$1048576,MATCH('2019'!$A33,DataEx!$D:$D,0),MATCH('2019'!J$6,DataEx!$7:$7,0))</f>
        <v>1606928.02</v>
      </c>
      <c r="K33" s="188">
        <f>+INDEX(DataEx!$1:$1048576,MATCH('2019'!$A33,DataEx!$D:$D,0),MATCH('2019'!K$6,DataEx!$7:$7,0))</f>
        <v>1045480.66</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4862593.17</v>
      </c>
      <c r="T33" s="270">
        <f t="shared" si="4"/>
        <v>1.0154519421125172E-3</v>
      </c>
      <c r="U33" s="367"/>
    </row>
    <row r="34" spans="1:22">
      <c r="A34" s="175">
        <v>413</v>
      </c>
      <c r="B34" s="484" t="str">
        <f>+VLOOKUP($A34,Master!$D$27:$G$225,4,FALSE)</f>
        <v>Expenditures for Supplies</v>
      </c>
      <c r="C34" s="485"/>
      <c r="D34" s="485"/>
      <c r="E34" s="485"/>
      <c r="F34" s="485"/>
      <c r="G34" s="188">
        <f>+INDEX(DataEx!$1:$1048576,MATCH('2019'!$A34,DataEx!$D:$D,0),MATCH('2019'!G$6,DataEx!$7:$7,0))</f>
        <v>854167.64</v>
      </c>
      <c r="H34" s="188">
        <f>+INDEX(DataEx!$1:$1048576,MATCH('2019'!$A34,DataEx!$D:$D,0),MATCH('2019'!H$6,DataEx!$7:$7,0))</f>
        <v>2492370.9900000002</v>
      </c>
      <c r="I34" s="188">
        <f>+INDEX(DataEx!$1:$1048576,MATCH('2019'!$A34,DataEx!$D:$D,0),MATCH('2019'!I$6,DataEx!$7:$7,0))</f>
        <v>2599448.7799999998</v>
      </c>
      <c r="J34" s="188">
        <f>+INDEX(DataEx!$1:$1048576,MATCH('2019'!$A34,DataEx!$D:$D,0),MATCH('2019'!J$6,DataEx!$7:$7,0))</f>
        <v>2488394.38</v>
      </c>
      <c r="K34" s="188">
        <f>+INDEX(DataEx!$1:$1048576,MATCH('2019'!$A34,DataEx!$D:$D,0),MATCH('2019'!K$6,DataEx!$7:$7,0))</f>
        <v>2262319.3199999998</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10696701.109999999</v>
      </c>
      <c r="T34" s="270">
        <f t="shared" si="4"/>
        <v>2.2337846364281835E-3</v>
      </c>
      <c r="U34" s="385"/>
      <c r="V34" s="365"/>
    </row>
    <row r="35" spans="1:22">
      <c r="A35" s="175">
        <v>414</v>
      </c>
      <c r="B35" s="484" t="str">
        <f>+VLOOKUP($A35,Master!$D$27:$G$225,4,FALSE)</f>
        <v>Expenditures for Services</v>
      </c>
      <c r="C35" s="485"/>
      <c r="D35" s="485"/>
      <c r="E35" s="485"/>
      <c r="F35" s="485"/>
      <c r="G35" s="188">
        <f>+INDEX(DataEx!$1:$1048576,MATCH('2019'!$A35,DataEx!$D:$D,0),MATCH('2019'!G$6,DataEx!$7:$7,0))</f>
        <v>2813388.82</v>
      </c>
      <c r="H35" s="188">
        <f>+INDEX(DataEx!$1:$1048576,MATCH('2019'!$A35,DataEx!$D:$D,0),MATCH('2019'!H$6,DataEx!$7:$7,0))</f>
        <v>4369547.51</v>
      </c>
      <c r="I35" s="188">
        <f>+INDEX(DataEx!$1:$1048576,MATCH('2019'!$A35,DataEx!$D:$D,0),MATCH('2019'!I$6,DataEx!$7:$7,0))</f>
        <v>4665604.76</v>
      </c>
      <c r="J35" s="188">
        <f>+INDEX(DataEx!$1:$1048576,MATCH('2019'!$A35,DataEx!$D:$D,0),MATCH('2019'!J$6,DataEx!$7:$7,0))</f>
        <v>4354213.09</v>
      </c>
      <c r="K35" s="188">
        <f>+INDEX(DataEx!$1:$1048576,MATCH('2019'!$A35,DataEx!$D:$D,0),MATCH('2019'!K$6,DataEx!$7:$7,0))</f>
        <v>5518669.6799999997</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21721423.859999999</v>
      </c>
      <c r="T35" s="270">
        <f t="shared" si="4"/>
        <v>4.5360698032827964E-3</v>
      </c>
    </row>
    <row r="36" spans="1:22">
      <c r="A36" s="175">
        <v>415</v>
      </c>
      <c r="B36" s="484" t="str">
        <f>+VLOOKUP($A36,Master!$D$27:$G$225,4,FALSE)</f>
        <v>Current Maintenance</v>
      </c>
      <c r="C36" s="485"/>
      <c r="D36" s="485"/>
      <c r="E36" s="485"/>
      <c r="F36" s="485"/>
      <c r="G36" s="188">
        <f>+INDEX(DataEx!$1:$1048576,MATCH('2019'!$A36,DataEx!$D:$D,0),MATCH('2019'!G$6,DataEx!$7:$7,0))</f>
        <v>109483.07</v>
      </c>
      <c r="H36" s="188">
        <f>+INDEX(DataEx!$1:$1048576,MATCH('2019'!$A36,DataEx!$D:$D,0),MATCH('2019'!H$6,DataEx!$7:$7,0))</f>
        <v>1534108.39</v>
      </c>
      <c r="I36" s="188">
        <f>+INDEX(DataEx!$1:$1048576,MATCH('2019'!$A36,DataEx!$D:$D,0),MATCH('2019'!I$6,DataEx!$7:$7,0))</f>
        <v>1553347.68</v>
      </c>
      <c r="J36" s="188">
        <f>+INDEX(DataEx!$1:$1048576,MATCH('2019'!$A36,DataEx!$D:$D,0),MATCH('2019'!J$6,DataEx!$7:$7,0))</f>
        <v>1602730.43</v>
      </c>
      <c r="K36" s="188">
        <f>+INDEX(DataEx!$1:$1048576,MATCH('2019'!$A36,DataEx!$D:$D,0),MATCH('2019'!K$6,DataEx!$7:$7,0))</f>
        <v>1719004.83</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6518674.3999999994</v>
      </c>
      <c r="T36" s="270">
        <f t="shared" si="4"/>
        <v>1.361290230965209E-3</v>
      </c>
    </row>
    <row r="37" spans="1:22">
      <c r="A37" s="175">
        <v>416</v>
      </c>
      <c r="B37" s="484" t="str">
        <f>+VLOOKUP($A37,Master!$D$27:$G$225,4,FALSE)</f>
        <v>Interests</v>
      </c>
      <c r="C37" s="485"/>
      <c r="D37" s="485"/>
      <c r="E37" s="485"/>
      <c r="F37" s="485"/>
      <c r="G37" s="188">
        <f>+INDEX(DataEx!$1:$1048576,MATCH('2019'!$A37,DataEx!$D:$D,0),MATCH('2019'!G$6,DataEx!$7:$7,0))</f>
        <v>6154852.9000000004</v>
      </c>
      <c r="H37" s="188">
        <f>+INDEX(DataEx!$1:$1048576,MATCH('2019'!$A37,DataEx!$D:$D,0),MATCH('2019'!H$6,DataEx!$7:$7,0))</f>
        <v>950797.68</v>
      </c>
      <c r="I37" s="188">
        <f>+INDEX(DataEx!$1:$1048576,MATCH('2019'!$A37,DataEx!$D:$D,0),MATCH('2019'!I$6,DataEx!$7:$7,0))</f>
        <v>28695513.649999999</v>
      </c>
      <c r="J37" s="188">
        <f>+INDEX(DataEx!$1:$1048576,MATCH('2019'!$A37,DataEx!$D:$D,0),MATCH('2019'!J$6,DataEx!$7:$7,0))</f>
        <v>18405321.859999999</v>
      </c>
      <c r="K37" s="188">
        <f>+INDEX(DataEx!$1:$1048576,MATCH('2019'!$A37,DataEx!$D:$D,0),MATCH('2019'!K$6,DataEx!$7:$7,0))</f>
        <v>1152255.24</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55358741.329999998</v>
      </c>
      <c r="T37" s="270">
        <f t="shared" si="4"/>
        <v>1.1560527362903562E-2</v>
      </c>
    </row>
    <row r="38" spans="1:22">
      <c r="A38" s="175">
        <v>417</v>
      </c>
      <c r="B38" s="484" t="str">
        <f>+VLOOKUP($A38,Master!$D$27:$G$225,4,FALSE)</f>
        <v>Rent</v>
      </c>
      <c r="C38" s="485"/>
      <c r="D38" s="485"/>
      <c r="E38" s="485"/>
      <c r="F38" s="485"/>
      <c r="G38" s="188">
        <f>+INDEX(DataEx!$1:$1048576,MATCH('2019'!$A38,DataEx!$D:$D,0),MATCH('2019'!G$6,DataEx!$7:$7,0))</f>
        <v>220526.46</v>
      </c>
      <c r="H38" s="188">
        <f>+INDEX(DataEx!$1:$1048576,MATCH('2019'!$A38,DataEx!$D:$D,0),MATCH('2019'!H$6,DataEx!$7:$7,0))</f>
        <v>779733.65</v>
      </c>
      <c r="I38" s="188">
        <f>+INDEX(DataEx!$1:$1048576,MATCH('2019'!$A38,DataEx!$D:$D,0),MATCH('2019'!I$6,DataEx!$7:$7,0))</f>
        <v>803370.53</v>
      </c>
      <c r="J38" s="188">
        <f>+INDEX(DataEx!$1:$1048576,MATCH('2019'!$A38,DataEx!$D:$D,0),MATCH('2019'!J$6,DataEx!$7:$7,0))</f>
        <v>1122402.21</v>
      </c>
      <c r="K38" s="188">
        <f>+INDEX(DataEx!$1:$1048576,MATCH('2019'!$A38,DataEx!$D:$D,0),MATCH('2019'!K$6,DataEx!$7:$7,0))</f>
        <v>989005.29</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3915038.14</v>
      </c>
      <c r="T38" s="270">
        <f t="shared" si="4"/>
        <v>8.175746857118991E-4</v>
      </c>
    </row>
    <row r="39" spans="1:22">
      <c r="A39" s="175">
        <v>418</v>
      </c>
      <c r="B39" s="484" t="str">
        <f>+VLOOKUP($A39,Master!$D$27:$G$225,4,FALSE)</f>
        <v>Subsidies</v>
      </c>
      <c r="C39" s="485"/>
      <c r="D39" s="485"/>
      <c r="E39" s="485"/>
      <c r="F39" s="485"/>
      <c r="G39" s="188">
        <f>+INDEX(DataEx!$1:$1048576,MATCH('2019'!$A39,DataEx!$D:$D,0),MATCH('2019'!G$6,DataEx!$7:$7,0))</f>
        <v>99006.6</v>
      </c>
      <c r="H39" s="188">
        <f>+INDEX(DataEx!$1:$1048576,MATCH('2019'!$A39,DataEx!$D:$D,0),MATCH('2019'!H$6,DataEx!$7:$7,0))</f>
        <v>1819632.21</v>
      </c>
      <c r="I39" s="188">
        <f>+INDEX(DataEx!$1:$1048576,MATCH('2019'!$A39,DataEx!$D:$D,0),MATCH('2019'!I$6,DataEx!$7:$7,0))</f>
        <v>3556257.45</v>
      </c>
      <c r="J39" s="188">
        <f>+INDEX(DataEx!$1:$1048576,MATCH('2019'!$A39,DataEx!$D:$D,0),MATCH('2019'!J$6,DataEx!$7:$7,0))</f>
        <v>1298353.71</v>
      </c>
      <c r="K39" s="188">
        <f>+INDEX(DataEx!$1:$1048576,MATCH('2019'!$A39,DataEx!$D:$D,0),MATCH('2019'!K$6,DataEx!$7:$7,0))</f>
        <v>2194236.0299999998</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8967486</v>
      </c>
      <c r="T39" s="270">
        <f t="shared" si="4"/>
        <v>1.8726738503946874E-3</v>
      </c>
    </row>
    <row r="40" spans="1:22">
      <c r="A40" s="175">
        <v>419</v>
      </c>
      <c r="B40" s="484" t="str">
        <f>+VLOOKUP($A40,Master!$D$27:$G$225,4,FALSE)</f>
        <v>Other expenditures</v>
      </c>
      <c r="C40" s="485"/>
      <c r="D40" s="485"/>
      <c r="E40" s="485"/>
      <c r="F40" s="485"/>
      <c r="G40" s="188">
        <f>+INDEX(DataEx!$1:$1048576,MATCH('2019'!$A40,DataEx!$D:$D,0),MATCH('2019'!G$6,DataEx!$7:$7,0))</f>
        <v>695586.92</v>
      </c>
      <c r="H40" s="188">
        <f>+INDEX(DataEx!$1:$1048576,MATCH('2019'!$A40,DataEx!$D:$D,0),MATCH('2019'!H$6,DataEx!$7:$7,0))</f>
        <v>3360581.13</v>
      </c>
      <c r="I40" s="188">
        <f>+INDEX(DataEx!$1:$1048576,MATCH('2019'!$A40,DataEx!$D:$D,0),MATCH('2019'!I$6,DataEx!$7:$7,0))</f>
        <v>2355848.1</v>
      </c>
      <c r="J40" s="188">
        <f>+INDEX(DataEx!$1:$1048576,MATCH('2019'!$A40,DataEx!$D:$D,0),MATCH('2019'!J$6,DataEx!$7:$7,0))</f>
        <v>5380148.8300000001</v>
      </c>
      <c r="K40" s="188">
        <f>+INDEX(DataEx!$1:$1048576,MATCH('2019'!$A40,DataEx!$D:$D,0),MATCH('2019'!K$6,DataEx!$7:$7,0))</f>
        <v>2122463.62</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13914628.600000001</v>
      </c>
      <c r="T40" s="270">
        <f t="shared" si="4"/>
        <v>2.9057821910370468E-3</v>
      </c>
    </row>
    <row r="41" spans="1:22">
      <c r="A41" s="175">
        <v>440</v>
      </c>
      <c r="B41" s="484" t="str">
        <f>+VLOOKUP($A41,Master!$D$27:$G$225,4,FALSE)</f>
        <v>Current Capital Expenditure</v>
      </c>
      <c r="C41" s="485"/>
      <c r="D41" s="485"/>
      <c r="E41" s="485"/>
      <c r="F41" s="485"/>
      <c r="G41" s="188">
        <f>+INDEX(DataEx!$1:$1048576,MATCH('2019'!$A41,DataEx!$D:$D,0),MATCH('2019'!G$6,DataEx!$7:$7,0))</f>
        <v>720914.39</v>
      </c>
      <c r="H41" s="188">
        <f>+INDEX(DataEx!$1:$1048576,MATCH('2019'!$A41,DataEx!$D:$D,0),MATCH('2019'!H$6,DataEx!$7:$7,0))</f>
        <v>3462137.8600000003</v>
      </c>
      <c r="I41" s="188">
        <f>+INDEX(DataEx!$1:$1048576,MATCH('2019'!$A41,DataEx!$D:$D,0),MATCH('2019'!I$6,DataEx!$7:$7,0))</f>
        <v>1772948.37</v>
      </c>
      <c r="J41" s="188">
        <f>+INDEX(DataEx!$1:$1048576,MATCH('2019'!$A41,DataEx!$D:$D,0),MATCH('2019'!J$6,DataEx!$7:$7,0))</f>
        <v>2074285.0700000003</v>
      </c>
      <c r="K41" s="188">
        <f>+INDEX(DataEx!$1:$1048576,MATCH('2019'!$A41,DataEx!$D:$D,0),MATCH('2019'!K$6,DataEx!$7:$7,0))</f>
        <v>1862038.5</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9892324.1900000013</v>
      </c>
      <c r="T41" s="270">
        <f t="shared" si="4"/>
        <v>2.0658071649333836E-3</v>
      </c>
    </row>
    <row r="42" spans="1:22">
      <c r="A42" s="175">
        <v>42</v>
      </c>
      <c r="B42" s="480" t="str">
        <f>+VLOOKUP($A42,Master!$D$27:$G$225,4,FALSE)</f>
        <v>Social Security Transfers</v>
      </c>
      <c r="C42" s="481"/>
      <c r="D42" s="481"/>
      <c r="E42" s="481"/>
      <c r="F42" s="481"/>
      <c r="G42" s="218">
        <f>+SUM(G43:G47)</f>
        <v>42563180.95000001</v>
      </c>
      <c r="H42" s="218">
        <f t="shared" ref="H42:R42" si="8">+SUM(H43:H47)</f>
        <v>46595802.07</v>
      </c>
      <c r="I42" s="218">
        <f t="shared" si="8"/>
        <v>45429673.470000006</v>
      </c>
      <c r="J42" s="200">
        <f t="shared" si="8"/>
        <v>45454458.559999995</v>
      </c>
      <c r="K42" s="218">
        <f t="shared" si="8"/>
        <v>45755730.580000006</v>
      </c>
      <c r="L42" s="218">
        <f t="shared" si="8"/>
        <v>0</v>
      </c>
      <c r="M42" s="218">
        <f t="shared" si="8"/>
        <v>0</v>
      </c>
      <c r="N42" s="218">
        <f t="shared" si="8"/>
        <v>0</v>
      </c>
      <c r="O42" s="218">
        <f t="shared" si="8"/>
        <v>0</v>
      </c>
      <c r="P42" s="218">
        <f t="shared" si="8"/>
        <v>0</v>
      </c>
      <c r="Q42" s="218">
        <f t="shared" si="8"/>
        <v>0</v>
      </c>
      <c r="R42" s="282">
        <f t="shared" si="8"/>
        <v>0</v>
      </c>
      <c r="S42" s="272">
        <f t="shared" si="3"/>
        <v>225798845.63000003</v>
      </c>
      <c r="T42" s="273">
        <f t="shared" si="4"/>
        <v>4.7153415534811852E-2</v>
      </c>
    </row>
    <row r="43" spans="1:22">
      <c r="A43" s="175">
        <v>421</v>
      </c>
      <c r="B43" s="484" t="str">
        <f>+VLOOKUP($A43,Master!$D$27:$G$225,4,FALSE)</f>
        <v>Social Security</v>
      </c>
      <c r="C43" s="485"/>
      <c r="D43" s="485"/>
      <c r="E43" s="485"/>
      <c r="F43" s="485"/>
      <c r="G43" s="188">
        <f>+INDEX(DataEx!$1:$1048576,MATCH('2019'!$A43,DataEx!$D:$D,0),MATCH('2019'!G$6,DataEx!$7:$7,0))</f>
        <v>5984394.8399999999</v>
      </c>
      <c r="H43" s="188">
        <f>+INDEX(DataEx!$1:$1048576,MATCH('2019'!$A43,DataEx!$D:$D,0),MATCH('2019'!H$6,DataEx!$7:$7,0))</f>
        <v>6928715.1699999999</v>
      </c>
      <c r="I43" s="188">
        <f>+INDEX(DataEx!$1:$1048576,MATCH('2019'!$A43,DataEx!$D:$D,0),MATCH('2019'!I$6,DataEx!$7:$7,0))</f>
        <v>6534675.6500000004</v>
      </c>
      <c r="J43" s="188">
        <f>+INDEX(DataEx!$1:$1048576,MATCH('2019'!$A43,DataEx!$D:$D,0),MATCH('2019'!J$6,DataEx!$7:$7,0))</f>
        <v>6641554.0999999996</v>
      </c>
      <c r="K43" s="188">
        <f>+INDEX(DataEx!$1:$1048576,MATCH('2019'!$A43,DataEx!$D:$D,0),MATCH('2019'!K$6,DataEx!$7:$7,0))</f>
        <v>6410465.4699999997</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32499805.229999997</v>
      </c>
      <c r="T43" s="270">
        <f t="shared" si="4"/>
        <v>6.7869116714697397E-3</v>
      </c>
    </row>
    <row r="44" spans="1:22">
      <c r="A44" s="175">
        <v>422</v>
      </c>
      <c r="B44" s="484" t="str">
        <f>+VLOOKUP($A44,Master!$D$27:$G$225,4,FALSE)</f>
        <v>Funds for redundant labor</v>
      </c>
      <c r="C44" s="485"/>
      <c r="D44" s="485"/>
      <c r="E44" s="485"/>
      <c r="F44" s="485"/>
      <c r="G44" s="188">
        <f>+INDEX(DataEx!$1:$1048576,MATCH('2019'!$A44,DataEx!$D:$D,0),MATCH('2019'!G$6,DataEx!$7:$7,0))</f>
        <v>43800</v>
      </c>
      <c r="H44" s="188">
        <f>+INDEX(DataEx!$1:$1048576,MATCH('2019'!$A44,DataEx!$D:$D,0),MATCH('2019'!H$6,DataEx!$7:$7,0))</f>
        <v>1198874.72</v>
      </c>
      <c r="I44" s="188">
        <f>+INDEX(DataEx!$1:$1048576,MATCH('2019'!$A44,DataEx!$D:$D,0),MATCH('2019'!I$6,DataEx!$7:$7,0))</f>
        <v>1110784.77</v>
      </c>
      <c r="J44" s="188">
        <f>+INDEX(DataEx!$1:$1048576,MATCH('2019'!$A44,DataEx!$D:$D,0),MATCH('2019'!J$6,DataEx!$7:$7,0))</f>
        <v>1095242.3400000001</v>
      </c>
      <c r="K44" s="188">
        <f>+INDEX(DataEx!$1:$1048576,MATCH('2019'!$A44,DataEx!$D:$D,0),MATCH('2019'!K$6,DataEx!$7:$7,0))</f>
        <v>1341095.6299999999</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4789797.46</v>
      </c>
      <c r="T44" s="270">
        <f t="shared" si="4"/>
        <v>1.0002500647370838E-3</v>
      </c>
    </row>
    <row r="45" spans="1:22">
      <c r="A45" s="175">
        <v>423</v>
      </c>
      <c r="B45" s="484" t="str">
        <f>+VLOOKUP($A45,Master!$D$27:$G$225,4,FALSE)</f>
        <v>Pension and Disability Insurance</v>
      </c>
      <c r="C45" s="485"/>
      <c r="D45" s="485"/>
      <c r="E45" s="485"/>
      <c r="F45" s="485"/>
      <c r="G45" s="188">
        <f>+INDEX(DataEx!$1:$1048576,MATCH('2019'!$A45,DataEx!$D:$D,0),MATCH('2019'!G$6,DataEx!$7:$7,0))</f>
        <v>34463250.560000002</v>
      </c>
      <c r="H45" s="188">
        <f>+INDEX(DataEx!$1:$1048576,MATCH('2019'!$A45,DataEx!$D:$D,0),MATCH('2019'!H$6,DataEx!$7:$7,0))</f>
        <v>35530168.719999999</v>
      </c>
      <c r="I45" s="188">
        <f>+INDEX(DataEx!$1:$1048576,MATCH('2019'!$A45,DataEx!$D:$D,0),MATCH('2019'!I$6,DataEx!$7:$7,0))</f>
        <v>35281578.630000003</v>
      </c>
      <c r="J45" s="188">
        <f>+INDEX(DataEx!$1:$1048576,MATCH('2019'!$A45,DataEx!$D:$D,0),MATCH('2019'!J$6,DataEx!$7:$7,0))</f>
        <v>35247727.210000001</v>
      </c>
      <c r="K45" s="188">
        <f>+INDEX(DataEx!$1:$1048576,MATCH('2019'!$A45,DataEx!$D:$D,0),MATCH('2019'!K$6,DataEx!$7:$7,0))</f>
        <v>35184087.420000002</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175706812.54000002</v>
      </c>
      <c r="T45" s="270">
        <f t="shared" si="4"/>
        <v>3.6692731182391518E-2</v>
      </c>
    </row>
    <row r="46" spans="1:22">
      <c r="A46" s="175">
        <v>424</v>
      </c>
      <c r="B46" s="484" t="str">
        <f>+VLOOKUP($A46,Master!$D$27:$G$225,4,FALSE)</f>
        <v>Other Health Care Transfers</v>
      </c>
      <c r="C46" s="485"/>
      <c r="D46" s="485"/>
      <c r="E46" s="485"/>
      <c r="F46" s="485"/>
      <c r="G46" s="188">
        <f>+INDEX(DataEx!$1:$1048576,MATCH('2019'!$A46,DataEx!$D:$D,0),MATCH('2019'!G$6,DataEx!$7:$7,0))</f>
        <v>1579079.63</v>
      </c>
      <c r="H46" s="188">
        <f>+INDEX(DataEx!$1:$1048576,MATCH('2019'!$A46,DataEx!$D:$D,0),MATCH('2019'!H$6,DataEx!$7:$7,0))</f>
        <v>1855950.15</v>
      </c>
      <c r="I46" s="188">
        <f>+INDEX(DataEx!$1:$1048576,MATCH('2019'!$A46,DataEx!$D:$D,0),MATCH('2019'!I$6,DataEx!$7:$7,0))</f>
        <v>1427147.65</v>
      </c>
      <c r="J46" s="188">
        <f>+INDEX(DataEx!$1:$1048576,MATCH('2019'!$A46,DataEx!$D:$D,0),MATCH('2019'!J$6,DataEx!$7:$7,0))</f>
        <v>1689956.36</v>
      </c>
      <c r="K46" s="188">
        <f>+INDEX(DataEx!$1:$1048576,MATCH('2019'!$A46,DataEx!$D:$D,0),MATCH('2019'!K$6,DataEx!$7:$7,0))</f>
        <v>1914804.54</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8466938.3300000001</v>
      </c>
      <c r="T46" s="270">
        <f t="shared" si="4"/>
        <v>1.7681448293864596E-3</v>
      </c>
    </row>
    <row r="47" spans="1:22">
      <c r="A47" s="175">
        <v>425</v>
      </c>
      <c r="B47" s="555" t="str">
        <f>+VLOOKUP($A47,Master!$D$27:$G$225,4,FALSE)</f>
        <v>Other Health Care Insurance</v>
      </c>
      <c r="C47" s="556"/>
      <c r="D47" s="556"/>
      <c r="E47" s="556"/>
      <c r="F47" s="556"/>
      <c r="G47" s="188">
        <f>+INDEX(DataEx!$1:$1048576,MATCH('2019'!$A47,DataEx!$D:$D,0),MATCH('2019'!G$6,DataEx!$7:$7,0))</f>
        <v>492655.92</v>
      </c>
      <c r="H47" s="188">
        <f>+INDEX(DataEx!$1:$1048576,MATCH('2019'!$A47,DataEx!$D:$D,0),MATCH('2019'!H$6,DataEx!$7:$7,0))</f>
        <v>1082093.31</v>
      </c>
      <c r="I47" s="188">
        <f>+INDEX(DataEx!$1:$1048576,MATCH('2019'!$A47,DataEx!$D:$D,0),MATCH('2019'!I$6,DataEx!$7:$7,0))</f>
        <v>1075486.77</v>
      </c>
      <c r="J47" s="188">
        <f>+INDEX(DataEx!$1:$1048576,MATCH('2019'!$A47,DataEx!$D:$D,0),MATCH('2019'!J$6,DataEx!$7:$7,0))</f>
        <v>779978.55</v>
      </c>
      <c r="K47" s="188">
        <f>+INDEX(DataEx!$1:$1048576,MATCH('2019'!$A47,DataEx!$D:$D,0),MATCH('2019'!K$6,DataEx!$7:$7,0))</f>
        <v>905277.52</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4335492.07</v>
      </c>
      <c r="T47" s="270">
        <f t="shared" si="4"/>
        <v>9.053777868270476E-4</v>
      </c>
    </row>
    <row r="48" spans="1:22">
      <c r="A48" s="175">
        <v>43</v>
      </c>
      <c r="B48" s="482" t="str">
        <f>+VLOOKUP($A48,Master!$D$27:$G$225,4,FALSE)</f>
        <v xml:space="preserve">Transfers to Institutions, Individuals, NGO and Public Sector </v>
      </c>
      <c r="C48" s="483"/>
      <c r="D48" s="483"/>
      <c r="E48" s="483"/>
      <c r="F48" s="483"/>
      <c r="G48" s="200">
        <f>+INDEX(DataEx!$1:$1048576,MATCH('2019'!$A48,DataEx!$D:$D,0),MATCH('2019'!G$6,DataEx!$7:$7,0))</f>
        <v>15740550.810000001</v>
      </c>
      <c r="H48" s="200">
        <f>+INDEX(DataEx!$1:$1048576,MATCH('2019'!$A48,DataEx!$D:$D,0),MATCH('2019'!H$6,DataEx!$7:$7,0))</f>
        <v>18630588.73</v>
      </c>
      <c r="I48" s="200">
        <f>+INDEX(DataEx!$1:$1048576,MATCH('2019'!$A48,DataEx!$D:$D,0),MATCH('2019'!I$6,DataEx!$7:$7,0))</f>
        <v>16694917.779999999</v>
      </c>
      <c r="J48" s="200">
        <f>+INDEX(DataEx!$1:$1048576,MATCH('2019'!$A48,DataEx!$D:$D,0),MATCH('2019'!J$6,DataEx!$7:$7,0))</f>
        <v>16109431.9</v>
      </c>
      <c r="K48" s="200">
        <f>+INDEX(DataEx!$1:$1048576,MATCH('2019'!$A48,DataEx!$D:$D,0),MATCH('2019'!K$6,DataEx!$7:$7,0))</f>
        <v>17254969.68</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84430458.900000006</v>
      </c>
      <c r="T48" s="273">
        <f t="shared" si="4"/>
        <v>1.7631553877960157E-2</v>
      </c>
    </row>
    <row r="49" spans="1:22">
      <c r="A49" s="175">
        <v>44</v>
      </c>
      <c r="B49" s="482" t="str">
        <f>+VLOOKUP($A49,Master!$D$27:$G$225,4,FALSE)</f>
        <v>Capital Expenditure</v>
      </c>
      <c r="C49" s="483"/>
      <c r="D49" s="483"/>
      <c r="E49" s="483"/>
      <c r="F49" s="483"/>
      <c r="G49" s="200">
        <f>+INDEX(DataEx!$1:$1048576,MATCH('2019'!$A49,DataEx!$D:$D,0),MATCH('2019'!G$6,DataEx!$7:$7,0))</f>
        <v>26828354.949999999</v>
      </c>
      <c r="H49" s="200">
        <f>+INDEX(DataEx!$1:$1048576,MATCH('2019'!$A49,DataEx!$D:$D,0),MATCH('2019'!H$6,DataEx!$7:$7,0))</f>
        <v>3690450.01</v>
      </c>
      <c r="I49" s="200">
        <f>+INDEX(DataEx!$1:$1048576,MATCH('2019'!$A49,DataEx!$D:$D,0),MATCH('2019'!I$6,DataEx!$7:$7,0))</f>
        <v>14930197.6</v>
      </c>
      <c r="J49" s="200">
        <f>+INDEX(DataEx!$1:$1048576,MATCH('2019'!$A49,DataEx!$D:$D,0),MATCH('2019'!J$6,DataEx!$7:$7,0))</f>
        <v>12096117.390000001</v>
      </c>
      <c r="K49" s="200">
        <f>+INDEX(DataEx!$1:$1048576,MATCH('2019'!$A49,DataEx!$D:$D,0),MATCH('2019'!K$6,DataEx!$7:$7,0))</f>
        <v>11464377.560000001</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69009497.510000005</v>
      </c>
      <c r="T49" s="273">
        <f t="shared" si="4"/>
        <v>1.4411205260410141E-2</v>
      </c>
    </row>
    <row r="50" spans="1:22">
      <c r="A50" s="175">
        <v>451</v>
      </c>
      <c r="B50" s="549" t="str">
        <f>+VLOOKUP($A50,Master!$D$27:$G$225,4,FALSE)</f>
        <v>Credits and Borrowings</v>
      </c>
      <c r="C50" s="550"/>
      <c r="D50" s="550"/>
      <c r="E50" s="550"/>
      <c r="F50" s="550"/>
      <c r="G50" s="188">
        <f>+INDEX(DataEx!$1:$1048576,MATCH('2019'!$A50,DataEx!$D:$D,0),MATCH('2019'!G$6,DataEx!$7:$7,0))</f>
        <v>0</v>
      </c>
      <c r="H50" s="188">
        <f>+INDEX(DataEx!$1:$1048576,MATCH('2019'!$A50,DataEx!$D:$D,0),MATCH('2019'!H$6,DataEx!$7:$7,0))</f>
        <v>272323.98</v>
      </c>
      <c r="I50" s="188">
        <f>+INDEX(DataEx!$1:$1048576,MATCH('2019'!$A50,DataEx!$D:$D,0),MATCH('2019'!I$6,DataEx!$7:$7,0))</f>
        <v>30000</v>
      </c>
      <c r="J50" s="236">
        <f>+INDEX(DataEx!$1:$1048576,MATCH('2019'!$A50,DataEx!$D:$D,0),MATCH('2019'!J$6,DataEx!$7:$7,0))</f>
        <v>384534</v>
      </c>
      <c r="K50" s="188">
        <f>+INDEX(DataEx!$1:$1048576,MATCH('2019'!$A50,DataEx!$D:$D,0),MATCH('2019'!K$6,DataEx!$7:$7,0))</f>
        <v>260000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946857.98</v>
      </c>
      <c r="T50" s="270">
        <f t="shared" si="4"/>
        <v>1.9773169193501231E-4</v>
      </c>
    </row>
    <row r="51" spans="1:22">
      <c r="A51" s="175">
        <v>47</v>
      </c>
      <c r="B51" s="452" t="str">
        <f>+VLOOKUP($A51,Master!$D$27:$G$225,4,FALSE)</f>
        <v>Reserves</v>
      </c>
      <c r="C51" s="453"/>
      <c r="D51" s="453"/>
      <c r="E51" s="453"/>
      <c r="F51" s="453"/>
      <c r="G51" s="188">
        <f>+INDEX(DataEx!$1:$1048576,MATCH('2019'!$A51,DataEx!$D:$D,0),MATCH('2019'!G$6,DataEx!$7:$7,0))</f>
        <v>0</v>
      </c>
      <c r="H51" s="188">
        <f>+INDEX(DataEx!$1:$1048576,MATCH('2019'!$A51,DataEx!$D:$D,0),MATCH('2019'!H$6,DataEx!$7:$7,0))</f>
        <v>1952871.71</v>
      </c>
      <c r="I51" s="188">
        <f>+INDEX(DataEx!$1:$1048576,MATCH('2019'!$A51,DataEx!$D:$D,0),MATCH('2019'!I$6,DataEx!$7:$7,0))</f>
        <v>278787.49</v>
      </c>
      <c r="J51" s="236">
        <f>+INDEX(DataEx!$1:$1048576,MATCH('2019'!$A51,DataEx!$D:$D,0),MATCH('2019'!J$6,DataEx!$7:$7,0))</f>
        <v>1810104.1</v>
      </c>
      <c r="K51" s="188">
        <f>+INDEX(DataEx!$1:$1048576,MATCH('2019'!$A51,DataEx!$D:$D,0),MATCH('2019'!K$6,DataEx!$7:$7,0))</f>
        <v>1408200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5449963.3000000007</v>
      </c>
      <c r="T51" s="270">
        <f t="shared" si="4"/>
        <v>1.1381120369210209E-3</v>
      </c>
    </row>
    <row r="52" spans="1:22" ht="13.5" thickBot="1">
      <c r="A52" s="175">
        <v>462</v>
      </c>
      <c r="B52" s="470" t="str">
        <f>+VLOOKUP($A52,Master!$D$27:$G$225,4,FALSE)</f>
        <v>Repayment of Guarantees</v>
      </c>
      <c r="C52" s="471"/>
      <c r="D52" s="471"/>
      <c r="E52" s="471"/>
      <c r="F52" s="471"/>
      <c r="G52" s="224">
        <f>+INDEX(DataEx!$1:$1048576,MATCH('2019'!$A52,DataEx!$D:$D,0),MATCH('2019'!G$6,DataEx!$7:$7,0))</f>
        <v>2253720.0299999998</v>
      </c>
      <c r="H52" s="224">
        <f>+INDEX(DataEx!$1:$1048576,MATCH('2019'!$A52,DataEx!$D:$D,0),MATCH('2019'!H$6,DataEx!$7:$7,0))</f>
        <v>494.04</v>
      </c>
      <c r="I52" s="224">
        <f>+INDEX(DataEx!$1:$1048576,MATCH('2019'!$A52,DataEx!$D:$D,0),MATCH('2019'!I$6,DataEx!$7:$7,0))</f>
        <v>7180458.3399999999</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9434672.4100000001</v>
      </c>
      <c r="T52" s="284">
        <f t="shared" si="4"/>
        <v>1.9702360627323226E-3</v>
      </c>
      <c r="U52" s="366"/>
    </row>
    <row r="53" spans="1:22" ht="13.5" thickBot="1">
      <c r="A53" s="169">
        <v>4630</v>
      </c>
      <c r="B53" s="551" t="str">
        <f>+VLOOKUP($A53,Master!$D$27:$G$225,4,TRUE)</f>
        <v>Repayments of Arrears</v>
      </c>
      <c r="C53" s="552"/>
      <c r="D53" s="552"/>
      <c r="E53" s="552"/>
      <c r="F53" s="552"/>
      <c r="G53" s="224">
        <f>+INDEX(DataEx!$1:$1048576,MATCH('2019'!$A53,DataEx!$D:$D,0),MATCH('2019'!G$6,DataEx!$7:$7,0))</f>
        <v>1205053.3500000001</v>
      </c>
      <c r="H53" s="224">
        <f>+INDEX(DataEx!$1:$1048576,MATCH('2019'!$A53,DataEx!$D:$D,0),MATCH('2019'!H$6,DataEx!$7:$7,0))</f>
        <v>1334117.25</v>
      </c>
      <c r="I53" s="224">
        <f>+INDEX(DataEx!$1:$1048576,MATCH('2019'!$A53,DataEx!$D:$D,0),MATCH('2019'!I$6,DataEx!$7:$7,0))</f>
        <v>1736748.41</v>
      </c>
      <c r="J53" s="224">
        <f>+INDEX(DataEx!$1:$1048576,MATCH('2019'!$A53,DataEx!$D:$D,0),MATCH('2019'!J$6,DataEx!$7:$7,0))</f>
        <v>1788599.55</v>
      </c>
      <c r="K53" s="224">
        <f>+INDEX(DataEx!$1:$1048576,MATCH('2019'!$A53,DataEx!$D:$D,0),MATCH('2019'!K$6,DataEx!$7:$7,0))</f>
        <v>1459507.08</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7524025.6399999997</v>
      </c>
      <c r="T53" s="284">
        <f>+S53/$T$7</f>
        <v>1.571237029611995E-3</v>
      </c>
    </row>
    <row r="54" spans="1:22" ht="13.5" thickBot="1">
      <c r="A54" s="71">
        <v>1005</v>
      </c>
      <c r="B54" s="553" t="str">
        <f>+VLOOKUP($A54,Master!$D$27:$G$227,4,FALSE)</f>
        <v>Net increase of liabilities</v>
      </c>
      <c r="C54" s="554"/>
      <c r="D54" s="554"/>
      <c r="E54" s="554"/>
      <c r="F54" s="554"/>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-32332314.680000037</v>
      </c>
      <c r="H55" s="176">
        <f t="shared" si="9"/>
        <v>-14315105.360000014</v>
      </c>
      <c r="I55" s="176">
        <f t="shared" si="9"/>
        <v>-24653259.040000021</v>
      </c>
      <c r="J55" s="176">
        <f t="shared" si="9"/>
        <v>10145841.179999977</v>
      </c>
      <c r="K55" s="176">
        <f t="shared" si="9"/>
        <v>7764624.5199999809</v>
      </c>
      <c r="L55" s="176">
        <f t="shared" si="9"/>
        <v>0</v>
      </c>
      <c r="M55" s="176">
        <f t="shared" si="9"/>
        <v>0</v>
      </c>
      <c r="N55" s="176">
        <f t="shared" si="9"/>
        <v>0</v>
      </c>
      <c r="O55" s="176">
        <f t="shared" si="9"/>
        <v>0</v>
      </c>
      <c r="P55" s="176">
        <f t="shared" si="9"/>
        <v>0</v>
      </c>
      <c r="Q55" s="176">
        <f t="shared" si="9"/>
        <v>0</v>
      </c>
      <c r="R55" s="176">
        <f t="shared" si="9"/>
        <v>0</v>
      </c>
      <c r="S55" s="285">
        <f t="shared" si="3"/>
        <v>-53390213.380000114</v>
      </c>
      <c r="T55" s="286">
        <f t="shared" si="4"/>
        <v>-1.1149441043311222E-2</v>
      </c>
    </row>
    <row r="56" spans="1:22" ht="13.5" thickBot="1">
      <c r="A56" s="169">
        <v>1001</v>
      </c>
      <c r="B56" s="478" t="str">
        <f>+VLOOKUP($A56,Master!$D$27:$G$225,4,FALSE)</f>
        <v>Primary balance</v>
      </c>
      <c r="C56" s="479"/>
      <c r="D56" s="479"/>
      <c r="E56" s="479"/>
      <c r="F56" s="479"/>
      <c r="G56" s="230">
        <f>+G55+G37</f>
        <v>-26177461.780000038</v>
      </c>
      <c r="H56" s="230">
        <f t="shared" ref="H56:R56" si="10">+H55+H37</f>
        <v>-13364307.680000015</v>
      </c>
      <c r="I56" s="230">
        <f t="shared" si="10"/>
        <v>4042254.6099999771</v>
      </c>
      <c r="J56" s="230">
        <f t="shared" si="10"/>
        <v>28551163.039999977</v>
      </c>
      <c r="K56" s="230">
        <f t="shared" si="10"/>
        <v>8916879.7599999812</v>
      </c>
      <c r="L56" s="230">
        <f t="shared" si="10"/>
        <v>0</v>
      </c>
      <c r="M56" s="230">
        <f t="shared" si="10"/>
        <v>0</v>
      </c>
      <c r="N56" s="230">
        <f t="shared" si="10"/>
        <v>0</v>
      </c>
      <c r="O56" s="230">
        <f t="shared" si="10"/>
        <v>0</v>
      </c>
      <c r="P56" s="230">
        <f t="shared" si="10"/>
        <v>0</v>
      </c>
      <c r="Q56" s="230">
        <f t="shared" si="10"/>
        <v>0</v>
      </c>
      <c r="R56" s="230">
        <f t="shared" si="10"/>
        <v>0</v>
      </c>
      <c r="S56" s="285">
        <f t="shared" si="3"/>
        <v>1968527.9499998819</v>
      </c>
      <c r="T56" s="286">
        <f t="shared" si="4"/>
        <v>4.1108631959234056E-4</v>
      </c>
    </row>
    <row r="57" spans="1:22">
      <c r="A57" s="169">
        <v>46</v>
      </c>
      <c r="B57" s="547" t="str">
        <f>+VLOOKUP($A57,Master!$D$27:$G$225,4,FALSE)</f>
        <v>Repayment of Debt</v>
      </c>
      <c r="C57" s="548"/>
      <c r="D57" s="548"/>
      <c r="E57" s="548"/>
      <c r="F57" s="548"/>
      <c r="G57" s="218">
        <f t="shared" ref="G57:R57" si="11">+SUM(G58:G59)</f>
        <v>19518367.399999999</v>
      </c>
      <c r="H57" s="218">
        <f t="shared" si="11"/>
        <v>67365423.120000005</v>
      </c>
      <c r="I57" s="218">
        <f t="shared" si="11"/>
        <v>17786584.469999999</v>
      </c>
      <c r="J57" s="200">
        <f t="shared" si="11"/>
        <v>18302050.879999999</v>
      </c>
      <c r="K57" s="218">
        <f t="shared" si="11"/>
        <v>14577731.82</v>
      </c>
      <c r="L57" s="218">
        <f t="shared" si="11"/>
        <v>0</v>
      </c>
      <c r="M57" s="218">
        <f t="shared" si="11"/>
        <v>0</v>
      </c>
      <c r="N57" s="218">
        <f t="shared" si="11"/>
        <v>0</v>
      </c>
      <c r="O57" s="218">
        <f t="shared" si="11"/>
        <v>0</v>
      </c>
      <c r="P57" s="218">
        <f t="shared" si="11"/>
        <v>0</v>
      </c>
      <c r="Q57" s="218">
        <f t="shared" si="11"/>
        <v>0</v>
      </c>
      <c r="R57" s="218">
        <f t="shared" si="11"/>
        <v>0</v>
      </c>
      <c r="S57" s="287">
        <f t="shared" si="3"/>
        <v>137550157.69</v>
      </c>
      <c r="T57" s="288">
        <f t="shared" si="4"/>
        <v>2.8724503548009855E-2</v>
      </c>
      <c r="V57" s="383"/>
    </row>
    <row r="58" spans="1:22">
      <c r="A58" s="169">
        <v>4611</v>
      </c>
      <c r="B58" s="468" t="str">
        <f>+VLOOKUP($A58,Master!$D$27:$G$225,4,FALSE)</f>
        <v>Repayment of Domestic Debt</v>
      </c>
      <c r="C58" s="469"/>
      <c r="D58" s="469"/>
      <c r="E58" s="469"/>
      <c r="F58" s="469"/>
      <c r="G58" s="236">
        <f>+INDEX(DataEx!$1:$1048576,MATCH('2019'!$A58,DataEx!$D:$D,0),MATCH('2019'!G$6,DataEx!$7:$7,0))</f>
        <v>18084948.579999998</v>
      </c>
      <c r="H58" s="236">
        <f>+INDEX(DataEx!$1:$1048576,MATCH('2019'!$A58,DataEx!$D:$D,0),MATCH('2019'!H$6,DataEx!$7:$7,0))</f>
        <v>64835364.859999999</v>
      </c>
      <c r="I58" s="236">
        <f>+INDEX(DataEx!$1:$1048576,MATCH('2019'!$A58,DataEx!$D:$D,0),MATCH('2019'!I$6,DataEx!$7:$7,0))</f>
        <v>1062241.2</v>
      </c>
      <c r="J58" s="236">
        <f>+INDEX(DataEx!$1:$1048576,MATCH('2019'!$A58,DataEx!$D:$D,0),MATCH('2019'!J$6,DataEx!$7:$7,0))</f>
        <v>2291816.1800000002</v>
      </c>
      <c r="K58" s="236">
        <f>+INDEX(DataEx!$1:$1048576,MATCH('2019'!$A58,DataEx!$D:$D,0),MATCH('2019'!K$6,DataEx!$7:$7,0))</f>
        <v>5836708.6600000001</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92111079.480000004</v>
      </c>
      <c r="T58" s="290">
        <f t="shared" si="4"/>
        <v>1.923549251973437E-2</v>
      </c>
    </row>
    <row r="59" spans="1:22" ht="13.5" thickBot="1">
      <c r="A59" s="169">
        <v>4612</v>
      </c>
      <c r="B59" s="452" t="str">
        <f>+VLOOKUP($A59,Master!$D$27:$G$225,4,FALSE)</f>
        <v>Repayment of Foreign Debt</v>
      </c>
      <c r="C59" s="453"/>
      <c r="D59" s="453"/>
      <c r="E59" s="453"/>
      <c r="F59" s="453"/>
      <c r="G59" s="236">
        <f>+INDEX(DataEx!$1:$1048576,MATCH('2019'!$A59,DataEx!$D:$D,0),MATCH('2019'!G$6,DataEx!$7:$7,0))</f>
        <v>1433418.82</v>
      </c>
      <c r="H59" s="236">
        <f>+INDEX(DataEx!$1:$1048576,MATCH('2019'!$A59,DataEx!$D:$D,0),MATCH('2019'!H$6,DataEx!$7:$7,0))</f>
        <v>2530058.2599999998</v>
      </c>
      <c r="I59" s="236">
        <f>+INDEX(DataEx!$1:$1048576,MATCH('2019'!$A59,DataEx!$D:$D,0),MATCH('2019'!I$6,DataEx!$7:$7,0))</f>
        <v>16724343.27</v>
      </c>
      <c r="J59" s="236">
        <f>+INDEX(DataEx!$1:$1048576,MATCH('2019'!$A59,DataEx!$D:$D,0),MATCH('2019'!J$6,DataEx!$7:$7,0))</f>
        <v>16010234.699999999</v>
      </c>
      <c r="K59" s="236">
        <f>+INDEX(DataEx!$1:$1048576,MATCH('2019'!$A59,DataEx!$D:$D,0),MATCH('2019'!K$6,DataEx!$7:$7,0))</f>
        <v>8741023.1600000001</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45439078.209999993</v>
      </c>
      <c r="T59" s="290">
        <f t="shared" si="4"/>
        <v>9.4890110282754864E-3</v>
      </c>
      <c r="V59" s="395"/>
    </row>
    <row r="60" spans="1:22" ht="13.5" thickBot="1">
      <c r="A60" s="169">
        <v>4418</v>
      </c>
      <c r="B60" s="488" t="s">
        <v>794</v>
      </c>
      <c r="C60" s="489"/>
      <c r="D60" s="489"/>
      <c r="E60" s="489"/>
      <c r="F60" s="489"/>
      <c r="G60" s="218">
        <f>+INDEX(DataEx!$1:$1048576,MATCH('2019'!$A60,DataEx!$D:$D,0),MATCH('2019'!G$6,DataEx!$7:$7,0))</f>
        <v>0</v>
      </c>
      <c r="H60" s="218">
        <f>+INDEX(DataEx!$1:$1048576,MATCH('2019'!$A60,DataEx!$D:$D,0),MATCH('2019'!H$6,DataEx!$7:$7,0))</f>
        <v>35272.089999999997</v>
      </c>
      <c r="I60" s="218">
        <f>+INDEX(DataEx!$1:$1048576,MATCH('2019'!$A60,DataEx!$D:$D,0),MATCH('2019'!I$6,DataEx!$7:$7,0))</f>
        <v>0</v>
      </c>
      <c r="J60" s="218">
        <f>+INDEX(DataEx!$1:$1048576,MATCH('2019'!$A60,DataEx!$D:$D,0),MATCH('2019'!J$6,DataEx!$7:$7,0))</f>
        <v>39948396.369999997</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39983668.460000001</v>
      </c>
      <c r="T60" s="288">
        <f>+S60/$T$7</f>
        <v>8.3497616129975354E-3</v>
      </c>
      <c r="V60" s="395"/>
    </row>
    <row r="61" spans="1:22" ht="13.5" thickBot="1">
      <c r="A61" s="169">
        <v>1002</v>
      </c>
      <c r="B61" s="472" t="str">
        <f>+VLOOKUP($A61,Master!$D$27:$G$225,4,FALSE)</f>
        <v>Financing needs</v>
      </c>
      <c r="C61" s="473"/>
      <c r="D61" s="473"/>
      <c r="E61" s="473"/>
      <c r="F61" s="473"/>
      <c r="G61" s="242">
        <f>+G55-G57-G60</f>
        <v>-51850682.080000035</v>
      </c>
      <c r="H61" s="242">
        <f t="shared" ref="H61:R61" si="12">+H55-H57-H60</f>
        <v>-81715800.570000023</v>
      </c>
      <c r="I61" s="242">
        <f t="shared" si="12"/>
        <v>-42439843.51000002</v>
      </c>
      <c r="J61" s="242">
        <f t="shared" si="12"/>
        <v>-48104606.070000023</v>
      </c>
      <c r="K61" s="242">
        <f t="shared" si="12"/>
        <v>-6813107.3000000194</v>
      </c>
      <c r="L61" s="242">
        <f t="shared" si="12"/>
        <v>0</v>
      </c>
      <c r="M61" s="242">
        <f t="shared" si="12"/>
        <v>0</v>
      </c>
      <c r="N61" s="242">
        <f t="shared" si="12"/>
        <v>0</v>
      </c>
      <c r="O61" s="242">
        <f t="shared" si="12"/>
        <v>0</v>
      </c>
      <c r="P61" s="242">
        <f t="shared" si="12"/>
        <v>0</v>
      </c>
      <c r="Q61" s="242">
        <f t="shared" si="12"/>
        <v>0</v>
      </c>
      <c r="R61" s="242">
        <f t="shared" si="12"/>
        <v>0</v>
      </c>
      <c r="S61" s="291">
        <f t="shared" si="3"/>
        <v>-230924039.53000012</v>
      </c>
      <c r="T61" s="292">
        <f t="shared" si="4"/>
        <v>-4.8223706204318616E-2</v>
      </c>
    </row>
    <row r="62" spans="1:22" ht="13.5" thickBot="1">
      <c r="A62" s="169">
        <v>1003</v>
      </c>
      <c r="B62" s="474" t="str">
        <f>+VLOOKUP($A62,Master!$D$27:$G$225,4,FALSE)</f>
        <v>Financing</v>
      </c>
      <c r="C62" s="475"/>
      <c r="D62" s="475"/>
      <c r="E62" s="475"/>
      <c r="F62" s="475"/>
      <c r="G62" s="176">
        <f>+SUM(G63:G66)</f>
        <v>51850682.080000035</v>
      </c>
      <c r="H62" s="176">
        <f t="shared" ref="H62:R62" si="13">+SUM(H63:H66)</f>
        <v>81715800.570000023</v>
      </c>
      <c r="I62" s="176">
        <f t="shared" si="13"/>
        <v>42439843.51000002</v>
      </c>
      <c r="J62" s="176">
        <f t="shared" si="13"/>
        <v>48104606.070000023</v>
      </c>
      <c r="K62" s="176">
        <f t="shared" si="13"/>
        <v>6813107.3000000119</v>
      </c>
      <c r="L62" s="176">
        <f t="shared" si="13"/>
        <v>0</v>
      </c>
      <c r="M62" s="176">
        <f t="shared" si="13"/>
        <v>0</v>
      </c>
      <c r="N62" s="176">
        <f t="shared" si="13"/>
        <v>0</v>
      </c>
      <c r="O62" s="176">
        <f t="shared" si="13"/>
        <v>0</v>
      </c>
      <c r="P62" s="176">
        <f t="shared" si="13"/>
        <v>0</v>
      </c>
      <c r="Q62" s="176">
        <f t="shared" si="13"/>
        <v>0</v>
      </c>
      <c r="R62" s="176">
        <f t="shared" si="13"/>
        <v>0</v>
      </c>
      <c r="S62" s="293">
        <f t="shared" si="3"/>
        <v>230924039.53000012</v>
      </c>
      <c r="T62" s="294">
        <f t="shared" si="4"/>
        <v>4.8223706204318616E-2</v>
      </c>
    </row>
    <row r="63" spans="1:22">
      <c r="A63" s="169">
        <v>7511</v>
      </c>
      <c r="B63" s="468" t="str">
        <f>+VLOOKUP($A63,Master!$D$27:$G$225,4,FALSE)</f>
        <v>Domestic Loans and Borrowings</v>
      </c>
      <c r="C63" s="469"/>
      <c r="D63" s="469"/>
      <c r="E63" s="469"/>
      <c r="F63" s="469"/>
      <c r="G63" s="236">
        <f>+INDEX(DataEx!$1:$1048576,MATCH('2019'!$A63,DataEx!$D:$D,0),MATCH('2019'!G$6,DataEx!$7:$7,0))</f>
        <v>18000000</v>
      </c>
      <c r="H63" s="236">
        <f>+INDEX(DataEx!$1:$1048576,MATCH('2019'!$A63,DataEx!$D:$D,0),MATCH('2019'!H$6,DataEx!$7:$7,0))</f>
        <v>54000000</v>
      </c>
      <c r="I63" s="236">
        <f>+INDEX(DataEx!$1:$1048576,MATCH('2019'!$A63,DataEx!$D:$D,0),MATCH('2019'!I$6,DataEx!$7:$7,0))</f>
        <v>0</v>
      </c>
      <c r="J63" s="236">
        <f>+INDEX(DataEx!$1:$1048576,MATCH('2019'!$A63,DataEx!$D:$D,0),MATCH('2019'!J$6,DataEx!$7:$7,0))</f>
        <v>74623000</v>
      </c>
      <c r="K63" s="236">
        <f>+INDEX(DataEx!$1:$1048576,MATCH('2019'!$A63,DataEx!$D:$D,0),MATCH('2019'!K$6,DataEx!$7:$7,0))</f>
        <v>67815000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214438000</v>
      </c>
      <c r="T63" s="290">
        <f t="shared" si="4"/>
        <v>4.4780938061228751E-2</v>
      </c>
    </row>
    <row r="64" spans="1:22">
      <c r="A64" s="169">
        <v>7512</v>
      </c>
      <c r="B64" s="452" t="str">
        <f>+VLOOKUP($A64,Master!$D$27:$G$225,4,FALSE)</f>
        <v>Foreign Loans and Borrowings</v>
      </c>
      <c r="C64" s="453"/>
      <c r="D64" s="453"/>
      <c r="E64" s="453"/>
      <c r="F64" s="453"/>
      <c r="G64" s="236">
        <f>+INDEX(DataEx!$1:$1048576,MATCH('2019'!$A64,DataEx!$D:$D,0),MATCH('2019'!G$6,DataEx!$7:$7,0))</f>
        <v>25748930.140000001</v>
      </c>
      <c r="H64" s="236">
        <f>+INDEX(DataEx!$1:$1048576,MATCH('2019'!$A64,DataEx!$D:$D,0),MATCH('2019'!H$6,DataEx!$7:$7,0))</f>
        <v>3819449.69</v>
      </c>
      <c r="I64" s="236">
        <f>+INDEX(DataEx!$1:$1048576,MATCH('2019'!$A64,DataEx!$D:$D,0),MATCH('2019'!I$6,DataEx!$7:$7,0))</f>
        <v>14059999.119999999</v>
      </c>
      <c r="J64" s="236">
        <f>+INDEX(DataEx!$1:$1048576,MATCH('2019'!$A64,DataEx!$D:$D,0),MATCH('2019'!J$6,DataEx!$7:$7,0))</f>
        <v>6496285.4699999997</v>
      </c>
      <c r="K64" s="236">
        <f>+INDEX(DataEx!$1:$1048576,MATCH('2019'!$A64,DataEx!$D:$D,0),MATCH('2019'!K$6,DataEx!$7:$7,0))</f>
        <v>7856343.8600000003</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57981008.280000001</v>
      </c>
      <c r="T64" s="290">
        <f t="shared" si="4"/>
        <v>1.2108133542162636E-2</v>
      </c>
    </row>
    <row r="65" spans="1:20">
      <c r="A65" s="169">
        <v>72</v>
      </c>
      <c r="B65" s="452" t="str">
        <f>+VLOOKUP($A65,Master!$D$27:$G$225,4,FALSE)</f>
        <v>Revenues from Selling Assets</v>
      </c>
      <c r="C65" s="453"/>
      <c r="D65" s="453"/>
      <c r="E65" s="453"/>
      <c r="F65" s="453"/>
      <c r="G65" s="236">
        <f>+INDEX(DataEx!$1:$1048576,MATCH('2019'!$A65,DataEx!$D:$D,0),MATCH('2019'!G$6,DataEx!$7:$7,0))</f>
        <v>26594.13</v>
      </c>
      <c r="H65" s="236">
        <f>+INDEX(DataEx!$1:$1048576,MATCH('2019'!$A65,DataEx!$D:$D,0),MATCH('2019'!H$6,DataEx!$7:$7,0))</f>
        <v>177395.91</v>
      </c>
      <c r="I65" s="236">
        <f>+INDEX(DataEx!$1:$1048576,MATCH('2019'!$A65,DataEx!$D:$D,0),MATCH('2019'!I$6,DataEx!$7:$7,0))</f>
        <v>180547.55</v>
      </c>
      <c r="J65" s="236">
        <f>+INDEX(DataEx!$1:$1048576,MATCH('2019'!$A65,DataEx!$D:$D,0),MATCH('2019'!J$6,DataEx!$7:$7,0))</f>
        <v>169636.46</v>
      </c>
      <c r="K65" s="236">
        <f>+INDEX(DataEx!$1:$1048576,MATCH('2019'!$A65,DataEx!$D:$D,0),MATCH('2019'!K$6,DataEx!$7:$7,0))</f>
        <v>223780.48000000001</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777954.52999999991</v>
      </c>
      <c r="T65" s="290">
        <f t="shared" si="4"/>
        <v>1.6245970220941401E-4</v>
      </c>
    </row>
    <row r="66" spans="1:20" ht="13.5" thickBot="1">
      <c r="A66" s="169">
        <v>1004</v>
      </c>
      <c r="B66" s="248" t="str">
        <f>+VLOOKUP($A66,Master!$D$27:$G$225,4,FALSE)</f>
        <v>Increase / decrease of deposits</v>
      </c>
      <c r="C66" s="249"/>
      <c r="D66" s="249"/>
      <c r="E66" s="249"/>
      <c r="F66" s="249"/>
      <c r="G66" s="250">
        <f>-G61-SUM(G63:G65)</f>
        <v>8075157.8100000322</v>
      </c>
      <c r="H66" s="250">
        <f t="shared" ref="H66:R66" si="14">-H61-SUM(H63:H65)</f>
        <v>23718954.970000029</v>
      </c>
      <c r="I66" s="250">
        <f t="shared" si="14"/>
        <v>28199296.840000018</v>
      </c>
      <c r="J66" s="250">
        <f t="shared" si="14"/>
        <v>-33184315.85999997</v>
      </c>
      <c r="K66" s="250">
        <f t="shared" si="14"/>
        <v>-69082017.039999992</v>
      </c>
      <c r="L66" s="250">
        <f t="shared" si="14"/>
        <v>0</v>
      </c>
      <c r="M66" s="250">
        <f t="shared" si="14"/>
        <v>0</v>
      </c>
      <c r="N66" s="250">
        <f t="shared" si="14"/>
        <v>0</v>
      </c>
      <c r="O66" s="250">
        <f t="shared" si="14"/>
        <v>0</v>
      </c>
      <c r="P66" s="250">
        <f t="shared" si="14"/>
        <v>0</v>
      </c>
      <c r="Q66" s="250">
        <f t="shared" si="14"/>
        <v>0</v>
      </c>
      <c r="R66" s="250">
        <f t="shared" si="14"/>
        <v>0</v>
      </c>
      <c r="S66" s="295">
        <f>+SUM(G66:R66)</f>
        <v>-42272923.279999882</v>
      </c>
      <c r="T66" s="296">
        <f t="shared" si="4"/>
        <v>-8.8278251012821867E-3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39" t="str">
        <f>+Master!G252</f>
        <v>Planned Budget Execution</v>
      </c>
      <c r="C102" s="540"/>
      <c r="D102" s="540"/>
      <c r="E102" s="540"/>
      <c r="F102" s="540"/>
      <c r="G102" s="532">
        <v>2019</v>
      </c>
      <c r="H102" s="533"/>
      <c r="I102" s="533"/>
      <c r="J102" s="533"/>
      <c r="K102" s="533"/>
      <c r="L102" s="533"/>
      <c r="M102" s="533"/>
      <c r="N102" s="533"/>
      <c r="O102" s="533"/>
      <c r="P102" s="533"/>
      <c r="Q102" s="533"/>
      <c r="R102" s="534"/>
      <c r="S102" s="115" t="str">
        <f>+S7</f>
        <v>GDP</v>
      </c>
      <c r="T102" s="116">
        <f>+T7</f>
        <v>4788600000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37" t="str">
        <f>+VLOOKUP(LEFT($A106,LEN(A106)-1)*1,Master!$D$27:$G$225,4,FALSE)</f>
        <v>Taxes</v>
      </c>
      <c r="C106" s="538"/>
      <c r="D106" s="538"/>
      <c r="E106" s="538"/>
      <c r="F106" s="538"/>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18" t="str">
        <f>+VLOOKUP(LEFT($A107,LEN(A107)-1)*1,Master!$D$27:$G$225,4,FALSE)</f>
        <v>Personal Income Tax</v>
      </c>
      <c r="C107" s="519"/>
      <c r="D107" s="519"/>
      <c r="E107" s="519"/>
      <c r="F107" s="519"/>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18" t="str">
        <f>+VLOOKUP(LEFT($A108,LEN(A108)-1)*1,Master!$D$27:$G$225,4,FALSE)</f>
        <v>Corporate Income Tax</v>
      </c>
      <c r="C108" s="519"/>
      <c r="D108" s="519"/>
      <c r="E108" s="519"/>
      <c r="F108" s="519"/>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18" t="str">
        <f>+VLOOKUP(LEFT($A109,LEN(A109)-1)*1,Master!$D$27:$G$225,4,FALSE)</f>
        <v xml:space="preserve">Taxes on Sales of Property </v>
      </c>
      <c r="C109" s="519"/>
      <c r="D109" s="519"/>
      <c r="E109" s="519"/>
      <c r="F109" s="519"/>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18" t="str">
        <f>+VLOOKUP(LEFT($A110,LEN(A110)-1)*1,Master!$D$27:$G$225,4,FALSE)</f>
        <v>Value Added Tax</v>
      </c>
      <c r="C110" s="519"/>
      <c r="D110" s="519"/>
      <c r="E110" s="519"/>
      <c r="F110" s="519"/>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18" t="str">
        <f>+VLOOKUP(LEFT($A111,LEN(A111)-1)*1,Master!$D$27:$G$225,4,FALSE)</f>
        <v>Excises</v>
      </c>
      <c r="C111" s="519"/>
      <c r="D111" s="519"/>
      <c r="E111" s="519"/>
      <c r="F111" s="519"/>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18" t="str">
        <f>+VLOOKUP(LEFT($A112,LEN(A112)-1)*1,Master!$D$27:$G$225,4,FALSE)</f>
        <v>Tax on International Trade and Transactions</v>
      </c>
      <c r="C112" s="519"/>
      <c r="D112" s="519"/>
      <c r="E112" s="519"/>
      <c r="F112" s="519"/>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18" t="str">
        <f>+VLOOKUP(LEFT($A113,LEN(A113)-1)*1,Master!$D$27:$G$225,4,FALSE)</f>
        <v>Other Republic Taxes</v>
      </c>
      <c r="C113" s="519"/>
      <c r="D113" s="519"/>
      <c r="E113" s="519"/>
      <c r="F113" s="519"/>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0" t="str">
        <f>+VLOOKUP(LEFT($A114,LEN(A114)-1)*1,Master!$D$27:$G$225,4,FALSE)</f>
        <v>Contributions</v>
      </c>
      <c r="C114" s="531"/>
      <c r="D114" s="531"/>
      <c r="E114" s="531"/>
      <c r="F114" s="531"/>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18" t="str">
        <f>+VLOOKUP(LEFT($A115,LEN(A115)-1)*1,Master!$D$27:$G$225,4,FALSE)</f>
        <v>Contributions for Pension and Disability Insurance</v>
      </c>
      <c r="C115" s="519"/>
      <c r="D115" s="519"/>
      <c r="E115" s="519"/>
      <c r="F115" s="519"/>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18" t="str">
        <f>+VLOOKUP(LEFT($A116,LEN(A116)-1)*1,Master!$D$27:$G$225,4,FALSE)</f>
        <v>Contributions for Health Insurance</v>
      </c>
      <c r="C116" s="519"/>
      <c r="D116" s="519"/>
      <c r="E116" s="519"/>
      <c r="F116" s="519"/>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18" t="str">
        <f>+VLOOKUP(LEFT($A117,LEN(A117)-1)*1,Master!$D$27:$G$225,4,FALSE)</f>
        <v>Contributions for  Unemployment Insurance</v>
      </c>
      <c r="C117" s="519"/>
      <c r="D117" s="519"/>
      <c r="E117" s="519"/>
      <c r="F117" s="519"/>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18" t="str">
        <f>+VLOOKUP(LEFT($A118,LEN(A118)-1)*1,Master!$D$27:$G$225,4,FALSE)</f>
        <v>Other contributions</v>
      </c>
      <c r="C118" s="519"/>
      <c r="D118" s="519"/>
      <c r="E118" s="519"/>
      <c r="F118" s="519"/>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22" t="str">
        <f>+VLOOKUP(LEFT($A119,LEN(A119)-1)*1,Master!$D$27:$G$225,4,FALSE)</f>
        <v>Duties</v>
      </c>
      <c r="C119" s="523"/>
      <c r="D119" s="523"/>
      <c r="E119" s="523"/>
      <c r="F119" s="523"/>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22" t="str">
        <f>+VLOOKUP(LEFT($A120,LEN(A120)-1)*1,Master!$D$27:$G$225,4,FALSE)</f>
        <v>Fees</v>
      </c>
      <c r="C120" s="523"/>
      <c r="D120" s="523"/>
      <c r="E120" s="523"/>
      <c r="F120" s="523"/>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22" t="str">
        <f>+VLOOKUP(LEFT($A121,LEN(A121)-1)*1,Master!$D$27:$G$225,4,FALSE)</f>
        <v>Other revenues</v>
      </c>
      <c r="C121" s="523"/>
      <c r="D121" s="523"/>
      <c r="E121" s="523"/>
      <c r="F121" s="523"/>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24" t="str">
        <f>+VLOOKUP(LEFT($A123,LEN(A123)-1)*1,Master!$D$27:$G$225,4,FALSE)</f>
        <v>Grants and Transfers</v>
      </c>
      <c r="C123" s="525"/>
      <c r="D123" s="525"/>
      <c r="E123" s="525"/>
      <c r="F123" s="52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08" t="str">
        <f>+VLOOKUP(LEFT($A124,LEN(A124)-1)*1,Master!$D$27:$G$225,4,FALSE)</f>
        <v>Total Expenditures</v>
      </c>
      <c r="C124" s="509"/>
      <c r="D124" s="509"/>
      <c r="E124" s="509"/>
      <c r="F124" s="509"/>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26" t="str">
        <f>+VLOOKUP(LEFT($A125,LEN(A125)-1)*1,Master!$D$27:$G$225,4,FALSE)</f>
        <v>Current Budgetary Consumption</v>
      </c>
      <c r="C125" s="527"/>
      <c r="D125" s="527"/>
      <c r="E125" s="527"/>
      <c r="F125" s="527"/>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28" t="str">
        <f>+VLOOKUP(LEFT($A126,LEN(A126)-1)*1,Master!$D$27:$G$225,4,FALSE)</f>
        <v>Current Expenditures</v>
      </c>
      <c r="C126" s="529"/>
      <c r="D126" s="529"/>
      <c r="E126" s="529"/>
      <c r="F126" s="529"/>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18" t="str">
        <f>+VLOOKUP(LEFT($A127,LEN(A127)-1)*1,Master!$D$27:$G$225,4,FALSE)</f>
        <v>Gross Salaries and Contributions</v>
      </c>
      <c r="C127" s="519"/>
      <c r="D127" s="519"/>
      <c r="E127" s="519"/>
      <c r="F127" s="519"/>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18" t="str">
        <f>+VLOOKUP(LEFT($A128,LEN(A128)-1)*1,Master!$D$27:$G$225,4,FALSE)</f>
        <v>Other Personal Income</v>
      </c>
      <c r="C128" s="519"/>
      <c r="D128" s="519"/>
      <c r="E128" s="519"/>
      <c r="F128" s="519"/>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18" t="str">
        <f>+VLOOKUP(LEFT($A129,LEN(A129)-1)*1,Master!$D$27:$G$225,4,FALSE)</f>
        <v>Expenditures for Supplies</v>
      </c>
      <c r="C129" s="519"/>
      <c r="D129" s="519"/>
      <c r="E129" s="519"/>
      <c r="F129" s="519"/>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18" t="str">
        <f>+VLOOKUP(LEFT($A130,LEN(A130)-1)*1,Master!$D$27:$G$225,4,FALSE)</f>
        <v>Expenditures for Services</v>
      </c>
      <c r="C130" s="519"/>
      <c r="D130" s="519"/>
      <c r="E130" s="519"/>
      <c r="F130" s="519"/>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18" t="str">
        <f>+VLOOKUP(LEFT($A131,LEN(A131)-1)*1,Master!$D$27:$G$225,4,FALSE)</f>
        <v>Current Maintenance</v>
      </c>
      <c r="C131" s="519"/>
      <c r="D131" s="519"/>
      <c r="E131" s="519"/>
      <c r="F131" s="519"/>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18" t="str">
        <f>+VLOOKUP(LEFT($A132,LEN(A132)-1)*1,Master!$D$27:$G$225,4,FALSE)</f>
        <v>Interests</v>
      </c>
      <c r="C132" s="519"/>
      <c r="D132" s="519"/>
      <c r="E132" s="519"/>
      <c r="F132" s="519"/>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18" t="str">
        <f>+VLOOKUP(LEFT($A133,LEN(A133)-1)*1,Master!$D$27:$G$225,4,FALSE)</f>
        <v>Rent</v>
      </c>
      <c r="C133" s="519"/>
      <c r="D133" s="519"/>
      <c r="E133" s="519"/>
      <c r="F133" s="519"/>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18" t="str">
        <f>+VLOOKUP(LEFT($A134,LEN(A134)-1)*1,Master!$D$27:$G$225,4,FALSE)</f>
        <v>Subsidies</v>
      </c>
      <c r="C134" s="519"/>
      <c r="D134" s="519"/>
      <c r="E134" s="519"/>
      <c r="F134" s="519"/>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18" t="str">
        <f>+VLOOKUP(LEFT($A135,LEN(A135)-1)*1,Master!$D$27:$G$225,4,FALSE)</f>
        <v>Other expenditures</v>
      </c>
      <c r="C135" s="519"/>
      <c r="D135" s="519"/>
      <c r="E135" s="519"/>
      <c r="F135" s="519"/>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18" t="str">
        <f>+VLOOKUP(LEFT($A136,LEN(A136)-1)*1,Master!$D$27:$G$225,4,FALSE)</f>
        <v>Current Capital Expenditure</v>
      </c>
      <c r="C136" s="519"/>
      <c r="D136" s="519"/>
      <c r="E136" s="519"/>
      <c r="F136" s="519"/>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14" t="str">
        <f>+VLOOKUP(LEFT($A137,LEN(A137)-1)*1,Master!$D$27:$G$225,4,FALSE)</f>
        <v>Social Security Transfers</v>
      </c>
      <c r="C137" s="515"/>
      <c r="D137" s="515"/>
      <c r="E137" s="515"/>
      <c r="F137" s="51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18" t="str">
        <f>+VLOOKUP(LEFT($A138,LEN(A138)-1)*1,Master!$D$27:$G$225,4,FALSE)</f>
        <v>Social Security</v>
      </c>
      <c r="C138" s="519"/>
      <c r="D138" s="519"/>
      <c r="E138" s="519"/>
      <c r="F138" s="519"/>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18" t="str">
        <f>+VLOOKUP(LEFT($A139,LEN(A139)-1)*1,Master!$D$27:$G$225,4,FALSE)</f>
        <v>Funds for redundant labor</v>
      </c>
      <c r="C139" s="519"/>
      <c r="D139" s="519"/>
      <c r="E139" s="519"/>
      <c r="F139" s="519"/>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18" t="str">
        <f>+VLOOKUP(LEFT($A140,LEN(A140)-1)*1,Master!$D$27:$G$225,4,FALSE)</f>
        <v>Pension and Disability Insurance</v>
      </c>
      <c r="C140" s="519"/>
      <c r="D140" s="519"/>
      <c r="E140" s="519"/>
      <c r="F140" s="519"/>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18" t="str">
        <f>+VLOOKUP(LEFT($A141,LEN(A141)-1)*1,Master!$D$27:$G$225,4,FALSE)</f>
        <v>Other Health Care Transfers</v>
      </c>
      <c r="C141" s="519"/>
      <c r="D141" s="519"/>
      <c r="E141" s="519"/>
      <c r="F141" s="519"/>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18" t="str">
        <f>+VLOOKUP(LEFT($A142,LEN(A142)-1)*1,Master!$D$27:$G$225,4,FALSE)</f>
        <v>Other Health Care Insurance</v>
      </c>
      <c r="C142" s="519"/>
      <c r="D142" s="519"/>
      <c r="E142" s="519"/>
      <c r="F142" s="519"/>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20" t="str">
        <f>+VLOOKUP(LEFT($A144,LEN(A144)-1)*1,Master!$D$27:$G$225,4,FALSE)</f>
        <v>Capital Expenditure</v>
      </c>
      <c r="C144" s="521"/>
      <c r="D144" s="521"/>
      <c r="E144" s="521"/>
      <c r="F144" s="521"/>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02" t="str">
        <f>+VLOOKUP(LEFT($A145,LEN(A145)-1)*1,Master!$D$27:$G$225,4,FALSE)</f>
        <v>Credits and Borrowings</v>
      </c>
      <c r="C145" s="503"/>
      <c r="D145" s="503"/>
      <c r="E145" s="503"/>
      <c r="F145" s="503"/>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02" t="str">
        <f>+VLOOKUP(LEFT($A146,LEN(A146)-1)*1,Master!$D$27:$G$225,4,FALSE)</f>
        <v>Reserves</v>
      </c>
      <c r="C146" s="503"/>
      <c r="D146" s="503"/>
      <c r="E146" s="503"/>
      <c r="F146" s="503"/>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02" t="str">
        <f>+VLOOKUP(LEFT($A147,LEN(A147)-1)*1,Master!$D$27:$G$225,4,FALSE)</f>
        <v>Repayment of Guarantees</v>
      </c>
      <c r="C147" s="503"/>
      <c r="D147" s="503"/>
      <c r="E147" s="503"/>
      <c r="F147" s="503"/>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02" t="str">
        <f>+VLOOKUP(LEFT($A148,LEN(A148)-1)*1,Master!$D$27:$G$225,4,FALSE)</f>
        <v>Repayments of Arrears</v>
      </c>
      <c r="C148" s="503"/>
      <c r="D148" s="503"/>
      <c r="E148" s="503"/>
      <c r="F148" s="503"/>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16" t="s">
        <v>699</v>
      </c>
      <c r="C149" s="517"/>
      <c r="D149" s="517"/>
      <c r="E149" s="517"/>
      <c r="F149" s="51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10" t="str">
        <f>+VLOOKUP(LEFT($A150,LEN(A150)-1)*1,Master!$D$27:$G$225,4,FALSE)</f>
        <v>Surplus / deficit</v>
      </c>
      <c r="C150" s="511"/>
      <c r="D150" s="511"/>
      <c r="E150" s="511"/>
      <c r="F150" s="511"/>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12" t="str">
        <f>+VLOOKUP(LEFT($A151,LEN(A151)-1)*1,Master!$D$27:$G$225,4,FALSE)</f>
        <v>Primary balance</v>
      </c>
      <c r="C151" s="513"/>
      <c r="D151" s="513"/>
      <c r="E151" s="513"/>
      <c r="F151" s="513"/>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14" t="str">
        <f>+VLOOKUP(LEFT($A152,LEN(A152)-1)*1,Master!$D$27:$G$225,4,FALSE)</f>
        <v>Repayment of Debt</v>
      </c>
      <c r="C152" s="515"/>
      <c r="D152" s="515"/>
      <c r="E152" s="515"/>
      <c r="F152" s="51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04" t="str">
        <f>+VLOOKUP(LEFT($A153,LEN(A153)-1)*1,Master!$D$27:$G$225,4,FALSE)</f>
        <v>Repayment of Domestic Debt</v>
      </c>
      <c r="C153" s="505"/>
      <c r="D153" s="505"/>
      <c r="E153" s="505"/>
      <c r="F153" s="505"/>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02" t="str">
        <f>+VLOOKUP(LEFT($A154,LEN(A154)-1)*1,Master!$D$27:$G$225,4,FALSE)</f>
        <v>Repayment of Foreign Debt</v>
      </c>
      <c r="C154" s="503"/>
      <c r="D154" s="503"/>
      <c r="E154" s="503"/>
      <c r="F154" s="503"/>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88" t="s">
        <v>794</v>
      </c>
      <c r="C155" s="489"/>
      <c r="D155" s="489"/>
      <c r="E155" s="489"/>
      <c r="F155" s="489"/>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06" t="str">
        <f>+VLOOKUP(LEFT($A156,LEN(A156)-1)*1,Master!$D$27:$G$225,4,FALSE)</f>
        <v>Financing needs</v>
      </c>
      <c r="C156" s="507"/>
      <c r="D156" s="507"/>
      <c r="E156" s="507"/>
      <c r="F156" s="507"/>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08" t="str">
        <f>+VLOOKUP(LEFT($A157,LEN(A157)-1)*1,Master!$D$27:$G$225,4,FALSE)</f>
        <v>Financing</v>
      </c>
      <c r="C157" s="509"/>
      <c r="D157" s="509"/>
      <c r="E157" s="509"/>
      <c r="F157" s="509"/>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04" t="str">
        <f>+VLOOKUP(LEFT($A158,LEN(A158)-1)*1,Master!$D$27:$G$225,4,FALSE)</f>
        <v>Domestic Loans and Borrowings</v>
      </c>
      <c r="C158" s="505"/>
      <c r="D158" s="505"/>
      <c r="E158" s="505"/>
      <c r="F158" s="505"/>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02" t="str">
        <f>+VLOOKUP(LEFT($A159,LEN(A159)-1)*1,Master!$D$27:$G$225,4,FALSE)</f>
        <v>Foreign Loans and Borrowings</v>
      </c>
      <c r="C159" s="503"/>
      <c r="D159" s="503"/>
      <c r="E159" s="503"/>
      <c r="F159" s="503"/>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02" t="str">
        <f>+VLOOKUP(LEFT($A160,LEN(A160)-1)*1,Master!$D$27:$G$225,4,FALSE)</f>
        <v>Revenues from Selling Assets</v>
      </c>
      <c r="C160" s="503"/>
      <c r="D160" s="503"/>
      <c r="E160" s="503"/>
      <c r="F160" s="503"/>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0:F60"/>
    <mergeCell ref="B49:F49"/>
    <mergeCell ref="B50:F50"/>
    <mergeCell ref="B51:F51"/>
    <mergeCell ref="B52:F52"/>
    <mergeCell ref="B53:F53"/>
    <mergeCell ref="B54:F54"/>
    <mergeCell ref="G102:R102"/>
    <mergeCell ref="S103:T103"/>
    <mergeCell ref="B105:F105"/>
    <mergeCell ref="B106:F106"/>
    <mergeCell ref="B107:F107"/>
    <mergeCell ref="B108:F108"/>
    <mergeCell ref="B61:F61"/>
    <mergeCell ref="B62:F62"/>
    <mergeCell ref="B63:F63"/>
    <mergeCell ref="B64:F64"/>
    <mergeCell ref="B65:F65"/>
    <mergeCell ref="B102:F104"/>
    <mergeCell ref="B115:F115"/>
    <mergeCell ref="B116:F116"/>
    <mergeCell ref="B117:F117"/>
    <mergeCell ref="B118:F118"/>
    <mergeCell ref="B119:F119"/>
    <mergeCell ref="B120:F120"/>
    <mergeCell ref="B109:F109"/>
    <mergeCell ref="B110:F110"/>
    <mergeCell ref="B111:F111"/>
    <mergeCell ref="B112:F112"/>
    <mergeCell ref="B113:F113"/>
    <mergeCell ref="B114:F114"/>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G32" sqref="G32"/>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759</v>
      </c>
      <c r="H6" s="259" t="s">
        <v>760</v>
      </c>
      <c r="I6" s="259" t="s">
        <v>761</v>
      </c>
      <c r="J6" s="259" t="s">
        <v>762</v>
      </c>
      <c r="K6" s="259" t="s">
        <v>763</v>
      </c>
      <c r="L6" s="259" t="s">
        <v>764</v>
      </c>
      <c r="M6" s="259" t="s">
        <v>765</v>
      </c>
      <c r="N6" s="259" t="s">
        <v>766</v>
      </c>
      <c r="O6" s="259" t="s">
        <v>767</v>
      </c>
      <c r="P6" s="259" t="s">
        <v>768</v>
      </c>
      <c r="Q6" s="259" t="s">
        <v>769</v>
      </c>
      <c r="R6" s="259" t="s">
        <v>770</v>
      </c>
      <c r="S6" s="258"/>
      <c r="T6" s="258"/>
    </row>
    <row r="7" spans="1:20" ht="15" customHeight="1" thickBot="1">
      <c r="A7" s="169"/>
      <c r="B7" s="557" t="str">
        <f>+Master!G251</f>
        <v>Budget Execution</v>
      </c>
      <c r="C7" s="455"/>
      <c r="D7" s="455"/>
      <c r="E7" s="455"/>
      <c r="F7" s="455"/>
      <c r="G7" s="463">
        <v>2018</v>
      </c>
      <c r="H7" s="464"/>
      <c r="I7" s="464"/>
      <c r="J7" s="464"/>
      <c r="K7" s="464"/>
      <c r="L7" s="464"/>
      <c r="M7" s="464"/>
      <c r="N7" s="464"/>
      <c r="O7" s="464"/>
      <c r="P7" s="464"/>
      <c r="Q7" s="464"/>
      <c r="R7" s="467"/>
      <c r="S7" s="260" t="str">
        <f>+Master!G248</f>
        <v>GDP</v>
      </c>
      <c r="T7" s="261">
        <v>4619100000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May</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96" t="str">
        <f>+VLOOKUP($A10,Master!$D$27:$G$225,4,FALSE)</f>
        <v>Total Revenues</v>
      </c>
      <c r="C10" s="497"/>
      <c r="D10" s="497"/>
      <c r="E10" s="497"/>
      <c r="F10" s="497"/>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0.37802643404126346</v>
      </c>
    </row>
    <row r="11" spans="1:20">
      <c r="A11" s="175">
        <v>711</v>
      </c>
      <c r="B11" s="498" t="str">
        <f>+VLOOKUP($A11,Master!$D$27:$G$225,4,FALSE)</f>
        <v>Taxes</v>
      </c>
      <c r="C11" s="499"/>
      <c r="D11" s="499"/>
      <c r="E11" s="499"/>
      <c r="F11" s="499"/>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0.23141893470589509</v>
      </c>
    </row>
    <row r="12" spans="1:20">
      <c r="A12" s="175">
        <v>7111</v>
      </c>
      <c r="B12" s="484" t="str">
        <f>+VLOOKUP($A12,Master!$D$27:$G$225,4,FALSE)</f>
        <v>Personal Income Tax</v>
      </c>
      <c r="C12" s="485"/>
      <c r="D12" s="485"/>
      <c r="E12" s="485"/>
      <c r="F12" s="48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2.7039549275832957E-2</v>
      </c>
    </row>
    <row r="13" spans="1:20">
      <c r="A13" s="175">
        <v>7112</v>
      </c>
      <c r="B13" s="484" t="str">
        <f>+VLOOKUP($A13,Master!$D$27:$G$225,4,FALSE)</f>
        <v>Corporate Income Tax</v>
      </c>
      <c r="C13" s="485"/>
      <c r="D13" s="485"/>
      <c r="E13" s="485"/>
      <c r="F13" s="48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1.4758822807473315E-2</v>
      </c>
    </row>
    <row r="14" spans="1:20">
      <c r="A14" s="175">
        <v>7113</v>
      </c>
      <c r="B14" s="484" t="str">
        <f>+VLOOKUP($A14,Master!$D$27:$G$225,4,FALSE)</f>
        <v xml:space="preserve">Taxes on Sales of Property </v>
      </c>
      <c r="C14" s="485"/>
      <c r="D14" s="485"/>
      <c r="E14" s="485"/>
      <c r="F14" s="48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3.9750049143772598E-4</v>
      </c>
    </row>
    <row r="15" spans="1:20">
      <c r="A15" s="175">
        <v>7114</v>
      </c>
      <c r="B15" s="484" t="str">
        <f>+VLOOKUP($A15,Master!$D$27:$G$225,4,FALSE)</f>
        <v>Value Added Tax</v>
      </c>
      <c r="C15" s="485"/>
      <c r="D15" s="485"/>
      <c r="E15" s="485"/>
      <c r="F15" s="48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0.13355711695135417</v>
      </c>
    </row>
    <row r="16" spans="1:20">
      <c r="A16" s="175">
        <v>7115</v>
      </c>
      <c r="B16" s="484" t="str">
        <f>+VLOOKUP($A16,Master!$D$27:$G$225,4,FALSE)</f>
        <v>Excises</v>
      </c>
      <c r="C16" s="485"/>
      <c r="D16" s="485"/>
      <c r="E16" s="485"/>
      <c r="F16" s="48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4.7883363514537466E-2</v>
      </c>
    </row>
    <row r="17" spans="1:25">
      <c r="A17" s="175">
        <v>7116</v>
      </c>
      <c r="B17" s="484" t="str">
        <f>+VLOOKUP($A17,Master!$D$27:$G$225,4,FALSE)</f>
        <v>Tax on International Trade and Transactions</v>
      </c>
      <c r="C17" s="485"/>
      <c r="D17" s="485"/>
      <c r="E17" s="485"/>
      <c r="F17" s="48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5.766251432097161E-3</v>
      </c>
    </row>
    <row r="18" spans="1:25">
      <c r="A18" s="175">
        <v>7118</v>
      </c>
      <c r="B18" s="484" t="str">
        <f>+VLOOKUP($A18,Master!$D$27:$G$225,4,FALSE)</f>
        <v>Other Republic Taxes</v>
      </c>
      <c r="C18" s="485"/>
      <c r="D18" s="485"/>
      <c r="E18" s="485"/>
      <c r="F18" s="48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2.0163302331623039E-3</v>
      </c>
    </row>
    <row r="19" spans="1:25">
      <c r="A19" s="175">
        <v>712</v>
      </c>
      <c r="B19" s="494" t="str">
        <f>+VLOOKUP($A19,Master!$D$27:$G$225,4,FALSE)</f>
        <v>Contributions</v>
      </c>
      <c r="C19" s="495"/>
      <c r="D19" s="495"/>
      <c r="E19" s="495"/>
      <c r="F19" s="495"/>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0.1135372939317183</v>
      </c>
    </row>
    <row r="20" spans="1:25">
      <c r="A20" s="175">
        <v>7121</v>
      </c>
      <c r="B20" s="484" t="str">
        <f>+VLOOKUP($A20,Master!$D$27:$G$225,4,FALSE)</f>
        <v>Contributions for Pension and Disability Insurance</v>
      </c>
      <c r="C20" s="485"/>
      <c r="D20" s="485"/>
      <c r="E20" s="485"/>
      <c r="F20" s="48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6.8624398320019056E-2</v>
      </c>
    </row>
    <row r="21" spans="1:25">
      <c r="A21" s="175">
        <v>7122</v>
      </c>
      <c r="B21" s="484" t="str">
        <f>+VLOOKUP($A21,Master!$D$27:$G$225,4,FALSE)</f>
        <v>Contributions for Health Insurance</v>
      </c>
      <c r="C21" s="485"/>
      <c r="D21" s="485"/>
      <c r="E21" s="485"/>
      <c r="F21" s="48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3.9411522883245655E-2</v>
      </c>
    </row>
    <row r="22" spans="1:25">
      <c r="A22" s="175">
        <v>7123</v>
      </c>
      <c r="B22" s="484" t="str">
        <f>+VLOOKUP($A22,Master!$D$27:$G$225,4,FALSE)</f>
        <v>Contributions for  Unemployment Insurance</v>
      </c>
      <c r="C22" s="485"/>
      <c r="D22" s="485"/>
      <c r="E22" s="485"/>
      <c r="F22" s="48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2.9422609101340089E-3</v>
      </c>
    </row>
    <row r="23" spans="1:25">
      <c r="A23" s="175">
        <v>7124</v>
      </c>
      <c r="B23" s="484" t="str">
        <f>+VLOOKUP($A23,Master!$D$27:$G$225,4,FALSE)</f>
        <v>Other contributions</v>
      </c>
      <c r="C23" s="485"/>
      <c r="D23" s="485"/>
      <c r="E23" s="485"/>
      <c r="F23" s="48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2.5591118183195863E-3</v>
      </c>
      <c r="Y23" s="379"/>
    </row>
    <row r="24" spans="1:25">
      <c r="A24" s="175">
        <v>713</v>
      </c>
      <c r="B24" s="486" t="str">
        <f>+VLOOKUP($A24,Master!$D$27:$G$225,4,FALSE)</f>
        <v>Duties</v>
      </c>
      <c r="C24" s="487"/>
      <c r="D24" s="487"/>
      <c r="E24" s="487"/>
      <c r="F24" s="487"/>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3.6249469203957479E-3</v>
      </c>
      <c r="Y24" s="379"/>
    </row>
    <row r="25" spans="1:25">
      <c r="A25" s="175">
        <v>714</v>
      </c>
      <c r="B25" s="486" t="str">
        <f>+VLOOKUP($A25,Master!$D$27:$G$225,4,FALSE)</f>
        <v>Fees</v>
      </c>
      <c r="C25" s="487"/>
      <c r="D25" s="487"/>
      <c r="E25" s="487"/>
      <c r="F25" s="48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5.7196291658548207E-3</v>
      </c>
      <c r="W25" s="366"/>
    </row>
    <row r="26" spans="1:25">
      <c r="A26" s="175">
        <v>715</v>
      </c>
      <c r="B26" s="486" t="str">
        <f>+VLOOKUP($A26,Master!$D$27:$G$225,4,FALSE)</f>
        <v>Other revenues</v>
      </c>
      <c r="C26" s="487"/>
      <c r="D26" s="487"/>
      <c r="E26" s="487"/>
      <c r="F26" s="487"/>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1.5395832380766817E-2</v>
      </c>
    </row>
    <row r="27" spans="1:25">
      <c r="A27" s="175">
        <v>73</v>
      </c>
      <c r="B27" s="486" t="str">
        <f>+VLOOKUP($A27,Master!$D$27:$G$225,4,FALSE)</f>
        <v>Receipts from Repayment of Loans and Funds Carried over from Previous Year</v>
      </c>
      <c r="C27" s="487"/>
      <c r="D27" s="487"/>
      <c r="E27" s="487"/>
      <c r="F27" s="48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2.4083399103721503E-3</v>
      </c>
    </row>
    <row r="28" spans="1:25" ht="13.5" thickBot="1">
      <c r="A28" s="175">
        <v>74</v>
      </c>
      <c r="B28" s="488" t="str">
        <f>+VLOOKUP($A28,Master!$D$27:$G$225,4,FALSE)</f>
        <v>Grants and Transfers</v>
      </c>
      <c r="C28" s="489"/>
      <c r="D28" s="489"/>
      <c r="E28" s="489"/>
      <c r="F28" s="489"/>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5.9214570262605274E-3</v>
      </c>
    </row>
    <row r="29" spans="1:25" ht="13.5" thickBot="1">
      <c r="A29" s="175">
        <v>4</v>
      </c>
      <c r="B29" s="474" t="str">
        <f>+VLOOKUP($A29,Master!$D$27:$G$225,4,FALSE)</f>
        <v>Total Expenditures</v>
      </c>
      <c r="C29" s="475"/>
      <c r="D29" s="475"/>
      <c r="E29" s="475"/>
      <c r="F29" s="475"/>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0.41254491928297715</v>
      </c>
    </row>
    <row r="30" spans="1:25" ht="13.5" thickBot="1">
      <c r="A30" s="175">
        <v>41</v>
      </c>
      <c r="B30" s="490" t="str">
        <f>+VLOOKUP($A30,Master!$D$27:$G$225,4,FALSE)</f>
        <v>Current Budgetary Consumption</v>
      </c>
      <c r="C30" s="491"/>
      <c r="D30" s="491"/>
      <c r="E30" s="491"/>
      <c r="F30" s="491"/>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0.35523950755774925</v>
      </c>
    </row>
    <row r="31" spans="1:25">
      <c r="A31" s="175">
        <v>40</v>
      </c>
      <c r="B31" s="492" t="str">
        <f>+VLOOKUP($A31,Master!$D$27:$G$225,4,FALSE)</f>
        <v>Current Expenditures</v>
      </c>
      <c r="C31" s="493"/>
      <c r="D31" s="493"/>
      <c r="E31" s="493"/>
      <c r="F31" s="493"/>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0.18105267722716548</v>
      </c>
    </row>
    <row r="32" spans="1:25">
      <c r="A32" s="175">
        <v>411</v>
      </c>
      <c r="B32" s="484" t="str">
        <f>+VLOOKUP($A32,Master!$D$27:$G$225,4,FALSE)</f>
        <v>Gross Salaries and Contributions</v>
      </c>
      <c r="C32" s="485"/>
      <c r="D32" s="485"/>
      <c r="E32" s="485"/>
      <c r="F32" s="48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9.9542385865211844E-2</v>
      </c>
    </row>
    <row r="33" spans="1:22">
      <c r="A33" s="175">
        <v>412</v>
      </c>
      <c r="B33" s="484" t="str">
        <f>+VLOOKUP($A33,Master!$D$27:$G$225,4,FALSE)</f>
        <v>Other Personal Income</v>
      </c>
      <c r="C33" s="485"/>
      <c r="D33" s="485"/>
      <c r="E33" s="485"/>
      <c r="F33" s="48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2.8605010088545387E-3</v>
      </c>
      <c r="U33" s="367"/>
    </row>
    <row r="34" spans="1:22">
      <c r="A34" s="175">
        <v>413</v>
      </c>
      <c r="B34" s="484" t="str">
        <f>+VLOOKUP($A34,Master!$D$27:$G$225,4,FALSE)</f>
        <v>Expenditures for Supplies</v>
      </c>
      <c r="C34" s="485"/>
      <c r="D34" s="485"/>
      <c r="E34" s="485"/>
      <c r="F34" s="485"/>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7.9671288562707023E-3</v>
      </c>
      <c r="U34" s="385"/>
      <c r="V34" s="365"/>
    </row>
    <row r="35" spans="1:22">
      <c r="A35" s="175">
        <v>414</v>
      </c>
      <c r="B35" s="484" t="str">
        <f>+VLOOKUP($A35,Master!$D$27:$G$225,4,FALSE)</f>
        <v>Expenditures for Services</v>
      </c>
      <c r="C35" s="485"/>
      <c r="D35" s="485"/>
      <c r="E35" s="485"/>
      <c r="F35" s="485"/>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1.6288451209109999E-2</v>
      </c>
    </row>
    <row r="36" spans="1:22">
      <c r="A36" s="175">
        <v>415</v>
      </c>
      <c r="B36" s="484" t="str">
        <f>+VLOOKUP($A36,Master!$D$27:$G$225,4,FALSE)</f>
        <v>Current Maintenance</v>
      </c>
      <c r="C36" s="485"/>
      <c r="D36" s="485"/>
      <c r="E36" s="485"/>
      <c r="F36" s="48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4.5445627741334893E-3</v>
      </c>
    </row>
    <row r="37" spans="1:22">
      <c r="A37" s="175">
        <v>416</v>
      </c>
      <c r="B37" s="484" t="str">
        <f>+VLOOKUP($A37,Master!$D$27:$G$225,4,FALSE)</f>
        <v>Interests</v>
      </c>
      <c r="C37" s="485"/>
      <c r="D37" s="485"/>
      <c r="E37" s="485"/>
      <c r="F37" s="48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1.9191315884046677E-2</v>
      </c>
    </row>
    <row r="38" spans="1:22">
      <c r="A38" s="175">
        <v>417</v>
      </c>
      <c r="B38" s="484" t="str">
        <f>+VLOOKUP($A38,Master!$D$27:$G$225,4,FALSE)</f>
        <v>Rent</v>
      </c>
      <c r="C38" s="485"/>
      <c r="D38" s="485"/>
      <c r="E38" s="485"/>
      <c r="F38" s="48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2.4072236950921171E-3</v>
      </c>
    </row>
    <row r="39" spans="1:22">
      <c r="A39" s="175">
        <v>418</v>
      </c>
      <c r="B39" s="484" t="str">
        <f>+VLOOKUP($A39,Master!$D$27:$G$225,4,FALSE)</f>
        <v>Subsidies</v>
      </c>
      <c r="C39" s="485"/>
      <c r="D39" s="485"/>
      <c r="E39" s="485"/>
      <c r="F39" s="48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6.6161990366088632E-3</v>
      </c>
    </row>
    <row r="40" spans="1:22">
      <c r="A40" s="175">
        <v>419</v>
      </c>
      <c r="B40" s="484" t="str">
        <f>+VLOOKUP($A40,Master!$D$27:$G$225,4,FALSE)</f>
        <v>Other expenditures</v>
      </c>
      <c r="C40" s="485"/>
      <c r="D40" s="485"/>
      <c r="E40" s="485"/>
      <c r="F40" s="48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9.4415786776644809E-3</v>
      </c>
    </row>
    <row r="41" spans="1:22">
      <c r="A41" s="175">
        <v>440</v>
      </c>
      <c r="B41" s="484" t="str">
        <f>+VLOOKUP($A41,Master!$D$27:$G$225,4,FALSE)</f>
        <v>Current Capital Expenditure</v>
      </c>
      <c r="C41" s="485"/>
      <c r="D41" s="485"/>
      <c r="E41" s="485"/>
      <c r="F41" s="485"/>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1.2193330220172762E-2</v>
      </c>
    </row>
    <row r="42" spans="1:22">
      <c r="A42" s="175">
        <v>42</v>
      </c>
      <c r="B42" s="480" t="str">
        <f>+VLOOKUP($A42,Master!$D$27:$G$225,4,FALSE)</f>
        <v>Social Security Transfers</v>
      </c>
      <c r="C42" s="481"/>
      <c r="D42" s="481"/>
      <c r="E42" s="481"/>
      <c r="F42" s="48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0.11787698284947284</v>
      </c>
    </row>
    <row r="43" spans="1:22">
      <c r="A43" s="175">
        <v>421</v>
      </c>
      <c r="B43" s="484" t="str">
        <f>+VLOOKUP($A43,Master!$D$27:$G$225,4,FALSE)</f>
        <v>Social Security</v>
      </c>
      <c r="C43" s="485"/>
      <c r="D43" s="485"/>
      <c r="E43" s="485"/>
      <c r="F43" s="48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1.7816194600679788E-2</v>
      </c>
    </row>
    <row r="44" spans="1:22">
      <c r="A44" s="175">
        <v>422</v>
      </c>
      <c r="B44" s="484" t="str">
        <f>+VLOOKUP($A44,Master!$D$27:$G$225,4,FALSE)</f>
        <v>Funds for redundant labor</v>
      </c>
      <c r="C44" s="485"/>
      <c r="D44" s="485"/>
      <c r="E44" s="485"/>
      <c r="F44" s="48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3.0734974215756313E-3</v>
      </c>
    </row>
    <row r="45" spans="1:22">
      <c r="A45" s="175">
        <v>423</v>
      </c>
      <c r="B45" s="484" t="str">
        <f>+VLOOKUP($A45,Master!$D$27:$G$225,4,FALSE)</f>
        <v>Pension and Disability Insurance</v>
      </c>
      <c r="C45" s="485"/>
      <c r="D45" s="485"/>
      <c r="E45" s="485"/>
      <c r="F45" s="48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8.9790276417483925E-2</v>
      </c>
    </row>
    <row r="46" spans="1:22">
      <c r="A46" s="175">
        <v>424</v>
      </c>
      <c r="B46" s="484" t="str">
        <f>+VLOOKUP($A46,Master!$D$27:$G$225,4,FALSE)</f>
        <v>Other Health Care Transfers</v>
      </c>
      <c r="C46" s="485"/>
      <c r="D46" s="485"/>
      <c r="E46" s="485"/>
      <c r="F46" s="48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4.3308933082202164E-3</v>
      </c>
    </row>
    <row r="47" spans="1:22">
      <c r="A47" s="175">
        <v>425</v>
      </c>
      <c r="B47" s="555" t="str">
        <f>+VLOOKUP($A47,Master!$D$27:$G$225,4,FALSE)</f>
        <v>Other Health Care Insurance</v>
      </c>
      <c r="C47" s="556"/>
      <c r="D47" s="556"/>
      <c r="E47" s="556"/>
      <c r="F47" s="556"/>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2.8661211015132818E-3</v>
      </c>
    </row>
    <row r="48" spans="1:22">
      <c r="A48" s="175">
        <v>43</v>
      </c>
      <c r="B48" s="482" t="str">
        <f>+VLOOKUP($A48,Master!$D$27:$G$225,4,FALSE)</f>
        <v xml:space="preserve">Transfers to Institutions, Individuals, NGO and Public Sector </v>
      </c>
      <c r="C48" s="483"/>
      <c r="D48" s="483"/>
      <c r="E48" s="483"/>
      <c r="F48" s="483"/>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4.5188374406269612E-2</v>
      </c>
    </row>
    <row r="49" spans="1:22">
      <c r="A49" s="175">
        <v>44</v>
      </c>
      <c r="B49" s="482" t="str">
        <f>+VLOOKUP($A49,Master!$D$27:$G$225,4,FALSE)</f>
        <v>Capital Expenditure</v>
      </c>
      <c r="C49" s="483"/>
      <c r="D49" s="483"/>
      <c r="E49" s="483"/>
      <c r="F49" s="483"/>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5.7305411725227857E-2</v>
      </c>
    </row>
    <row r="50" spans="1:22">
      <c r="A50" s="175">
        <v>451</v>
      </c>
      <c r="B50" s="549" t="str">
        <f>+VLOOKUP($A50,Master!$D$27:$G$225,4,FALSE)</f>
        <v>Credits and Borrowings</v>
      </c>
      <c r="C50" s="550"/>
      <c r="D50" s="550"/>
      <c r="E50" s="550"/>
      <c r="F50" s="550"/>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9.9507891147626159E-4</v>
      </c>
    </row>
    <row r="51" spans="1:22">
      <c r="A51" s="175">
        <v>47</v>
      </c>
      <c r="B51" s="452" t="str">
        <f>+VLOOKUP($A51,Master!$D$27:$G$225,4,FALSE)</f>
        <v>Reserves</v>
      </c>
      <c r="C51" s="453"/>
      <c r="D51" s="453"/>
      <c r="E51" s="453"/>
      <c r="F51" s="45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5.1714619839362645E-3</v>
      </c>
    </row>
    <row r="52" spans="1:22" ht="13.5" thickBot="1">
      <c r="A52" s="175">
        <v>462</v>
      </c>
      <c r="B52" s="470" t="str">
        <f>+VLOOKUP($A52,Master!$D$27:$G$225,4,FALSE)</f>
        <v>Repayment of Guarantees</v>
      </c>
      <c r="C52" s="471"/>
      <c r="D52" s="471"/>
      <c r="E52" s="471"/>
      <c r="F52" s="471"/>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51" t="str">
        <f>+VLOOKUP($A53,Master!$D$27:$G$225,4,TRUE)</f>
        <v>Repayments of Arrears</v>
      </c>
      <c r="C53" s="552"/>
      <c r="D53" s="552"/>
      <c r="E53" s="552"/>
      <c r="F53" s="552"/>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4.9549321794288923E-3</v>
      </c>
    </row>
    <row r="54" spans="1:22" ht="13.5" thickBot="1">
      <c r="A54" s="71">
        <v>1005</v>
      </c>
      <c r="B54" s="553" t="str">
        <f>+VLOOKUP($A54,Master!$D$27:$G$227,4,FALSE)</f>
        <v>Net increase of liabilities</v>
      </c>
      <c r="C54" s="554"/>
      <c r="D54" s="554"/>
      <c r="E54" s="554"/>
      <c r="F54" s="554"/>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-3.4518485241713734E-2</v>
      </c>
    </row>
    <row r="56" spans="1:22" ht="13.5" thickBot="1">
      <c r="A56" s="169">
        <v>1001</v>
      </c>
      <c r="B56" s="478" t="str">
        <f>+VLOOKUP($A56,Master!$D$27:$G$225,4,FALSE)</f>
        <v>Primary balance</v>
      </c>
      <c r="C56" s="479"/>
      <c r="D56" s="479"/>
      <c r="E56" s="479"/>
      <c r="F56" s="479"/>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-1.5327169357667059E-2</v>
      </c>
    </row>
    <row r="57" spans="1:22">
      <c r="A57" s="169">
        <v>46</v>
      </c>
      <c r="B57" s="547" t="str">
        <f>+VLOOKUP($A57,Master!$D$27:$G$225,4,FALSE)</f>
        <v>Repayment of Debt</v>
      </c>
      <c r="C57" s="548"/>
      <c r="D57" s="548"/>
      <c r="E57" s="548"/>
      <c r="F57" s="548"/>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0.15073963757225434</v>
      </c>
      <c r="V57" s="383"/>
    </row>
    <row r="58" spans="1:22">
      <c r="A58" s="169">
        <v>4611</v>
      </c>
      <c r="B58" s="468" t="str">
        <f>+VLOOKUP($A58,Master!$D$27:$G$225,4,FALSE)</f>
        <v>Repayment of Domestic Debt</v>
      </c>
      <c r="C58" s="469"/>
      <c r="D58" s="469"/>
      <c r="E58" s="469"/>
      <c r="F58" s="469"/>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5.0837520967288004E-2</v>
      </c>
    </row>
    <row r="59" spans="1:22" ht="13.5" thickBot="1">
      <c r="A59" s="169">
        <v>4612</v>
      </c>
      <c r="B59" s="452" t="str">
        <f>+VLOOKUP($A59,Master!$D$27:$G$225,4,FALSE)</f>
        <v>Repayment of Foreign Debt</v>
      </c>
      <c r="C59" s="453"/>
      <c r="D59" s="453"/>
      <c r="E59" s="453"/>
      <c r="F59" s="45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9.990211660496634E-2</v>
      </c>
      <c r="V59" s="395"/>
    </row>
    <row r="60" spans="1:22" ht="13.5" thickBot="1">
      <c r="A60" s="169">
        <v>4418</v>
      </c>
      <c r="B60" s="488" t="s">
        <v>794</v>
      </c>
      <c r="C60" s="489"/>
      <c r="D60" s="489"/>
      <c r="E60" s="489"/>
      <c r="F60" s="489"/>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1.4991079790435366E-2</v>
      </c>
      <c r="V60" s="395"/>
    </row>
    <row r="61" spans="1:22" ht="13.5" thickBot="1">
      <c r="A61" s="169">
        <v>1002</v>
      </c>
      <c r="B61" s="472" t="str">
        <f>+VLOOKUP($A61,Master!$D$27:$G$225,4,FALSE)</f>
        <v>Financing needs</v>
      </c>
      <c r="C61" s="473"/>
      <c r="D61" s="473"/>
      <c r="E61" s="473"/>
      <c r="F61" s="473"/>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-0.20024920260440346</v>
      </c>
    </row>
    <row r="62" spans="1:22" ht="13.5" thickBot="1">
      <c r="A62" s="169">
        <v>1003</v>
      </c>
      <c r="B62" s="474" t="str">
        <f>+VLOOKUP($A62,Master!$D$27:$G$225,4,FALSE)</f>
        <v>Financing</v>
      </c>
      <c r="C62" s="475"/>
      <c r="D62" s="475"/>
      <c r="E62" s="475"/>
      <c r="F62" s="475"/>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0.20024920260440346</v>
      </c>
    </row>
    <row r="63" spans="1:22">
      <c r="A63" s="169">
        <v>7511</v>
      </c>
      <c r="B63" s="468" t="str">
        <f>+VLOOKUP($A63,Master!$D$27:$G$225,4,FALSE)</f>
        <v>Domestic Loans and Borrowings</v>
      </c>
      <c r="C63" s="469"/>
      <c r="D63" s="469"/>
      <c r="E63" s="469"/>
      <c r="F63" s="469"/>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4.6242774566473986E-2</v>
      </c>
    </row>
    <row r="64" spans="1:22">
      <c r="A64" s="169">
        <v>7512</v>
      </c>
      <c r="B64" s="452" t="str">
        <f>+VLOOKUP($A64,Master!$D$27:$G$225,4,FALSE)</f>
        <v>Foreign Loans and Borrowings</v>
      </c>
      <c r="C64" s="453"/>
      <c r="D64" s="453"/>
      <c r="E64" s="453"/>
      <c r="F64" s="45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0.19487339223225308</v>
      </c>
    </row>
    <row r="65" spans="1:20">
      <c r="A65" s="169">
        <v>72</v>
      </c>
      <c r="B65" s="452" t="str">
        <f>+VLOOKUP($A65,Master!$D$27:$G$225,4,FALSE)</f>
        <v>Revenues from Selling Assets</v>
      </c>
      <c r="C65" s="453"/>
      <c r="D65" s="453"/>
      <c r="E65" s="453"/>
      <c r="F65" s="45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3.4095563443094974E-3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-4.4276520538633075E-2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39" t="str">
        <f>+Master!G252</f>
        <v>Planned Budget Execution</v>
      </c>
      <c r="C102" s="540"/>
      <c r="D102" s="540"/>
      <c r="E102" s="540"/>
      <c r="F102" s="540"/>
      <c r="G102" s="532">
        <v>2018</v>
      </c>
      <c r="H102" s="533"/>
      <c r="I102" s="533"/>
      <c r="J102" s="533"/>
      <c r="K102" s="533"/>
      <c r="L102" s="533"/>
      <c r="M102" s="533"/>
      <c r="N102" s="533"/>
      <c r="O102" s="533"/>
      <c r="P102" s="533"/>
      <c r="Q102" s="533"/>
      <c r="R102" s="534"/>
      <c r="S102" s="115" t="str">
        <f>+S7</f>
        <v>GDP</v>
      </c>
      <c r="T102" s="116">
        <f>+T7</f>
        <v>4619100000</v>
      </c>
    </row>
    <row r="103" spans="1:21" ht="15.75" customHeight="1">
      <c r="B103" s="541"/>
      <c r="C103" s="542"/>
      <c r="D103" s="542"/>
      <c r="E103" s="542"/>
      <c r="F103" s="543"/>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32" t="str">
        <f>+Master!G246</f>
        <v>Jan - Dec</v>
      </c>
      <c r="T103" s="534">
        <f>+T8</f>
        <v>0</v>
      </c>
    </row>
    <row r="104" spans="1:21" ht="13.5" thickBot="1">
      <c r="B104" s="544"/>
      <c r="C104" s="545"/>
      <c r="D104" s="545"/>
      <c r="E104" s="545"/>
      <c r="F104" s="546"/>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7">+CONCATENATE(A10,"p")</f>
        <v>7p</v>
      </c>
      <c r="B105" s="535" t="str">
        <f>+VLOOKUP(LEFT($A105,LEN(A105)-1)*1,Master!$D$27:$G$225,4,FALSE)</f>
        <v>Total Revenues</v>
      </c>
      <c r="C105" s="536"/>
      <c r="D105" s="536"/>
      <c r="E105" s="536"/>
      <c r="F105" s="536"/>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0.38037782709493462</v>
      </c>
    </row>
    <row r="106" spans="1:21">
      <c r="A106" s="137" t="str">
        <f t="shared" si="17"/>
        <v>711p</v>
      </c>
      <c r="B106" s="537" t="str">
        <f>+VLOOKUP(LEFT($A106,LEN(A106)-1)*1,Master!$D$27:$G$225,4,FALSE)</f>
        <v>Taxes</v>
      </c>
      <c r="C106" s="538"/>
      <c r="D106" s="538"/>
      <c r="E106" s="538"/>
      <c r="F106" s="538"/>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0.23346478521729086</v>
      </c>
      <c r="U106" s="302"/>
    </row>
    <row r="107" spans="1:21">
      <c r="A107" s="137" t="str">
        <f t="shared" si="17"/>
        <v>7111p</v>
      </c>
      <c r="B107" s="518" t="str">
        <f>+VLOOKUP(LEFT($A107,LEN(A107)-1)*1,Master!$D$27:$G$225,4,FALSE)</f>
        <v>Personal Income Tax</v>
      </c>
      <c r="C107" s="519"/>
      <c r="D107" s="519"/>
      <c r="E107" s="519"/>
      <c r="F107" s="519"/>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2.6273443347922226E-2</v>
      </c>
    </row>
    <row r="108" spans="1:21">
      <c r="A108" s="137" t="str">
        <f t="shared" si="17"/>
        <v>7112p</v>
      </c>
      <c r="B108" s="518" t="str">
        <f>+VLOOKUP(LEFT($A108,LEN(A108)-1)*1,Master!$D$27:$G$225,4,FALSE)</f>
        <v>Corporate Income Tax</v>
      </c>
      <c r="C108" s="519"/>
      <c r="D108" s="519"/>
      <c r="E108" s="519"/>
      <c r="F108" s="519"/>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1.3352896748372338E-2</v>
      </c>
    </row>
    <row r="109" spans="1:21">
      <c r="A109" s="137" t="str">
        <f t="shared" si="17"/>
        <v>7113p</v>
      </c>
      <c r="B109" s="518" t="str">
        <f>+VLOOKUP(LEFT($A109,LEN(A109)-1)*1,Master!$D$27:$G$225,4,FALSE)</f>
        <v xml:space="preserve">Taxes on Sales of Property </v>
      </c>
      <c r="C109" s="519"/>
      <c r="D109" s="519"/>
      <c r="E109" s="519"/>
      <c r="F109" s="519"/>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4.0157133002934758E-4</v>
      </c>
    </row>
    <row r="110" spans="1:21">
      <c r="A110" s="137" t="str">
        <f t="shared" si="17"/>
        <v>7114p</v>
      </c>
      <c r="B110" s="518" t="str">
        <f>+VLOOKUP(LEFT($A110,LEN(A110)-1)*1,Master!$D$27:$G$225,4,FALSE)</f>
        <v>Value Added Tax</v>
      </c>
      <c r="C110" s="519"/>
      <c r="D110" s="519"/>
      <c r="E110" s="519"/>
      <c r="F110" s="519"/>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0.13517606936875037</v>
      </c>
    </row>
    <row r="111" spans="1:21">
      <c r="A111" s="137" t="str">
        <f t="shared" si="17"/>
        <v>7115p</v>
      </c>
      <c r="B111" s="518" t="str">
        <f>+VLOOKUP(LEFT($A111,LEN(A111)-1)*1,Master!$D$27:$G$225,4,FALSE)</f>
        <v>Excises</v>
      </c>
      <c r="C111" s="519"/>
      <c r="D111" s="519"/>
      <c r="E111" s="519"/>
      <c r="F111" s="519"/>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5.0377309637034705E-2</v>
      </c>
    </row>
    <row r="112" spans="1:21">
      <c r="A112" s="137" t="str">
        <f t="shared" si="17"/>
        <v>7116p</v>
      </c>
      <c r="B112" s="518" t="str">
        <f>+VLOOKUP(LEFT($A112,LEN(A112)-1)*1,Master!$D$27:$G$225,4,FALSE)</f>
        <v>Tax on International Trade and Transactions</v>
      </c>
      <c r="C112" s="519"/>
      <c r="D112" s="519"/>
      <c r="E112" s="519"/>
      <c r="F112" s="519"/>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5.8149866592513942E-3</v>
      </c>
    </row>
    <row r="113" spans="1:20">
      <c r="A113" s="137" t="str">
        <f t="shared" si="17"/>
        <v>7118p</v>
      </c>
      <c r="B113" s="518" t="str">
        <f>+VLOOKUP(LEFT($A113,LEN(A113)-1)*1,Master!$D$27:$G$225,4,FALSE)</f>
        <v>Other Republic Taxes</v>
      </c>
      <c r="C113" s="519"/>
      <c r="D113" s="519"/>
      <c r="E113" s="519"/>
      <c r="F113" s="519"/>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2.0685081259305014E-3</v>
      </c>
    </row>
    <row r="114" spans="1:20">
      <c r="A114" s="137" t="str">
        <f t="shared" si="17"/>
        <v>712p</v>
      </c>
      <c r="B114" s="530" t="str">
        <f>+VLOOKUP(LEFT($A114,LEN(A114)-1)*1,Master!$D$27:$G$225,4,FALSE)</f>
        <v>Contributions</v>
      </c>
      <c r="C114" s="531"/>
      <c r="D114" s="531"/>
      <c r="E114" s="531"/>
      <c r="F114" s="531"/>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0.11306397976237681</v>
      </c>
    </row>
    <row r="115" spans="1:20">
      <c r="A115" s="137" t="str">
        <f t="shared" si="17"/>
        <v>7121p</v>
      </c>
      <c r="B115" s="518" t="str">
        <f>+VLOOKUP(LEFT($A115,LEN(A115)-1)*1,Master!$D$27:$G$225,4,FALSE)</f>
        <v>Contributions for Pension and Disability Insurance</v>
      </c>
      <c r="C115" s="519"/>
      <c r="D115" s="519"/>
      <c r="E115" s="519"/>
      <c r="F115" s="519"/>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6.8086015665941566E-2</v>
      </c>
    </row>
    <row r="116" spans="1:20">
      <c r="A116" s="137" t="str">
        <f t="shared" si="17"/>
        <v>7122p</v>
      </c>
      <c r="B116" s="518" t="str">
        <f>+VLOOKUP(LEFT($A116,LEN(A116)-1)*1,Master!$D$27:$G$225,4,FALSE)</f>
        <v>Contributions for Health Insurance</v>
      </c>
      <c r="C116" s="519"/>
      <c r="D116" s="519"/>
      <c r="E116" s="519"/>
      <c r="F116" s="519"/>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3.9162623551469371E-2</v>
      </c>
    </row>
    <row r="117" spans="1:20">
      <c r="A117" s="137" t="str">
        <f t="shared" si="17"/>
        <v>7123p</v>
      </c>
      <c r="B117" s="518" t="str">
        <f>+VLOOKUP(LEFT($A117,LEN(A117)-1)*1,Master!$D$27:$G$225,4,FALSE)</f>
        <v>Contributions for  Unemployment Insurance</v>
      </c>
      <c r="C117" s="519"/>
      <c r="D117" s="519"/>
      <c r="E117" s="519"/>
      <c r="F117" s="519"/>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3.0631836555475821E-3</v>
      </c>
    </row>
    <row r="118" spans="1:20">
      <c r="A118" s="137" t="str">
        <f t="shared" si="17"/>
        <v>7124p</v>
      </c>
      <c r="B118" s="518" t="str">
        <f>+VLOOKUP(LEFT($A118,LEN(A118)-1)*1,Master!$D$27:$G$225,4,FALSE)</f>
        <v>Other contributions</v>
      </c>
      <c r="C118" s="519"/>
      <c r="D118" s="519"/>
      <c r="E118" s="519"/>
      <c r="F118" s="519"/>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2.7521568894182877E-3</v>
      </c>
    </row>
    <row r="119" spans="1:20">
      <c r="A119" s="137" t="str">
        <f t="shared" si="17"/>
        <v>713p</v>
      </c>
      <c r="B119" s="522" t="str">
        <f>+VLOOKUP(LEFT($A119,LEN(A119)-1)*1,Master!$D$27:$G$225,4,FALSE)</f>
        <v>Duties</v>
      </c>
      <c r="C119" s="523"/>
      <c r="D119" s="523"/>
      <c r="E119" s="523"/>
      <c r="F119" s="523"/>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3.8320167106630867E-3</v>
      </c>
    </row>
    <row r="120" spans="1:20">
      <c r="A120" s="137" t="str">
        <f t="shared" si="17"/>
        <v>714p</v>
      </c>
      <c r="B120" s="522" t="str">
        <f>+VLOOKUP(LEFT($A120,LEN(A120)-1)*1,Master!$D$27:$G$225,4,FALSE)</f>
        <v>Fees</v>
      </c>
      <c r="C120" s="523"/>
      <c r="D120" s="523"/>
      <c r="E120" s="523"/>
      <c r="F120" s="523"/>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6.0895252532171401E-3</v>
      </c>
    </row>
    <row r="121" spans="1:20">
      <c r="A121" s="137" t="str">
        <f t="shared" si="17"/>
        <v>715p</v>
      </c>
      <c r="B121" s="522" t="str">
        <f>+VLOOKUP(LEFT($A121,LEN(A121)-1)*1,Master!$D$27:$G$225,4,FALSE)</f>
        <v>Other revenues</v>
      </c>
      <c r="C121" s="523"/>
      <c r="D121" s="523"/>
      <c r="E121" s="523"/>
      <c r="F121" s="523"/>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1.55296279945835E-2</v>
      </c>
    </row>
    <row r="122" spans="1:20">
      <c r="A122" s="137" t="str">
        <f t="shared" si="17"/>
        <v>73p</v>
      </c>
      <c r="B122" s="522" t="str">
        <f>+VLOOKUP(LEFT($A122,LEN(A122)-1)*1,Master!$D$27:$G$225,4,FALSE)</f>
        <v>Receipts from Repayment of Loans and Funds Carried over from Previous Year</v>
      </c>
      <c r="C122" s="523"/>
      <c r="D122" s="523"/>
      <c r="E122" s="523"/>
      <c r="F122" s="523"/>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1.57223576901074E-3</v>
      </c>
    </row>
    <row r="123" spans="1:20" ht="13.5" thickBot="1">
      <c r="A123" s="137" t="str">
        <f t="shared" si="17"/>
        <v>74p</v>
      </c>
      <c r="B123" s="524" t="str">
        <f>+VLOOKUP(LEFT($A123,LEN(A123)-1)*1,Master!$D$27:$G$225,4,FALSE)</f>
        <v>Grants and Transfers</v>
      </c>
      <c r="C123" s="525"/>
      <c r="D123" s="525"/>
      <c r="E123" s="525"/>
      <c r="F123" s="52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6.8256563877924486E-3</v>
      </c>
    </row>
    <row r="124" spans="1:20" ht="13.5" thickBot="1">
      <c r="A124" s="137" t="str">
        <f t="shared" si="17"/>
        <v>4p</v>
      </c>
      <c r="B124" s="508" t="str">
        <f>+VLOOKUP(LEFT($A124,LEN(A124)-1)*1,Master!$D$27:$G$225,4,FALSE)</f>
        <v>Total Expenditures</v>
      </c>
      <c r="C124" s="509"/>
      <c r="D124" s="509"/>
      <c r="E124" s="509"/>
      <c r="F124" s="509"/>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0.41130156842169829</v>
      </c>
    </row>
    <row r="125" spans="1:20" ht="13.5" thickBot="1">
      <c r="A125" s="137" t="str">
        <f t="shared" si="17"/>
        <v>41p</v>
      </c>
      <c r="B125" s="526" t="str">
        <f>+VLOOKUP(LEFT($A125,LEN(A125)-1)*1,Master!$D$27:$G$225,4,FALSE)</f>
        <v>Current Budgetary Consumption</v>
      </c>
      <c r="C125" s="527"/>
      <c r="D125" s="527"/>
      <c r="E125" s="527"/>
      <c r="F125" s="527"/>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0.34871903069862092</v>
      </c>
    </row>
    <row r="126" spans="1:20">
      <c r="A126" s="137" t="str">
        <f t="shared" si="17"/>
        <v>40p</v>
      </c>
      <c r="B126" s="528" t="str">
        <f>+VLOOKUP(LEFT($A126,LEN(A126)-1)*1,Master!$D$27:$G$225,4,FALSE)</f>
        <v>Current Expenditures</v>
      </c>
      <c r="C126" s="529"/>
      <c r="D126" s="529"/>
      <c r="E126" s="529"/>
      <c r="F126" s="529"/>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0.17592833515403433</v>
      </c>
    </row>
    <row r="127" spans="1:20">
      <c r="A127" s="137" t="str">
        <f t="shared" si="17"/>
        <v>411p</v>
      </c>
      <c r="B127" s="518" t="str">
        <f>+VLOOKUP(LEFT($A127,LEN(A127)-1)*1,Master!$D$27:$G$225,4,FALSE)</f>
        <v>Gross Salaries and Contributions</v>
      </c>
      <c r="C127" s="519"/>
      <c r="D127" s="519"/>
      <c r="E127" s="519"/>
      <c r="F127" s="519"/>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0.10001381145028249</v>
      </c>
    </row>
    <row r="128" spans="1:20">
      <c r="A128" s="137" t="str">
        <f t="shared" si="17"/>
        <v>412p</v>
      </c>
      <c r="B128" s="518" t="str">
        <f>+VLOOKUP(LEFT($A128,LEN(A128)-1)*1,Master!$D$27:$G$225,4,FALSE)</f>
        <v>Other Personal Income</v>
      </c>
      <c r="C128" s="519"/>
      <c r="D128" s="519"/>
      <c r="E128" s="519"/>
      <c r="F128" s="519"/>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2.8712569937866675E-3</v>
      </c>
    </row>
    <row r="129" spans="1:20">
      <c r="A129" s="137" t="str">
        <f t="shared" si="17"/>
        <v>413p</v>
      </c>
      <c r="B129" s="518" t="str">
        <f>+VLOOKUP(LEFT($A129,LEN(A129)-1)*1,Master!$D$27:$G$225,4,FALSE)</f>
        <v>Expenditures for Supplies</v>
      </c>
      <c r="C129" s="519"/>
      <c r="D129" s="519"/>
      <c r="E129" s="519"/>
      <c r="F129" s="519"/>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8.5908972527115671E-3</v>
      </c>
    </row>
    <row r="130" spans="1:20">
      <c r="A130" s="137" t="str">
        <f t="shared" si="17"/>
        <v>414p</v>
      </c>
      <c r="B130" s="518" t="str">
        <f>+VLOOKUP(LEFT($A130,LEN(A130)-1)*1,Master!$D$27:$G$225,4,FALSE)</f>
        <v>Expenditures for Services</v>
      </c>
      <c r="C130" s="519"/>
      <c r="D130" s="519"/>
      <c r="E130" s="519"/>
      <c r="F130" s="519"/>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1.2717181472581239E-2</v>
      </c>
    </row>
    <row r="131" spans="1:20">
      <c r="A131" s="137" t="str">
        <f t="shared" si="17"/>
        <v>415p</v>
      </c>
      <c r="B131" s="518" t="str">
        <f>+VLOOKUP(LEFT($A131,LEN(A131)-1)*1,Master!$D$27:$G$225,4,FALSE)</f>
        <v>Current Maintenance</v>
      </c>
      <c r="C131" s="519"/>
      <c r="D131" s="519"/>
      <c r="E131" s="519"/>
      <c r="F131" s="519"/>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4.8246383083284626E-3</v>
      </c>
    </row>
    <row r="132" spans="1:20">
      <c r="A132" s="137" t="str">
        <f t="shared" si="17"/>
        <v>416p</v>
      </c>
      <c r="B132" s="518" t="str">
        <f>+VLOOKUP(LEFT($A132,LEN(A132)-1)*1,Master!$D$27:$G$225,4,FALSE)</f>
        <v>Interests</v>
      </c>
      <c r="C132" s="519"/>
      <c r="D132" s="519"/>
      <c r="E132" s="519"/>
      <c r="F132" s="519"/>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1.8930679136628346E-2</v>
      </c>
    </row>
    <row r="133" spans="1:20">
      <c r="A133" s="137" t="str">
        <f t="shared" si="17"/>
        <v>417p</v>
      </c>
      <c r="B133" s="518" t="str">
        <f>+VLOOKUP(LEFT($A133,LEN(A133)-1)*1,Master!$D$27:$G$225,4,FALSE)</f>
        <v>Rent</v>
      </c>
      <c r="C133" s="519"/>
      <c r="D133" s="519"/>
      <c r="E133" s="519"/>
      <c r="F133" s="519"/>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2.2395108700829164E-3</v>
      </c>
    </row>
    <row r="134" spans="1:20">
      <c r="A134" s="137" t="str">
        <f t="shared" si="17"/>
        <v>418p</v>
      </c>
      <c r="B134" s="518" t="str">
        <f>+VLOOKUP(LEFT($A134,LEN(A134)-1)*1,Master!$D$27:$G$225,4,FALSE)</f>
        <v>Subsidies</v>
      </c>
      <c r="C134" s="519"/>
      <c r="D134" s="519"/>
      <c r="E134" s="519"/>
      <c r="F134" s="519"/>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5.787231278820552E-3</v>
      </c>
    </row>
    <row r="135" spans="1:20">
      <c r="A135" s="137" t="str">
        <f t="shared" si="17"/>
        <v>419p</v>
      </c>
      <c r="B135" s="518" t="str">
        <f>+VLOOKUP(LEFT($A135,LEN(A135)-1)*1,Master!$D$27:$G$225,4,FALSE)</f>
        <v>Other expenditures</v>
      </c>
      <c r="C135" s="519"/>
      <c r="D135" s="519"/>
      <c r="E135" s="519"/>
      <c r="F135" s="519"/>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8.512032631897988E-3</v>
      </c>
    </row>
    <row r="136" spans="1:20">
      <c r="A136" s="137" t="str">
        <f t="shared" si="17"/>
        <v>440p</v>
      </c>
      <c r="B136" s="518" t="str">
        <f>+VLOOKUP(LEFT($A136,LEN(A136)-1)*1,Master!$D$27:$G$225,4,FALSE)</f>
        <v>Current Capital Expenditure</v>
      </c>
      <c r="C136" s="519"/>
      <c r="D136" s="519"/>
      <c r="E136" s="519"/>
      <c r="F136" s="519"/>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1.1441095758914071E-2</v>
      </c>
    </row>
    <row r="137" spans="1:20">
      <c r="A137" s="137" t="str">
        <f t="shared" si="17"/>
        <v>42p</v>
      </c>
      <c r="B137" s="514" t="str">
        <f>+VLOOKUP(LEFT($A137,LEN(A137)-1)*1,Master!$D$27:$G$225,4,FALSE)</f>
        <v>Social Security Transfers</v>
      </c>
      <c r="C137" s="515"/>
      <c r="D137" s="515"/>
      <c r="E137" s="515"/>
      <c r="F137" s="51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0.1210046922257583</v>
      </c>
    </row>
    <row r="138" spans="1:20">
      <c r="A138" s="137" t="str">
        <f t="shared" si="17"/>
        <v>421p</v>
      </c>
      <c r="B138" s="518" t="str">
        <f>+VLOOKUP(LEFT($A138,LEN(A138)-1)*1,Master!$D$27:$G$225,4,FALSE)</f>
        <v>Social Security</v>
      </c>
      <c r="C138" s="519"/>
      <c r="D138" s="519"/>
      <c r="E138" s="519"/>
      <c r="F138" s="519"/>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1.7922557188629819E-2</v>
      </c>
    </row>
    <row r="139" spans="1:20">
      <c r="A139" s="137" t="str">
        <f t="shared" si="17"/>
        <v>422p</v>
      </c>
      <c r="B139" s="518" t="str">
        <f>+VLOOKUP(LEFT($A139,LEN(A139)-1)*1,Master!$D$27:$G$225,4,FALSE)</f>
        <v>Funds for redundant labor</v>
      </c>
      <c r="C139" s="519"/>
      <c r="D139" s="519"/>
      <c r="E139" s="519"/>
      <c r="F139" s="519"/>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3.745058457275225E-3</v>
      </c>
    </row>
    <row r="140" spans="1:20">
      <c r="A140" s="137" t="str">
        <f t="shared" si="17"/>
        <v>423p</v>
      </c>
      <c r="B140" s="518" t="str">
        <f>+VLOOKUP(LEFT($A140,LEN(A140)-1)*1,Master!$D$27:$G$225,4,FALSE)</f>
        <v>Pension and Disability Insurance</v>
      </c>
      <c r="C140" s="519"/>
      <c r="D140" s="519"/>
      <c r="E140" s="519"/>
      <c r="F140" s="519"/>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9.2154919882661154E-2</v>
      </c>
    </row>
    <row r="141" spans="1:20">
      <c r="A141" s="137" t="str">
        <f t="shared" si="17"/>
        <v>424p</v>
      </c>
      <c r="B141" s="518" t="str">
        <f>+VLOOKUP(LEFT($A141,LEN(A141)-1)*1,Master!$D$27:$G$225,4,FALSE)</f>
        <v>Other Health Care Transfers</v>
      </c>
      <c r="C141" s="519"/>
      <c r="D141" s="519"/>
      <c r="E141" s="519"/>
      <c r="F141" s="519"/>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4.1133770647961716E-3</v>
      </c>
    </row>
    <row r="142" spans="1:20">
      <c r="A142" s="137" t="str">
        <f t="shared" si="17"/>
        <v>425p</v>
      </c>
      <c r="B142" s="518" t="str">
        <f>+VLOOKUP(LEFT($A142,LEN(A142)-1)*1,Master!$D$27:$G$225,4,FALSE)</f>
        <v>Other Health Care Insurance</v>
      </c>
      <c r="C142" s="519"/>
      <c r="D142" s="519"/>
      <c r="E142" s="519"/>
      <c r="F142" s="519"/>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3.0687796323959219E-3</v>
      </c>
    </row>
    <row r="143" spans="1:20">
      <c r="A143" s="137" t="str">
        <f t="shared" si="17"/>
        <v>43p</v>
      </c>
      <c r="B143" s="520" t="str">
        <f>+VLOOKUP(LEFT($A143,LEN(A143)-1)*1,Master!$D$27:$G$225,4,FALSE)</f>
        <v xml:space="preserve">Transfers to Institutions, Individuals, NGO and Public Sector </v>
      </c>
      <c r="C143" s="521"/>
      <c r="D143" s="521"/>
      <c r="E143" s="521"/>
      <c r="F143" s="521"/>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4.4745564869779826E-2</v>
      </c>
    </row>
    <row r="144" spans="1:20">
      <c r="A144" s="137" t="str">
        <f t="shared" si="17"/>
        <v>44p</v>
      </c>
      <c r="B144" s="520" t="str">
        <f>+VLOOKUP(LEFT($A144,LEN(A144)-1)*1,Master!$D$27:$G$225,4,FALSE)</f>
        <v>Capital Expenditure</v>
      </c>
      <c r="C144" s="521"/>
      <c r="D144" s="521"/>
      <c r="E144" s="521"/>
      <c r="F144" s="521"/>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6.2582537723077383E-2</v>
      </c>
    </row>
    <row r="145" spans="1:20">
      <c r="A145" s="137" t="str">
        <f t="shared" si="17"/>
        <v>451p</v>
      </c>
      <c r="B145" s="502" t="str">
        <f>+VLOOKUP(LEFT($A145,LEN(A145)-1)*1,Master!$D$27:$G$225,4,FALSE)</f>
        <v>Credits and Borrowings</v>
      </c>
      <c r="C145" s="503"/>
      <c r="D145" s="503"/>
      <c r="E145" s="503"/>
      <c r="F145" s="503"/>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6.2241583858327365E-4</v>
      </c>
    </row>
    <row r="146" spans="1:20">
      <c r="A146" s="137" t="str">
        <f t="shared" si="17"/>
        <v>47p</v>
      </c>
      <c r="B146" s="502" t="str">
        <f>+VLOOKUP(LEFT($A146,LEN(A146)-1)*1,Master!$D$27:$G$225,4,FALSE)</f>
        <v>Reserves</v>
      </c>
      <c r="C146" s="503"/>
      <c r="D146" s="503"/>
      <c r="E146" s="503"/>
      <c r="F146" s="503"/>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6.4180226104652424E-3</v>
      </c>
    </row>
    <row r="147" spans="1:20">
      <c r="A147" s="137" t="str">
        <f t="shared" si="17"/>
        <v>462p</v>
      </c>
      <c r="B147" s="502" t="str">
        <f>+VLOOKUP(LEFT($A147,LEN(A147)-1)*1,Master!$D$27:$G$225,4,FALSE)</f>
        <v>Repayment of Guarantees</v>
      </c>
      <c r="C147" s="503"/>
      <c r="D147" s="503"/>
      <c r="E147" s="503"/>
      <c r="F147" s="503"/>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699</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10" t="str">
        <f>+VLOOKUP(LEFT($A149,LEN(A149)-1)*1,Master!$D$27:$G$225,4,FALSE)</f>
        <v>Surplus / deficit</v>
      </c>
      <c r="C149" s="511"/>
      <c r="D149" s="511"/>
      <c r="E149" s="511"/>
      <c r="F149" s="511"/>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-3.0923741326763718E-2</v>
      </c>
    </row>
    <row r="150" spans="1:20" ht="13.5" thickBot="1">
      <c r="A150" s="138" t="str">
        <f>+CONCATENATE(A56,"p")</f>
        <v>1001p</v>
      </c>
      <c r="B150" s="512" t="str">
        <f>+VLOOKUP(LEFT($A150,LEN(A150)-1)*1,Master!$D$27:$G$225,4,FALSE)</f>
        <v>Primary balance</v>
      </c>
      <c r="C150" s="513"/>
      <c r="D150" s="513"/>
      <c r="E150" s="513"/>
      <c r="F150" s="513"/>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-1.1993062190135366E-2</v>
      </c>
    </row>
    <row r="151" spans="1:20">
      <c r="A151" s="138" t="str">
        <f>+CONCATENATE(A57,"p")</f>
        <v>46p</v>
      </c>
      <c r="B151" s="514" t="str">
        <f>+VLOOKUP(LEFT($A151,LEN(A151)-1)*1,Master!$D$27:$G$225,4,FALSE)</f>
        <v>Repayment of Debt</v>
      </c>
      <c r="C151" s="515"/>
      <c r="D151" s="515"/>
      <c r="E151" s="515"/>
      <c r="F151" s="51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0.11743256799160008</v>
      </c>
    </row>
    <row r="152" spans="1:20">
      <c r="A152" s="138" t="str">
        <f>+CONCATENATE(A58,"p")</f>
        <v>4611p</v>
      </c>
      <c r="B152" s="504" t="str">
        <f>+VLOOKUP(LEFT($A152,LEN(A152)-1)*1,Master!$D$27:$G$225,4,FALSE)</f>
        <v>Repayment of Domestic Debt</v>
      </c>
      <c r="C152" s="505"/>
      <c r="D152" s="505"/>
      <c r="E152" s="505"/>
      <c r="F152" s="505"/>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1.0973626855881014E-2</v>
      </c>
    </row>
    <row r="153" spans="1:20">
      <c r="A153" s="138" t="str">
        <f>+CONCATENATE(A59,"p")</f>
        <v>4612p</v>
      </c>
      <c r="B153" s="502" t="str">
        <f>+VLOOKUP(LEFT($A153,LEN(A153)-1)*1,Master!$D$27:$G$225,4,FALSE)</f>
        <v>Repayment of Foreign Debt</v>
      </c>
      <c r="C153" s="503"/>
      <c r="D153" s="503"/>
      <c r="E153" s="503"/>
      <c r="F153" s="503"/>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9.9911238119980081E-2</v>
      </c>
    </row>
    <row r="154" spans="1:20">
      <c r="A154" s="138" t="str">
        <f>+CONCATENATE(A53,"p")</f>
        <v>4630p</v>
      </c>
      <c r="B154" s="502" t="str">
        <f>+VLOOKUP(LEFT($A154,LEN(A154)-1)*1,Master!$D$27:$G$225,4,FALSE)</f>
        <v>Repayments of Arrears</v>
      </c>
      <c r="C154" s="503"/>
      <c r="D154" s="503"/>
      <c r="E154" s="503"/>
      <c r="F154" s="503"/>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6.5477030157389997E-3</v>
      </c>
    </row>
    <row r="155" spans="1:20" ht="13.5" thickBot="1">
      <c r="A155" s="138"/>
      <c r="B155" s="422" t="s">
        <v>794</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1.5154467320473685E-2</v>
      </c>
    </row>
    <row r="156" spans="1:20" ht="13.5" thickBot="1">
      <c r="A156" s="138" t="str">
        <f t="shared" ref="A156:A161" si="30">+CONCATENATE(A61,"p")</f>
        <v>1002p</v>
      </c>
      <c r="B156" s="506" t="str">
        <f>+VLOOKUP(LEFT($A156,LEN(A156)-1)*1,Master!$D$27:$G$225,4,FALSE)</f>
        <v>Financing needs</v>
      </c>
      <c r="C156" s="507"/>
      <c r="D156" s="507"/>
      <c r="E156" s="507"/>
      <c r="F156" s="507"/>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-0.16351077663883748</v>
      </c>
    </row>
    <row r="157" spans="1:20" ht="13.5" thickBot="1">
      <c r="A157" s="138" t="str">
        <f t="shared" si="30"/>
        <v>1003p</v>
      </c>
      <c r="B157" s="508" t="str">
        <f>+VLOOKUP(LEFT($A157,LEN(A157)-1)*1,Master!$D$27:$G$225,4,FALSE)</f>
        <v>Financing</v>
      </c>
      <c r="C157" s="509"/>
      <c r="D157" s="509"/>
      <c r="E157" s="509"/>
      <c r="F157" s="509"/>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0.16351077663883748</v>
      </c>
    </row>
    <row r="158" spans="1:20">
      <c r="A158" s="138" t="str">
        <f t="shared" si="30"/>
        <v>7511p</v>
      </c>
      <c r="B158" s="504" t="str">
        <f>+VLOOKUP(LEFT($A158,LEN(A158)-1)*1,Master!$D$27:$G$225,4,FALSE)</f>
        <v>Domestic Loans and Borrowings</v>
      </c>
      <c r="C158" s="505"/>
      <c r="D158" s="505"/>
      <c r="E158" s="505"/>
      <c r="F158" s="505"/>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02" t="str">
        <f>+VLOOKUP(LEFT($A159,LEN(A159)-1)*1,Master!$D$27:$G$225,4,FALSE)</f>
        <v>Foreign Loans and Borrowings</v>
      </c>
      <c r="C159" s="503"/>
      <c r="D159" s="503"/>
      <c r="E159" s="503"/>
      <c r="F159" s="503"/>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0.16004510587902129</v>
      </c>
    </row>
    <row r="160" spans="1:20">
      <c r="A160" s="138" t="str">
        <f t="shared" si="30"/>
        <v>72p</v>
      </c>
      <c r="B160" s="502" t="str">
        <f>+VLOOKUP(LEFT($A160,LEN(A160)-1)*1,Master!$D$27:$G$225,4,FALSE)</f>
        <v>Revenues from Selling Assets</v>
      </c>
      <c r="C160" s="503"/>
      <c r="D160" s="503"/>
      <c r="E160" s="503"/>
      <c r="F160" s="503"/>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3.4638782446796993E-3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1.7925151364758822E-6</v>
      </c>
    </row>
  </sheetData>
  <mergeCells count="116">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6:F56"/>
    <mergeCell ref="B57:F57"/>
    <mergeCell ref="B58:F58"/>
    <mergeCell ref="B59:F59"/>
    <mergeCell ref="B61:F61"/>
    <mergeCell ref="B49:F49"/>
    <mergeCell ref="B50:F50"/>
    <mergeCell ref="B51:F51"/>
    <mergeCell ref="B52:F52"/>
    <mergeCell ref="B53:F53"/>
    <mergeCell ref="B54:F54"/>
    <mergeCell ref="B60:F60"/>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topLeftCell="G1" zoomScaleNormal="100" workbookViewId="0">
      <pane ySplit="1" topLeftCell="A2" activePane="bottomLeft" state="frozen"/>
      <selection pane="bottomLeft" activeCell="P37" sqref="P37"/>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741</v>
      </c>
      <c r="H6" s="259" t="s">
        <v>742</v>
      </c>
      <c r="I6" s="259" t="s">
        <v>743</v>
      </c>
      <c r="J6" s="259" t="s">
        <v>744</v>
      </c>
      <c r="K6" s="259" t="s">
        <v>745</v>
      </c>
      <c r="L6" s="259" t="s">
        <v>746</v>
      </c>
      <c r="M6" s="259" t="s">
        <v>747</v>
      </c>
      <c r="N6" s="259" t="s">
        <v>748</v>
      </c>
      <c r="O6" s="259" t="s">
        <v>749</v>
      </c>
      <c r="P6" s="259" t="s">
        <v>750</v>
      </c>
      <c r="Q6" s="259" t="s">
        <v>751</v>
      </c>
      <c r="R6" s="259" t="s">
        <v>752</v>
      </c>
      <c r="S6" s="258"/>
      <c r="T6" s="258"/>
    </row>
    <row r="7" spans="1:20" ht="15" customHeight="1" thickBot="1">
      <c r="A7" s="169"/>
      <c r="B7" s="557" t="s">
        <v>564</v>
      </c>
      <c r="C7" s="455"/>
      <c r="D7" s="455"/>
      <c r="E7" s="455"/>
      <c r="F7" s="455"/>
      <c r="G7" s="463">
        <v>2017</v>
      </c>
      <c r="H7" s="464"/>
      <c r="I7" s="464"/>
      <c r="J7" s="464"/>
      <c r="K7" s="464"/>
      <c r="L7" s="464"/>
      <c r="M7" s="464"/>
      <c r="N7" s="464"/>
      <c r="O7" s="464"/>
      <c r="P7" s="464"/>
      <c r="Q7" s="464"/>
      <c r="R7" s="467"/>
      <c r="S7" s="260" t="str">
        <f>+[1]Master!G246</f>
        <v>BDP</v>
      </c>
      <c r="T7" s="261">
        <v>4299000000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+[1]Master!G243</f>
        <v>Jan - Dec</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+[1]Master!G247</f>
        <v>% BDP</v>
      </c>
    </row>
    <row r="10" spans="1:20" ht="13.5" thickBot="1">
      <c r="A10" s="175">
        <v>7</v>
      </c>
      <c r="B10" s="496" t="s">
        <v>22</v>
      </c>
      <c r="C10" s="497"/>
      <c r="D10" s="497"/>
      <c r="E10" s="497"/>
      <c r="F10" s="497"/>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98" t="s">
        <v>26</v>
      </c>
      <c r="C11" s="499"/>
      <c r="D11" s="499"/>
      <c r="E11" s="499"/>
      <c r="F11" s="499"/>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84" t="s">
        <v>28</v>
      </c>
      <c r="C12" s="485"/>
      <c r="D12" s="485"/>
      <c r="E12" s="485"/>
      <c r="F12" s="48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84" t="s">
        <v>30</v>
      </c>
      <c r="C13" s="485"/>
      <c r="D13" s="485"/>
      <c r="E13" s="485"/>
      <c r="F13" s="48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84" t="s">
        <v>32</v>
      </c>
      <c r="C14" s="485"/>
      <c r="D14" s="485"/>
      <c r="E14" s="485"/>
      <c r="F14" s="48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84" t="s">
        <v>34</v>
      </c>
      <c r="C15" s="485"/>
      <c r="D15" s="485"/>
      <c r="E15" s="485"/>
      <c r="F15" s="48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84" t="s">
        <v>36</v>
      </c>
      <c r="C16" s="485"/>
      <c r="D16" s="485"/>
      <c r="E16" s="485"/>
      <c r="F16" s="48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84" t="s">
        <v>38</v>
      </c>
      <c r="C17" s="485"/>
      <c r="D17" s="485"/>
      <c r="E17" s="485"/>
      <c r="F17" s="48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84" t="s">
        <v>40</v>
      </c>
      <c r="C18" s="485"/>
      <c r="D18" s="485"/>
      <c r="E18" s="485"/>
      <c r="F18" s="48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94" t="s">
        <v>42</v>
      </c>
      <c r="C19" s="495"/>
      <c r="D19" s="495"/>
      <c r="E19" s="495"/>
      <c r="F19" s="495"/>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84" t="s">
        <v>44</v>
      </c>
      <c r="C20" s="485"/>
      <c r="D20" s="485"/>
      <c r="E20" s="485"/>
      <c r="F20" s="48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84" t="s">
        <v>46</v>
      </c>
      <c r="C21" s="485"/>
      <c r="D21" s="485"/>
      <c r="E21" s="485"/>
      <c r="F21" s="48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84" t="s">
        <v>48</v>
      </c>
      <c r="C22" s="485"/>
      <c r="D22" s="485"/>
      <c r="E22" s="485"/>
      <c r="F22" s="48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84" t="s">
        <v>50</v>
      </c>
      <c r="C23" s="485"/>
      <c r="D23" s="485"/>
      <c r="E23" s="485"/>
      <c r="F23" s="48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86" t="s">
        <v>52</v>
      </c>
      <c r="C24" s="487"/>
      <c r="D24" s="487"/>
      <c r="E24" s="487"/>
      <c r="F24" s="48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86" t="s">
        <v>66</v>
      </c>
      <c r="C25" s="487"/>
      <c r="D25" s="487"/>
      <c r="E25" s="487"/>
      <c r="F25" s="48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86" t="s">
        <v>86</v>
      </c>
      <c r="C26" s="487"/>
      <c r="D26" s="487"/>
      <c r="E26" s="487"/>
      <c r="F26" s="48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86" t="s">
        <v>104</v>
      </c>
      <c r="C27" s="487"/>
      <c r="D27" s="487"/>
      <c r="E27" s="487"/>
      <c r="F27" s="48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88" t="s">
        <v>110</v>
      </c>
      <c r="C28" s="489"/>
      <c r="D28" s="489"/>
      <c r="E28" s="489"/>
      <c r="F28" s="489"/>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74" t="s">
        <v>123</v>
      </c>
      <c r="C29" s="475"/>
      <c r="D29" s="475"/>
      <c r="E29" s="475"/>
      <c r="F29" s="475"/>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90" t="s">
        <v>125</v>
      </c>
      <c r="C30" s="491"/>
      <c r="D30" s="491"/>
      <c r="E30" s="491"/>
      <c r="F30" s="491"/>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92" t="s">
        <v>423</v>
      </c>
      <c r="C31" s="493"/>
      <c r="D31" s="493"/>
      <c r="E31" s="493"/>
      <c r="F31" s="493"/>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84" t="s">
        <v>127</v>
      </c>
      <c r="C32" s="485"/>
      <c r="D32" s="485"/>
      <c r="E32" s="485"/>
      <c r="F32" s="48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84" t="s">
        <v>138</v>
      </c>
      <c r="C33" s="485"/>
      <c r="D33" s="485"/>
      <c r="E33" s="485"/>
      <c r="F33" s="48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84" t="s">
        <v>153</v>
      </c>
      <c r="C34" s="485"/>
      <c r="D34" s="485"/>
      <c r="E34" s="485"/>
      <c r="F34" s="48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84" t="s">
        <v>167</v>
      </c>
      <c r="C35" s="485"/>
      <c r="D35" s="485"/>
      <c r="E35" s="485"/>
      <c r="F35" s="48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84" t="s">
        <v>187</v>
      </c>
      <c r="C36" s="485"/>
      <c r="D36" s="485"/>
      <c r="E36" s="485"/>
      <c r="F36" s="48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84" t="s">
        <v>195</v>
      </c>
      <c r="C37" s="485"/>
      <c r="D37" s="485"/>
      <c r="E37" s="485"/>
      <c r="F37" s="48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84" t="s">
        <v>201</v>
      </c>
      <c r="C38" s="485"/>
      <c r="D38" s="485"/>
      <c r="E38" s="485"/>
      <c r="F38" s="48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84" t="s">
        <v>209</v>
      </c>
      <c r="C39" s="485"/>
      <c r="D39" s="485"/>
      <c r="E39" s="485"/>
      <c r="F39" s="48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84" t="s">
        <v>217</v>
      </c>
      <c r="C40" s="485"/>
      <c r="D40" s="485"/>
      <c r="E40" s="485"/>
      <c r="F40" s="48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84" t="s">
        <v>425</v>
      </c>
      <c r="C41" s="485"/>
      <c r="D41" s="485"/>
      <c r="E41" s="485"/>
      <c r="F41" s="48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80" t="s">
        <v>235</v>
      </c>
      <c r="C42" s="481"/>
      <c r="D42" s="481"/>
      <c r="E42" s="481"/>
      <c r="F42" s="48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84" t="s">
        <v>237</v>
      </c>
      <c r="C43" s="485"/>
      <c r="D43" s="485"/>
      <c r="E43" s="485"/>
      <c r="F43" s="48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84" t="s">
        <v>253</v>
      </c>
      <c r="C44" s="485"/>
      <c r="D44" s="485"/>
      <c r="E44" s="485"/>
      <c r="F44" s="48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84" t="s">
        <v>264</v>
      </c>
      <c r="C45" s="485"/>
      <c r="D45" s="485"/>
      <c r="E45" s="485"/>
      <c r="F45" s="48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84" t="s">
        <v>279</v>
      </c>
      <c r="C46" s="485"/>
      <c r="D46" s="485"/>
      <c r="E46" s="485"/>
      <c r="F46" s="48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84" t="s">
        <v>283</v>
      </c>
      <c r="C47" s="485"/>
      <c r="D47" s="485"/>
      <c r="E47" s="485"/>
      <c r="F47" s="48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82" t="s">
        <v>291</v>
      </c>
      <c r="C48" s="483"/>
      <c r="D48" s="483"/>
      <c r="E48" s="483"/>
      <c r="F48" s="483"/>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82" t="s">
        <v>325</v>
      </c>
      <c r="C49" s="483"/>
      <c r="D49" s="483"/>
      <c r="E49" s="483"/>
      <c r="F49" s="483"/>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52" t="s">
        <v>345</v>
      </c>
      <c r="C50" s="453"/>
      <c r="D50" s="453"/>
      <c r="E50" s="453"/>
      <c r="F50" s="45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52" t="s">
        <v>372</v>
      </c>
      <c r="C51" s="453"/>
      <c r="D51" s="453"/>
      <c r="E51" s="453"/>
      <c r="F51" s="45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0" t="s">
        <v>364</v>
      </c>
      <c r="C52" s="471"/>
      <c r="D52" s="471"/>
      <c r="E52" s="471"/>
      <c r="F52" s="471"/>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0" t="s">
        <v>370</v>
      </c>
      <c r="C53" s="471"/>
      <c r="D53" s="471"/>
      <c r="E53" s="471"/>
      <c r="F53" s="471"/>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16" t="s">
        <v>699</v>
      </c>
      <c r="C54" s="517"/>
      <c r="D54" s="517"/>
      <c r="E54" s="517"/>
      <c r="F54" s="51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557</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795</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559</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80" t="s">
        <v>357</v>
      </c>
      <c r="C58" s="481"/>
      <c r="D58" s="481"/>
      <c r="E58" s="481"/>
      <c r="F58" s="48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68" t="s">
        <v>360</v>
      </c>
      <c r="C59" s="469"/>
      <c r="D59" s="469"/>
      <c r="E59" s="469"/>
      <c r="F59" s="469"/>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52" t="s">
        <v>362</v>
      </c>
      <c r="C60" s="453"/>
      <c r="D60" s="453"/>
      <c r="E60" s="453"/>
      <c r="F60" s="45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72" t="str">
        <f>+VLOOKUP($A61,Master!$D$27:$G$225,4,FALSE)</f>
        <v>Financing needs</v>
      </c>
      <c r="C61" s="473"/>
      <c r="D61" s="473"/>
      <c r="E61" s="473"/>
      <c r="F61" s="473"/>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74" t="str">
        <f>+VLOOKUP($A62,Master!$D$27:$G$225,4,FALSE)</f>
        <v>Financing</v>
      </c>
      <c r="C62" s="475"/>
      <c r="D62" s="475"/>
      <c r="E62" s="475"/>
      <c r="F62" s="475"/>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68" t="str">
        <f>+VLOOKUP($A63,Master!$D$27:$G$225,4,FALSE)</f>
        <v>Domestic Loans and Borrowings</v>
      </c>
      <c r="C63" s="469"/>
      <c r="D63" s="469"/>
      <c r="E63" s="469"/>
      <c r="F63" s="469"/>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52" t="str">
        <f>+VLOOKUP($A64,Master!$D$27:$G$225,4,FALSE)</f>
        <v>Foreign Loans and Borrowings</v>
      </c>
      <c r="C64" s="453"/>
      <c r="D64" s="453"/>
      <c r="E64" s="453"/>
      <c r="F64" s="45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52" t="str">
        <f>+VLOOKUP($A65,Master!$D$27:$G$225,4,FALSE)</f>
        <v>Revenues from Selling Assets</v>
      </c>
      <c r="C65" s="453"/>
      <c r="D65" s="453"/>
      <c r="E65" s="453"/>
      <c r="F65" s="45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39" t="str">
        <f>+[1]Master!G250</f>
        <v>Plan ostvarenja budžeta</v>
      </c>
      <c r="C102" s="540"/>
      <c r="D102" s="540"/>
      <c r="E102" s="540"/>
      <c r="F102" s="540"/>
      <c r="G102" s="532">
        <v>2017</v>
      </c>
      <c r="H102" s="533"/>
      <c r="I102" s="533"/>
      <c r="J102" s="533"/>
      <c r="K102" s="533"/>
      <c r="L102" s="533"/>
      <c r="M102" s="533"/>
      <c r="N102" s="533"/>
      <c r="O102" s="533"/>
      <c r="P102" s="533"/>
      <c r="Q102" s="533"/>
      <c r="R102" s="534"/>
      <c r="S102" s="115" t="str">
        <f>+S7</f>
        <v>BDP</v>
      </c>
      <c r="T102" s="116">
        <f>+T7</f>
        <v>4299000000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+[1]Master!G244</f>
        <v>Jan - Dec</v>
      </c>
      <c r="T103" s="534">
        <f>+T8</f>
        <v>0</v>
      </c>
    </row>
    <row r="104" spans="1:21" ht="13.5" thickBot="1">
      <c r="B104" s="544"/>
      <c r="C104" s="545"/>
      <c r="D104" s="545"/>
      <c r="E104" s="545"/>
      <c r="F104" s="546"/>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BDP</v>
      </c>
    </row>
    <row r="105" spans="1:21" ht="13.5" thickBot="1">
      <c r="A105" s="137" t="str">
        <f t="shared" ref="A105:A147" si="18">+CONCATENATE(A10,"p")</f>
        <v>7p</v>
      </c>
      <c r="B105" s="535" t="str">
        <f>+VLOOKUP(LEFT($A105,LEN(A105)-1)*1,[1]Master!$D$25:$G$223,4,FALSE)</f>
        <v>Prihodi budžeta</v>
      </c>
      <c r="C105" s="536"/>
      <c r="D105" s="536"/>
      <c r="E105" s="536"/>
      <c r="F105" s="536"/>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37" t="str">
        <f>+VLOOKUP(LEFT($A106,LEN(A106)-1)*1,[1]Master!$D$25:$G$223,4,FALSE)</f>
        <v>Porezi</v>
      </c>
      <c r="C106" s="538"/>
      <c r="D106" s="538"/>
      <c r="E106" s="538"/>
      <c r="F106" s="538"/>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18" t="str">
        <f>+VLOOKUP(LEFT($A107,LEN(A107)-1)*1,[1]Master!$D$25:$G$223,4,FALSE)</f>
        <v>Porez na dohodak fizičkih lica</v>
      </c>
      <c r="C107" s="519"/>
      <c r="D107" s="519"/>
      <c r="E107" s="519"/>
      <c r="F107" s="519"/>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18" t="str">
        <f>+VLOOKUP(LEFT($A108,LEN(A108)-1)*1,[1]Master!$D$25:$G$223,4,FALSE)</f>
        <v>Porez na dobit pravnih lica</v>
      </c>
      <c r="C108" s="519"/>
      <c r="D108" s="519"/>
      <c r="E108" s="519"/>
      <c r="F108" s="519"/>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18" t="str">
        <f>+VLOOKUP(LEFT($A109,LEN(A109)-1)*1,[1]Master!$D$25:$G$223,4,FALSE)</f>
        <v>Porez na promet nepokretnosti</v>
      </c>
      <c r="C109" s="519"/>
      <c r="D109" s="519"/>
      <c r="E109" s="519"/>
      <c r="F109" s="519"/>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18" t="str">
        <f>+VLOOKUP(LEFT($A110,LEN(A110)-1)*1,[1]Master!$D$25:$G$223,4,FALSE)</f>
        <v>Porez na dodatu vrijednost</v>
      </c>
      <c r="C110" s="519"/>
      <c r="D110" s="519"/>
      <c r="E110" s="519"/>
      <c r="F110" s="519"/>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18" t="str">
        <f>+VLOOKUP(LEFT($A111,LEN(A111)-1)*1,[1]Master!$D$25:$G$223,4,FALSE)</f>
        <v>Akcize</v>
      </c>
      <c r="C111" s="519"/>
      <c r="D111" s="519"/>
      <c r="E111" s="519"/>
      <c r="F111" s="519"/>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18" t="str">
        <f>+VLOOKUP(LEFT($A112,LEN(A112)-1)*1,[1]Master!$D$25:$G$223,4,FALSE)</f>
        <v>Porez na međunarodnu trgovinu i transakcije</v>
      </c>
      <c r="C112" s="519"/>
      <c r="D112" s="519"/>
      <c r="E112" s="519"/>
      <c r="F112" s="519"/>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18" t="str">
        <f>+VLOOKUP(LEFT($A113,LEN(A113)-1)*1,[1]Master!$D$25:$G$223,4,FALSE)</f>
        <v>Ostali državni porezi</v>
      </c>
      <c r="C113" s="519"/>
      <c r="D113" s="519"/>
      <c r="E113" s="519"/>
      <c r="F113" s="519"/>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0" t="str">
        <f>+VLOOKUP(LEFT($A114,LEN(A114)-1)*1,[1]Master!$D$25:$G$223,4,FALSE)</f>
        <v>Doprinosi</v>
      </c>
      <c r="C114" s="531"/>
      <c r="D114" s="531"/>
      <c r="E114" s="531"/>
      <c r="F114" s="531"/>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18" t="str">
        <f>+VLOOKUP(LEFT($A115,LEN(A115)-1)*1,[1]Master!$D$25:$G$223,4,FALSE)</f>
        <v>Doprinosi za penzijsko i invalidsko osiguranje</v>
      </c>
      <c r="C115" s="519"/>
      <c r="D115" s="519"/>
      <c r="E115" s="519"/>
      <c r="F115" s="519"/>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18" t="str">
        <f>+VLOOKUP(LEFT($A116,LEN(A116)-1)*1,[1]Master!$D$25:$G$223,4,FALSE)</f>
        <v>Doprinosi za zdravstveno osiguranje</v>
      </c>
      <c r="C116" s="519"/>
      <c r="D116" s="519"/>
      <c r="E116" s="519"/>
      <c r="F116" s="519"/>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18" t="str">
        <f>+VLOOKUP(LEFT($A117,LEN(A117)-1)*1,[1]Master!$D$25:$G$223,4,FALSE)</f>
        <v>Doprinosi za osiguranje od nezaposlenosti</v>
      </c>
      <c r="C117" s="519"/>
      <c r="D117" s="519"/>
      <c r="E117" s="519"/>
      <c r="F117" s="519"/>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18" t="str">
        <f>+VLOOKUP(LEFT($A118,LEN(A118)-1)*1,[1]Master!$D$25:$G$223,4,FALSE)</f>
        <v>Ostali doprinosi</v>
      </c>
      <c r="C118" s="519"/>
      <c r="D118" s="519"/>
      <c r="E118" s="519"/>
      <c r="F118" s="519"/>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22" t="str">
        <f>+VLOOKUP(LEFT($A119,LEN(A119)-1)*1,[1]Master!$D$25:$G$223,4,FALSE)</f>
        <v>Takse</v>
      </c>
      <c r="C119" s="523"/>
      <c r="D119" s="523"/>
      <c r="E119" s="523"/>
      <c r="F119" s="523"/>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22" t="str">
        <f>+VLOOKUP(LEFT($A120,LEN(A120)-1)*1,[1]Master!$D$25:$G$223,4,FALSE)</f>
        <v>Naknade</v>
      </c>
      <c r="C120" s="523"/>
      <c r="D120" s="523"/>
      <c r="E120" s="523"/>
      <c r="F120" s="523"/>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22" t="str">
        <f>+VLOOKUP(LEFT($A121,LEN(A121)-1)*1,[1]Master!$D$25:$G$223,4,FALSE)</f>
        <v>Ostali prihodi</v>
      </c>
      <c r="C121" s="523"/>
      <c r="D121" s="523"/>
      <c r="E121" s="523"/>
      <c r="F121" s="523"/>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22" t="str">
        <f>+VLOOKUP(LEFT($A122,LEN(A122)-1)*1,[1]Master!$D$25:$G$223,4,FALSE)</f>
        <v>Primici od otplate kredita i sredstva prenesena iz prethodne godine</v>
      </c>
      <c r="C122" s="523"/>
      <c r="D122" s="523"/>
      <c r="E122" s="523"/>
      <c r="F122" s="523"/>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24" t="str">
        <f>+VLOOKUP(LEFT($A123,LEN(A123)-1)*1,[1]Master!$D$25:$G$223,4,FALSE)</f>
        <v>Donacije i transferi</v>
      </c>
      <c r="C123" s="525"/>
      <c r="D123" s="525"/>
      <c r="E123" s="525"/>
      <c r="F123" s="52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08" t="str">
        <f>+VLOOKUP(LEFT($A124,LEN(A124)-1)*1,[1]Master!$D$25:$G$223,4,FALSE)</f>
        <v>Budžetki izdaci</v>
      </c>
      <c r="C124" s="509"/>
      <c r="D124" s="509"/>
      <c r="E124" s="509"/>
      <c r="F124" s="509"/>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26" t="str">
        <f>+VLOOKUP(LEFT($A125,LEN(A125)-1)*1,[1]Master!$D$25:$G$223,4,FALSE)</f>
        <v>Tekući izdaci</v>
      </c>
      <c r="C125" s="527"/>
      <c r="D125" s="527"/>
      <c r="E125" s="527"/>
      <c r="F125" s="527"/>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28" t="str">
        <f>+VLOOKUP(LEFT($A126,LEN(A126)-1)*1,[1]Master!$D$25:$G$223,4,FALSE)</f>
        <v>Tekući budžetski izdaci</v>
      </c>
      <c r="C126" s="529"/>
      <c r="D126" s="529"/>
      <c r="E126" s="529"/>
      <c r="F126" s="529"/>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18" t="str">
        <f>+VLOOKUP(LEFT($A127,LEN(A127)-1)*1,[1]Master!$D$25:$G$223,4,FALSE)</f>
        <v>Bruto zarade i doprinosi na teret poslodavca</v>
      </c>
      <c r="C127" s="519"/>
      <c r="D127" s="519"/>
      <c r="E127" s="519"/>
      <c r="F127" s="519"/>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18" t="str">
        <f>+VLOOKUP(LEFT($A128,LEN(A128)-1)*1,[1]Master!$D$25:$G$223,4,FALSE)</f>
        <v>Ostala lična primanja</v>
      </c>
      <c r="C128" s="519"/>
      <c r="D128" s="519"/>
      <c r="E128" s="519"/>
      <c r="F128" s="519"/>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18" t="str">
        <f>+VLOOKUP(LEFT($A129,LEN(A129)-1)*1,[1]Master!$D$25:$G$223,4,FALSE)</f>
        <v>Rashodi za materijal</v>
      </c>
      <c r="C129" s="519"/>
      <c r="D129" s="519"/>
      <c r="E129" s="519"/>
      <c r="F129" s="519"/>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18" t="str">
        <f>+VLOOKUP(LEFT($A130,LEN(A130)-1)*1,[1]Master!$D$25:$G$223,4,FALSE)</f>
        <v>Rashodi za usluge</v>
      </c>
      <c r="C130" s="519"/>
      <c r="D130" s="519"/>
      <c r="E130" s="519"/>
      <c r="F130" s="519"/>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18" t="str">
        <f>+VLOOKUP(LEFT($A131,LEN(A131)-1)*1,[1]Master!$D$25:$G$223,4,FALSE)</f>
        <v>Rashodi za tekuće održavanje</v>
      </c>
      <c r="C131" s="519"/>
      <c r="D131" s="519"/>
      <c r="E131" s="519"/>
      <c r="F131" s="519"/>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18" t="str">
        <f>+VLOOKUP(LEFT($A132,LEN(A132)-1)*1,[1]Master!$D$25:$G$223,4,FALSE)</f>
        <v>Kamate</v>
      </c>
      <c r="C132" s="519"/>
      <c r="D132" s="519"/>
      <c r="E132" s="519"/>
      <c r="F132" s="519"/>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18" t="str">
        <f>+VLOOKUP(LEFT($A133,LEN(A133)-1)*1,[1]Master!$D$25:$G$223,4,FALSE)</f>
        <v>Renta</v>
      </c>
      <c r="C133" s="519"/>
      <c r="D133" s="519"/>
      <c r="E133" s="519"/>
      <c r="F133" s="519"/>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18" t="str">
        <f>+VLOOKUP(LEFT($A134,LEN(A134)-1)*1,[1]Master!$D$25:$G$223,4,FALSE)</f>
        <v>Subvencije</v>
      </c>
      <c r="C134" s="519"/>
      <c r="D134" s="519"/>
      <c r="E134" s="519"/>
      <c r="F134" s="519"/>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18" t="str">
        <f>+VLOOKUP(LEFT($A135,LEN(A135)-1)*1,[1]Master!$D$25:$G$223,4,FALSE)</f>
        <v>Ostali izdaci</v>
      </c>
      <c r="C135" s="519"/>
      <c r="D135" s="519"/>
      <c r="E135" s="519"/>
      <c r="F135" s="519"/>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18" t="str">
        <f>+VLOOKUP(LEFT($A136,LEN(A136)-1)*1,[1]Master!$D$25:$G$223,4,FALSE)</f>
        <v>Kapitalni izdaci u tekućem budžetu</v>
      </c>
      <c r="C136" s="519"/>
      <c r="D136" s="519"/>
      <c r="E136" s="519"/>
      <c r="F136" s="519"/>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14" t="str">
        <f>+VLOOKUP(LEFT($A137,LEN(A137)-1)*1,[1]Master!$D$25:$G$223,4,FALSE)</f>
        <v>Transferi za socijalnu zaštitu</v>
      </c>
      <c r="C137" s="515"/>
      <c r="D137" s="515"/>
      <c r="E137" s="515"/>
      <c r="F137" s="51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18" t="str">
        <f>+VLOOKUP(LEFT($A138,LEN(A138)-1)*1,[1]Master!$D$25:$G$223,4,FALSE)</f>
        <v>Prava iz oblasti socijalne zaštite</v>
      </c>
      <c r="C138" s="519"/>
      <c r="D138" s="519"/>
      <c r="E138" s="519"/>
      <c r="F138" s="519"/>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18" t="str">
        <f>+VLOOKUP(LEFT($A139,LEN(A139)-1)*1,[1]Master!$D$25:$G$223,4,FALSE)</f>
        <v>Sredstva za tehnološke viškove</v>
      </c>
      <c r="C139" s="519"/>
      <c r="D139" s="519"/>
      <c r="E139" s="519"/>
      <c r="F139" s="519"/>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18" t="str">
        <f>+VLOOKUP(LEFT($A140,LEN(A140)-1)*1,[1]Master!$D$25:$G$223,4,FALSE)</f>
        <v>Prava iz oblasti penzijskog i invalidskog osiguranja</v>
      </c>
      <c r="C140" s="519"/>
      <c r="D140" s="519"/>
      <c r="E140" s="519"/>
      <c r="F140" s="519"/>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18" t="str">
        <f>+VLOOKUP(LEFT($A141,LEN(A141)-1)*1,[1]Master!$D$25:$G$223,4,FALSE)</f>
        <v>Ostala prava iz oblasti zdravstvene zaštite</v>
      </c>
      <c r="C141" s="519"/>
      <c r="D141" s="519"/>
      <c r="E141" s="519"/>
      <c r="F141" s="519"/>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18" t="str">
        <f>+VLOOKUP(LEFT($A142,LEN(A142)-1)*1,[1]Master!$D$25:$G$223,4,FALSE)</f>
        <v>Ostala prava iz zdravstvenog osiguranja</v>
      </c>
      <c r="C142" s="519"/>
      <c r="D142" s="519"/>
      <c r="E142" s="519"/>
      <c r="F142" s="519"/>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20" t="str">
        <f>+VLOOKUP(LEFT($A143,LEN(A143)-1)*1,[1]Master!$D$25:$G$223,4,FALSE)</f>
        <v xml:space="preserve">Transferi institucijama, pojedincima, nevladinom i javnom sektoru </v>
      </c>
      <c r="C143" s="521"/>
      <c r="D143" s="521"/>
      <c r="E143" s="521"/>
      <c r="F143" s="521"/>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20" t="str">
        <f>+VLOOKUP(LEFT($A144,LEN(A144)-1)*1,[1]Master!$D$25:$G$223,4,FALSE)</f>
        <v>Kapitalni budžet</v>
      </c>
      <c r="C144" s="521"/>
      <c r="D144" s="521"/>
      <c r="E144" s="521"/>
      <c r="F144" s="521"/>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02" t="str">
        <f>+VLOOKUP(LEFT($A145,LEN(A145)-1)*1,[1]Master!$D$25:$G$223,4,FALSE)</f>
        <v>Pozajmice i krediti</v>
      </c>
      <c r="C145" s="503"/>
      <c r="D145" s="503"/>
      <c r="E145" s="503"/>
      <c r="F145" s="503"/>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02" t="str">
        <f>+VLOOKUP(LEFT($A146,LEN(A146)-1)*1,[1]Master!$D$25:$G$223,4,FALSE)</f>
        <v>Rezerve</v>
      </c>
      <c r="C146" s="503"/>
      <c r="D146" s="503"/>
      <c r="E146" s="503"/>
      <c r="F146" s="503"/>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02" t="str">
        <f>+VLOOKUP(LEFT($A147,LEN(A147)-1)*1,[1]Master!$D$25:$G$223,4,FALSE)</f>
        <v>Otplata garancija</v>
      </c>
      <c r="C147" s="503"/>
      <c r="D147" s="503"/>
      <c r="E147" s="503"/>
      <c r="F147" s="503"/>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698</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+VLOOKUP(LEFT($A149,LEN(A149)-1)*1,[1]Master!$D$25:$G$223,4,FALSE)</f>
        <v>Suficit / deficit</v>
      </c>
      <c r="C149" s="511"/>
      <c r="D149" s="511"/>
      <c r="E149" s="511"/>
      <c r="F149" s="511"/>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12" t="str">
        <f>+VLOOKUP(LEFT($A150,LEN(A150)-1)*1,[1]Master!$D$25:$G$223,4,FALSE)</f>
        <v>Primarni bilans</v>
      </c>
      <c r="C150" s="513"/>
      <c r="D150" s="513"/>
      <c r="E150" s="513"/>
      <c r="F150" s="513"/>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14" t="str">
        <f>+VLOOKUP(LEFT($A151,LEN(A151)-1)*1,[1]Master!$D$25:$G$223,4,FALSE)</f>
        <v>Otplata dugova</v>
      </c>
      <c r="C151" s="515"/>
      <c r="D151" s="515"/>
      <c r="E151" s="515"/>
      <c r="F151" s="51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04" t="str">
        <f>+VLOOKUP(LEFT($A152,LEN(A152)-1)*1,[1]Master!$D$25:$G$223,4,FALSE)</f>
        <v>Otplata hartija od vrijednosti i kredita rezidentima</v>
      </c>
      <c r="C152" s="505"/>
      <c r="D152" s="505"/>
      <c r="E152" s="505"/>
      <c r="F152" s="505"/>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02" t="str">
        <f>+VLOOKUP(LEFT($A153,LEN(A153)-1)*1,[1]Master!$D$25:$G$223,4,FALSE)</f>
        <v>Otplata hartija od vrijednosti i kredita nerezidentima</v>
      </c>
      <c r="C153" s="503"/>
      <c r="D153" s="503"/>
      <c r="E153" s="503"/>
      <c r="F153" s="503"/>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16" t="str">
        <f>+VLOOKUP(LEFT($A154,LEN(A154)-1)*1,[1]Master!$D$25:$G$223,4,FALSE)</f>
        <v>Otplata obaveza iz prethodnih godina</v>
      </c>
      <c r="C154" s="517"/>
      <c r="D154" s="517"/>
      <c r="E154" s="517"/>
      <c r="F154" s="51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06" t="str">
        <f>+VLOOKUP(LEFT($A155,LEN(A155)-1)*1,[1]Master!$D$25:$G$223,4,FALSE)</f>
        <v>Nedostajuća sredstva</v>
      </c>
      <c r="C155" s="507"/>
      <c r="D155" s="507"/>
      <c r="E155" s="507"/>
      <c r="F155" s="507"/>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08" t="str">
        <f>+VLOOKUP(LEFT($A156,LEN(A156)-1)*1,[1]Master!$D$25:$G$223,4,FALSE)</f>
        <v>Finansiranje</v>
      </c>
      <c r="C156" s="509"/>
      <c r="D156" s="509"/>
      <c r="E156" s="509"/>
      <c r="F156" s="509"/>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04" t="str">
        <f>+VLOOKUP(LEFT($A157,LEN(A157)-1)*1,[1]Master!$D$25:$G$223,4,FALSE)</f>
        <v>Pozajmice i krediti od domaćih izvora</v>
      </c>
      <c r="C157" s="505"/>
      <c r="D157" s="505"/>
      <c r="E157" s="505"/>
      <c r="F157" s="505"/>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02" t="str">
        <f>+VLOOKUP(LEFT($A158,LEN(A158)-1)*1,[1]Master!$D$25:$G$223,4,FALSE)</f>
        <v>Pozajmice i krediti od inostranih izvora</v>
      </c>
      <c r="C158" s="503"/>
      <c r="D158" s="503"/>
      <c r="E158" s="503"/>
      <c r="F158" s="503"/>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02" t="str">
        <f>+VLOOKUP(LEFT($A159,LEN(A159)-1)*1,[1]Master!$D$25:$G$223,4,FALSE)</f>
        <v>Primici od prodaje imovine</v>
      </c>
      <c r="C159" s="503"/>
      <c r="D159" s="503"/>
      <c r="E159" s="503"/>
      <c r="F159" s="503"/>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7:F9"/>
    <mergeCell ref="G7:R7"/>
    <mergeCell ref="S8:T8"/>
    <mergeCell ref="B10:F10"/>
    <mergeCell ref="B11:F11"/>
    <mergeCell ref="B12:F12"/>
    <mergeCell ref="B19:F19"/>
    <mergeCell ref="B20:F20"/>
    <mergeCell ref="B21:F21"/>
    <mergeCell ref="B22:F22"/>
    <mergeCell ref="B23:F23"/>
    <mergeCell ref="B24:F24"/>
    <mergeCell ref="B13:F13"/>
    <mergeCell ref="B14:F14"/>
    <mergeCell ref="B15:F15"/>
    <mergeCell ref="B16:F16"/>
    <mergeCell ref="B17:F17"/>
    <mergeCell ref="B18:F18"/>
    <mergeCell ref="B31:F31"/>
    <mergeCell ref="B32:F32"/>
    <mergeCell ref="B33:F33"/>
    <mergeCell ref="B34:F34"/>
    <mergeCell ref="B35:F35"/>
    <mergeCell ref="B36:F36"/>
    <mergeCell ref="B25:F25"/>
    <mergeCell ref="B26:F26"/>
    <mergeCell ref="B27:F27"/>
    <mergeCell ref="B28:F28"/>
    <mergeCell ref="B29:F29"/>
    <mergeCell ref="B30:F30"/>
    <mergeCell ref="B43:F43"/>
    <mergeCell ref="B44:F44"/>
    <mergeCell ref="B45:F45"/>
    <mergeCell ref="B46:F46"/>
    <mergeCell ref="B47:F47"/>
    <mergeCell ref="B48:F48"/>
    <mergeCell ref="B37:F37"/>
    <mergeCell ref="B38:F38"/>
    <mergeCell ref="B39:F39"/>
    <mergeCell ref="B40:F40"/>
    <mergeCell ref="B41:F41"/>
    <mergeCell ref="B42:F42"/>
    <mergeCell ref="B55:F55"/>
    <mergeCell ref="B57:F57"/>
    <mergeCell ref="B58:F58"/>
    <mergeCell ref="B59:F59"/>
    <mergeCell ref="B60:F60"/>
    <mergeCell ref="B61:F61"/>
    <mergeCell ref="B49:F49"/>
    <mergeCell ref="B50:F50"/>
    <mergeCell ref="B51:F51"/>
    <mergeCell ref="B52:F52"/>
    <mergeCell ref="B53:F53"/>
    <mergeCell ref="B54:F54"/>
    <mergeCell ref="S103:T103"/>
    <mergeCell ref="B105:F105"/>
    <mergeCell ref="B106:F106"/>
    <mergeCell ref="B107:F107"/>
    <mergeCell ref="B108:F108"/>
    <mergeCell ref="B109:F109"/>
    <mergeCell ref="B62:F62"/>
    <mergeCell ref="B63:F63"/>
    <mergeCell ref="B64:F64"/>
    <mergeCell ref="B65:F65"/>
    <mergeCell ref="B102:F104"/>
    <mergeCell ref="G102:R102"/>
    <mergeCell ref="B116:F116"/>
    <mergeCell ref="B117:F117"/>
    <mergeCell ref="B118:F118"/>
    <mergeCell ref="B119:F119"/>
    <mergeCell ref="B120:F120"/>
    <mergeCell ref="B121:F121"/>
    <mergeCell ref="B110:F110"/>
    <mergeCell ref="B111:F111"/>
    <mergeCell ref="B112:F112"/>
    <mergeCell ref="B113:F113"/>
    <mergeCell ref="B114:F114"/>
    <mergeCell ref="B115:F115"/>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M69" sqref="M69"/>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707</v>
      </c>
      <c r="H6" s="259" t="s">
        <v>708</v>
      </c>
      <c r="I6" s="259" t="s">
        <v>709</v>
      </c>
      <c r="J6" s="259" t="s">
        <v>710</v>
      </c>
      <c r="K6" s="259" t="s">
        <v>711</v>
      </c>
      <c r="L6" s="259" t="s">
        <v>712</v>
      </c>
      <c r="M6" s="259" t="s">
        <v>713</v>
      </c>
      <c r="N6" s="259" t="s">
        <v>714</v>
      </c>
      <c r="O6" s="259" t="s">
        <v>715</v>
      </c>
      <c r="P6" s="259" t="s">
        <v>716</v>
      </c>
      <c r="Q6" s="259" t="s">
        <v>717</v>
      </c>
      <c r="R6" s="259" t="s">
        <v>718</v>
      </c>
      <c r="S6" s="258"/>
      <c r="T6" s="258"/>
    </row>
    <row r="7" spans="1:20" ht="15" customHeight="1" thickBot="1">
      <c r="A7" s="169"/>
      <c r="B7" s="557" t="str">
        <f>+Master!G251</f>
        <v>Budget Execution</v>
      </c>
      <c r="C7" s="455"/>
      <c r="D7" s="455"/>
      <c r="E7" s="455"/>
      <c r="F7" s="455"/>
      <c r="G7" s="463">
        <v>2016</v>
      </c>
      <c r="H7" s="464"/>
      <c r="I7" s="464"/>
      <c r="J7" s="464"/>
      <c r="K7" s="464"/>
      <c r="L7" s="464"/>
      <c r="M7" s="464"/>
      <c r="N7" s="464"/>
      <c r="O7" s="464"/>
      <c r="P7" s="464"/>
      <c r="Q7" s="464"/>
      <c r="R7" s="467"/>
      <c r="S7" s="260" t="str">
        <f>+Master!G248</f>
        <v>GDP</v>
      </c>
      <c r="T7" s="261">
        <v>3954200000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tr">
        <f>+Master!G245</f>
        <v>Jan - May</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96" t="str">
        <f>+VLOOKUP($A10,Master!$D$27:$G$225,4,FALSE)</f>
        <v>Total Revenues</v>
      </c>
      <c r="C10" s="497"/>
      <c r="D10" s="497"/>
      <c r="E10" s="497"/>
      <c r="F10" s="497"/>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98" t="str">
        <f>+VLOOKUP($A11,Master!$D$27:$G$225,4,FALSE)</f>
        <v>Taxes</v>
      </c>
      <c r="C11" s="499"/>
      <c r="D11" s="499"/>
      <c r="E11" s="499"/>
      <c r="F11" s="499"/>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84" t="str">
        <f>+VLOOKUP($A12,Master!$D$27:$G$225,4,FALSE)</f>
        <v>Personal Income Tax</v>
      </c>
      <c r="C12" s="485"/>
      <c r="D12" s="485"/>
      <c r="E12" s="485"/>
      <c r="F12" s="48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84" t="str">
        <f>+VLOOKUP($A13,Master!$D$27:$G$225,4,FALSE)</f>
        <v>Corporate Income Tax</v>
      </c>
      <c r="C13" s="485"/>
      <c r="D13" s="485"/>
      <c r="E13" s="485"/>
      <c r="F13" s="48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84" t="str">
        <f>+VLOOKUP($A14,Master!$D$27:$G$225,4,FALSE)</f>
        <v xml:space="preserve">Taxes on Sales of Property </v>
      </c>
      <c r="C14" s="485"/>
      <c r="D14" s="485"/>
      <c r="E14" s="485"/>
      <c r="F14" s="48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84" t="str">
        <f>+VLOOKUP($A15,Master!$D$27:$G$225,4,FALSE)</f>
        <v>Value Added Tax</v>
      </c>
      <c r="C15" s="485"/>
      <c r="D15" s="485"/>
      <c r="E15" s="485"/>
      <c r="F15" s="48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84" t="str">
        <f>+VLOOKUP($A16,Master!$D$27:$G$225,4,FALSE)</f>
        <v>Excises</v>
      </c>
      <c r="C16" s="485"/>
      <c r="D16" s="485"/>
      <c r="E16" s="485"/>
      <c r="F16" s="48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84" t="str">
        <f>+VLOOKUP($A17,Master!$D$27:$G$225,4,FALSE)</f>
        <v>Tax on International Trade and Transactions</v>
      </c>
      <c r="C17" s="485"/>
      <c r="D17" s="485"/>
      <c r="E17" s="485"/>
      <c r="F17" s="48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84" t="str">
        <f>+VLOOKUP($A18,Master!$D$27:$G$225,4,FALSE)</f>
        <v>Other Republic Taxes</v>
      </c>
      <c r="C18" s="485"/>
      <c r="D18" s="485"/>
      <c r="E18" s="485"/>
      <c r="F18" s="48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94" t="str">
        <f>+VLOOKUP($A19,Master!$D$27:$G$225,4,FALSE)</f>
        <v>Contributions</v>
      </c>
      <c r="C19" s="495"/>
      <c r="D19" s="495"/>
      <c r="E19" s="495"/>
      <c r="F19" s="495"/>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84" t="str">
        <f>+VLOOKUP($A20,Master!$D$27:$G$225,4,FALSE)</f>
        <v>Contributions for Pension and Disability Insurance</v>
      </c>
      <c r="C20" s="485"/>
      <c r="D20" s="485"/>
      <c r="E20" s="485"/>
      <c r="F20" s="48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84" t="str">
        <f>+VLOOKUP($A21,Master!$D$27:$G$225,4,FALSE)</f>
        <v>Contributions for Health Insurance</v>
      </c>
      <c r="C21" s="485"/>
      <c r="D21" s="485"/>
      <c r="E21" s="485"/>
      <c r="F21" s="48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84" t="str">
        <f>+VLOOKUP($A22,Master!$D$27:$G$225,4,FALSE)</f>
        <v>Contributions for  Unemployment Insurance</v>
      </c>
      <c r="C22" s="485"/>
      <c r="D22" s="485"/>
      <c r="E22" s="485"/>
      <c r="F22" s="48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84" t="str">
        <f>+VLOOKUP($A23,Master!$D$27:$G$225,4,FALSE)</f>
        <v>Other contributions</v>
      </c>
      <c r="C23" s="485"/>
      <c r="D23" s="485"/>
      <c r="E23" s="485"/>
      <c r="F23" s="48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86" t="str">
        <f>+VLOOKUP($A24,Master!$D$27:$G$225,4,FALSE)</f>
        <v>Duties</v>
      </c>
      <c r="C24" s="487"/>
      <c r="D24" s="487"/>
      <c r="E24" s="487"/>
      <c r="F24" s="48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86" t="str">
        <f>+VLOOKUP($A25,Master!$D$27:$G$225,4,FALSE)</f>
        <v>Fees</v>
      </c>
      <c r="C25" s="487"/>
      <c r="D25" s="487"/>
      <c r="E25" s="487"/>
      <c r="F25" s="48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86" t="str">
        <f>+VLOOKUP($A26,Master!$D$27:$G$225,4,FALSE)</f>
        <v>Other revenues</v>
      </c>
      <c r="C26" s="487"/>
      <c r="D26" s="487"/>
      <c r="E26" s="487"/>
      <c r="F26" s="48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86" t="str">
        <f>+VLOOKUP($A27,Master!$D$27:$G$225,4,FALSE)</f>
        <v>Receipts from Repayment of Loans and Funds Carried over from Previous Year</v>
      </c>
      <c r="C27" s="487"/>
      <c r="D27" s="487"/>
      <c r="E27" s="487"/>
      <c r="F27" s="48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88" t="str">
        <f>+VLOOKUP($A28,Master!$D$27:$G$225,4,FALSE)</f>
        <v>Grants and Transfers</v>
      </c>
      <c r="C28" s="489"/>
      <c r="D28" s="489"/>
      <c r="E28" s="489"/>
      <c r="F28" s="489"/>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74" t="str">
        <f>+VLOOKUP($A29,Master!$D$27:$G$225,4,FALSE)</f>
        <v>Total Expenditures</v>
      </c>
      <c r="C29" s="475"/>
      <c r="D29" s="475"/>
      <c r="E29" s="475"/>
      <c r="F29" s="475"/>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90" t="str">
        <f>+VLOOKUP($A30,Master!$D$27:$G$225,4,FALSE)</f>
        <v>Current Budgetary Consumption</v>
      </c>
      <c r="C30" s="491"/>
      <c r="D30" s="491"/>
      <c r="E30" s="491"/>
      <c r="F30" s="491"/>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92" t="str">
        <f>+VLOOKUP($A31,Master!$D$27:$G$225,4,FALSE)</f>
        <v>Current Expenditures</v>
      </c>
      <c r="C31" s="493"/>
      <c r="D31" s="493"/>
      <c r="E31" s="493"/>
      <c r="F31" s="493"/>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84" t="str">
        <f>+VLOOKUP($A32,Master!$D$27:$G$225,4,FALSE)</f>
        <v>Gross Salaries and Contributions</v>
      </c>
      <c r="C32" s="485"/>
      <c r="D32" s="485"/>
      <c r="E32" s="485"/>
      <c r="F32" s="48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84" t="str">
        <f>+VLOOKUP($A33,Master!$D$27:$G$225,4,FALSE)</f>
        <v>Other Personal Income</v>
      </c>
      <c r="C33" s="485"/>
      <c r="D33" s="485"/>
      <c r="E33" s="485"/>
      <c r="F33" s="48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84" t="str">
        <f>+VLOOKUP($A34,Master!$D$27:$G$225,4,FALSE)</f>
        <v>Expenditures for Supplies</v>
      </c>
      <c r="C34" s="485"/>
      <c r="D34" s="485"/>
      <c r="E34" s="485"/>
      <c r="F34" s="48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84" t="str">
        <f>+VLOOKUP($A35,Master!$D$27:$G$225,4,FALSE)</f>
        <v>Expenditures for Services</v>
      </c>
      <c r="C35" s="485"/>
      <c r="D35" s="485"/>
      <c r="E35" s="485"/>
      <c r="F35" s="48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84" t="str">
        <f>+VLOOKUP($A36,Master!$D$27:$G$225,4,FALSE)</f>
        <v>Current Maintenance</v>
      </c>
      <c r="C36" s="485"/>
      <c r="D36" s="485"/>
      <c r="E36" s="485"/>
      <c r="F36" s="48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84" t="str">
        <f>+VLOOKUP($A37,Master!$D$27:$G$225,4,FALSE)</f>
        <v>Interests</v>
      </c>
      <c r="C37" s="485"/>
      <c r="D37" s="485"/>
      <c r="E37" s="485"/>
      <c r="F37" s="48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84" t="str">
        <f>+VLOOKUP($A38,Master!$D$27:$G$225,4,FALSE)</f>
        <v>Rent</v>
      </c>
      <c r="C38" s="485"/>
      <c r="D38" s="485"/>
      <c r="E38" s="485"/>
      <c r="F38" s="48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84" t="str">
        <f>+VLOOKUP($A39,Master!$D$27:$G$225,4,FALSE)</f>
        <v>Subsidies</v>
      </c>
      <c r="C39" s="485"/>
      <c r="D39" s="485"/>
      <c r="E39" s="485"/>
      <c r="F39" s="48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84" t="str">
        <f>+VLOOKUP($A40,Master!$D$27:$G$225,4,FALSE)</f>
        <v>Other expenditures</v>
      </c>
      <c r="C40" s="485"/>
      <c r="D40" s="485"/>
      <c r="E40" s="485"/>
      <c r="F40" s="48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84" t="str">
        <f>+VLOOKUP($A41,Master!$D$27:$G$225,4,FALSE)</f>
        <v>Current Capital Expenditure</v>
      </c>
      <c r="C41" s="485"/>
      <c r="D41" s="485"/>
      <c r="E41" s="485"/>
      <c r="F41" s="48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80" t="str">
        <f>+VLOOKUP($A42,Master!$D$27:$G$225,4,FALSE)</f>
        <v>Social Security Transfers</v>
      </c>
      <c r="C42" s="481"/>
      <c r="D42" s="481"/>
      <c r="E42" s="481"/>
      <c r="F42" s="48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84" t="str">
        <f>+VLOOKUP($A43,Master!$D$27:$G$225,4,FALSE)</f>
        <v>Social Security</v>
      </c>
      <c r="C43" s="485"/>
      <c r="D43" s="485"/>
      <c r="E43" s="485"/>
      <c r="F43" s="48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84" t="str">
        <f>+VLOOKUP($A44,Master!$D$27:$G$225,4,FALSE)</f>
        <v>Funds for redundant labor</v>
      </c>
      <c r="C44" s="485"/>
      <c r="D44" s="485"/>
      <c r="E44" s="485"/>
      <c r="F44" s="48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84" t="str">
        <f>+VLOOKUP($A45,Master!$D$27:$G$225,4,FALSE)</f>
        <v>Pension and Disability Insurance</v>
      </c>
      <c r="C45" s="485"/>
      <c r="D45" s="485"/>
      <c r="E45" s="485"/>
      <c r="F45" s="48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84" t="str">
        <f>+VLOOKUP($A46,Master!$D$27:$G$225,4,FALSE)</f>
        <v>Other Health Care Transfers</v>
      </c>
      <c r="C46" s="485"/>
      <c r="D46" s="485"/>
      <c r="E46" s="485"/>
      <c r="F46" s="48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84" t="str">
        <f>+VLOOKUP($A47,Master!$D$27:$G$225,4,FALSE)</f>
        <v>Other Health Care Insurance</v>
      </c>
      <c r="C47" s="485"/>
      <c r="D47" s="485"/>
      <c r="E47" s="485"/>
      <c r="F47" s="48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82" t="str">
        <f>+VLOOKUP($A48,Master!$D$27:$G$225,4,FALSE)</f>
        <v xml:space="preserve">Transfers to Institutions, Individuals, NGO and Public Sector </v>
      </c>
      <c r="C48" s="483"/>
      <c r="D48" s="483"/>
      <c r="E48" s="483"/>
      <c r="F48" s="483"/>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82" t="str">
        <f>+VLOOKUP($A49,Master!$D$27:$G$225,4,FALSE)</f>
        <v>Capital Expenditure</v>
      </c>
      <c r="C49" s="483"/>
      <c r="D49" s="483"/>
      <c r="E49" s="483"/>
      <c r="F49" s="483"/>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52" t="str">
        <f>+VLOOKUP($A50,Master!$D$27:$G$225,4,FALSE)</f>
        <v>Credits and Borrowings</v>
      </c>
      <c r="C50" s="453"/>
      <c r="D50" s="453"/>
      <c r="E50" s="453"/>
      <c r="F50" s="45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52" t="str">
        <f>+VLOOKUP($A51,Master!$D$27:$G$225,4,FALSE)</f>
        <v>Reserves</v>
      </c>
      <c r="C51" s="453"/>
      <c r="D51" s="453"/>
      <c r="E51" s="453"/>
      <c r="F51" s="45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0" t="str">
        <f>+VLOOKUP($A52,Master!$D$27:$G$225,4,FALSE)</f>
        <v>Repayment of Guarantees</v>
      </c>
      <c r="C52" s="471"/>
      <c r="D52" s="471"/>
      <c r="E52" s="471"/>
      <c r="F52" s="471"/>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0" t="str">
        <f>+VLOOKUP($A53,Master!$D$27:$G$225,4,TRUE)</f>
        <v>Repayments of Arrears</v>
      </c>
      <c r="C53" s="471"/>
      <c r="D53" s="471"/>
      <c r="E53" s="471"/>
      <c r="F53" s="471"/>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16" t="str">
        <f>+VLOOKUP($A54,Master!$D$27:$G$227,4,FALSE)</f>
        <v>Net increase of liabilities</v>
      </c>
      <c r="C54" s="517"/>
      <c r="D54" s="517"/>
      <c r="E54" s="517"/>
      <c r="F54" s="51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795</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80" t="str">
        <f>+VLOOKUP($A58,Master!$D$27:$G$225,4,FALSE)</f>
        <v>Repayment of Debt</v>
      </c>
      <c r="C58" s="481"/>
      <c r="D58" s="481"/>
      <c r="E58" s="481"/>
      <c r="F58" s="48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68" t="str">
        <f>+VLOOKUP($A59,Master!$D$27:$G$225,4,FALSE)</f>
        <v>Repayment of Domestic Debt</v>
      </c>
      <c r="C59" s="469"/>
      <c r="D59" s="469"/>
      <c r="E59" s="469"/>
      <c r="F59" s="469"/>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52" t="str">
        <f>+VLOOKUP($A60,Master!$D$27:$G$225,4,FALSE)</f>
        <v>Repayment of Foreign Debt</v>
      </c>
      <c r="C60" s="453"/>
      <c r="D60" s="453"/>
      <c r="E60" s="453"/>
      <c r="F60" s="45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72" t="str">
        <f>+VLOOKUP($A61,Master!$D$27:$G$225,4,FALSE)</f>
        <v>Financing needs</v>
      </c>
      <c r="C61" s="473"/>
      <c r="D61" s="473"/>
      <c r="E61" s="473"/>
      <c r="F61" s="473"/>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74" t="str">
        <f>+VLOOKUP($A62,Master!$D$27:$G$225,4,FALSE)</f>
        <v>Financing</v>
      </c>
      <c r="C62" s="475"/>
      <c r="D62" s="475"/>
      <c r="E62" s="475"/>
      <c r="F62" s="475"/>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68" t="str">
        <f>+VLOOKUP($A63,Master!$D$27:$G$225,4,FALSE)</f>
        <v>Domestic Loans and Borrowings</v>
      </c>
      <c r="C63" s="469"/>
      <c r="D63" s="469"/>
      <c r="E63" s="469"/>
      <c r="F63" s="469"/>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52" t="str">
        <f>+VLOOKUP($A64,Master!$D$27:$G$225,4,FALSE)</f>
        <v>Foreign Loans and Borrowings</v>
      </c>
      <c r="C64" s="453"/>
      <c r="D64" s="453"/>
      <c r="E64" s="453"/>
      <c r="F64" s="45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52" t="str">
        <f>+VLOOKUP($A65,Master!$D$27:$G$225,4,FALSE)</f>
        <v>Revenues from Selling Assets</v>
      </c>
      <c r="C65" s="453"/>
      <c r="D65" s="453"/>
      <c r="E65" s="453"/>
      <c r="F65" s="45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39" t="str">
        <f>+Master!G252</f>
        <v>Planned Budget Execution</v>
      </c>
      <c r="C102" s="540"/>
      <c r="D102" s="540"/>
      <c r="E102" s="540"/>
      <c r="F102" s="540"/>
      <c r="G102" s="532">
        <v>2016</v>
      </c>
      <c r="H102" s="533"/>
      <c r="I102" s="533"/>
      <c r="J102" s="533"/>
      <c r="K102" s="533"/>
      <c r="L102" s="533"/>
      <c r="M102" s="533"/>
      <c r="N102" s="533"/>
      <c r="O102" s="533"/>
      <c r="P102" s="533"/>
      <c r="Q102" s="533"/>
      <c r="R102" s="534"/>
      <c r="S102" s="115" t="str">
        <f>+S7</f>
        <v>GDP</v>
      </c>
      <c r="T102" s="116">
        <f>+T7</f>
        <v>3954200000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37" t="str">
        <f>+VLOOKUP(LEFT($A106,LEN(A106)-1)*1,Master!$D$27:$G$225,4,FALSE)</f>
        <v>Taxes</v>
      </c>
      <c r="C106" s="538"/>
      <c r="D106" s="538"/>
      <c r="E106" s="538"/>
      <c r="F106" s="538"/>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18" t="str">
        <f>+VLOOKUP(LEFT($A107,LEN(A107)-1)*1,Master!$D$27:$G$225,4,FALSE)</f>
        <v>Personal Income Tax</v>
      </c>
      <c r="C107" s="519"/>
      <c r="D107" s="519"/>
      <c r="E107" s="519"/>
      <c r="F107" s="519"/>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18" t="str">
        <f>+VLOOKUP(LEFT($A108,LEN(A108)-1)*1,Master!$D$27:$G$225,4,FALSE)</f>
        <v>Corporate Income Tax</v>
      </c>
      <c r="C108" s="519"/>
      <c r="D108" s="519"/>
      <c r="E108" s="519"/>
      <c r="F108" s="519"/>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18" t="str">
        <f>+VLOOKUP(LEFT($A109,LEN(A109)-1)*1,Master!$D$27:$G$225,4,FALSE)</f>
        <v xml:space="preserve">Taxes on Sales of Property </v>
      </c>
      <c r="C109" s="519"/>
      <c r="D109" s="519"/>
      <c r="E109" s="519"/>
      <c r="F109" s="519"/>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18" t="str">
        <f>+VLOOKUP(LEFT($A110,LEN(A110)-1)*1,Master!$D$27:$G$225,4,FALSE)</f>
        <v>Value Added Tax</v>
      </c>
      <c r="C110" s="519"/>
      <c r="D110" s="519"/>
      <c r="E110" s="519"/>
      <c r="F110" s="519"/>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18" t="str">
        <f>+VLOOKUP(LEFT($A111,LEN(A111)-1)*1,Master!$D$27:$G$225,4,FALSE)</f>
        <v>Excises</v>
      </c>
      <c r="C111" s="519"/>
      <c r="D111" s="519"/>
      <c r="E111" s="519"/>
      <c r="F111" s="519"/>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18" t="str">
        <f>+VLOOKUP(LEFT($A112,LEN(A112)-1)*1,Master!$D$27:$G$225,4,FALSE)</f>
        <v>Tax on International Trade and Transactions</v>
      </c>
      <c r="C112" s="519"/>
      <c r="D112" s="519"/>
      <c r="E112" s="519"/>
      <c r="F112" s="519"/>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18" t="str">
        <f>+VLOOKUP(LEFT($A113,LEN(A113)-1)*1,Master!$D$27:$G$225,4,FALSE)</f>
        <v>Other Republic Taxes</v>
      </c>
      <c r="C113" s="519"/>
      <c r="D113" s="519"/>
      <c r="E113" s="519"/>
      <c r="F113" s="519"/>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0" t="str">
        <f>+VLOOKUP(LEFT($A114,LEN(A114)-1)*1,Master!$D$27:$G$225,4,FALSE)</f>
        <v>Contributions</v>
      </c>
      <c r="C114" s="531"/>
      <c r="D114" s="531"/>
      <c r="E114" s="531"/>
      <c r="F114" s="531"/>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18" t="str">
        <f>+VLOOKUP(LEFT($A116,LEN(A116)-1)*1,Master!$D$27:$G$225,4,FALSE)</f>
        <v>Contributions for Health Insurance</v>
      </c>
      <c r="C116" s="519"/>
      <c r="D116" s="519"/>
      <c r="E116" s="519"/>
      <c r="F116" s="519"/>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18" t="str">
        <f>+VLOOKUP(LEFT($A117,LEN(A117)-1)*1,Master!$D$27:$G$225,4,FALSE)</f>
        <v>Contributions for  Unemployment Insurance</v>
      </c>
      <c r="C117" s="519"/>
      <c r="D117" s="519"/>
      <c r="E117" s="519"/>
      <c r="F117" s="519"/>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18" t="str">
        <f>+VLOOKUP(LEFT($A118,LEN(A118)-1)*1,Master!$D$27:$G$225,4,FALSE)</f>
        <v>Other contributions</v>
      </c>
      <c r="C118" s="519"/>
      <c r="D118" s="519"/>
      <c r="E118" s="519"/>
      <c r="F118" s="519"/>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22" t="str">
        <f>+VLOOKUP(LEFT($A119,LEN(A119)-1)*1,Master!$D$27:$G$225,4,FALSE)</f>
        <v>Duties</v>
      </c>
      <c r="C119" s="523"/>
      <c r="D119" s="523"/>
      <c r="E119" s="523"/>
      <c r="F119" s="523"/>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22" t="str">
        <f>+VLOOKUP(LEFT($A120,LEN(A120)-1)*1,Master!$D$27:$G$225,4,FALSE)</f>
        <v>Fees</v>
      </c>
      <c r="C120" s="523"/>
      <c r="D120" s="523"/>
      <c r="E120" s="523"/>
      <c r="F120" s="523"/>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22" t="str">
        <f>+VLOOKUP(LEFT($A121,LEN(A121)-1)*1,Master!$D$27:$G$225,4,FALSE)</f>
        <v>Other revenues</v>
      </c>
      <c r="C121" s="523"/>
      <c r="D121" s="523"/>
      <c r="E121" s="523"/>
      <c r="F121" s="523"/>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24" t="str">
        <f>+VLOOKUP(LEFT($A123,LEN(A123)-1)*1,Master!$D$27:$G$225,4,FALSE)</f>
        <v>Grants and Transfers</v>
      </c>
      <c r="C123" s="525"/>
      <c r="D123" s="525"/>
      <c r="E123" s="525"/>
      <c r="F123" s="52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08" t="str">
        <f>+VLOOKUP(LEFT($A124,LEN(A124)-1)*1,Master!$D$27:$G$225,4,FALSE)</f>
        <v>Total Expenditures</v>
      </c>
      <c r="C124" s="509"/>
      <c r="D124" s="509"/>
      <c r="E124" s="509"/>
      <c r="F124" s="509"/>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26" t="str">
        <f>+VLOOKUP(LEFT($A125,LEN(A125)-1)*1,Master!$D$27:$G$225,4,FALSE)</f>
        <v>Current Budgetary Consumption</v>
      </c>
      <c r="C125" s="527"/>
      <c r="D125" s="527"/>
      <c r="E125" s="527"/>
      <c r="F125" s="527"/>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28" t="str">
        <f>+VLOOKUP(LEFT($A126,LEN(A126)-1)*1,Master!$D$27:$G$225,4,FALSE)</f>
        <v>Current Expenditures</v>
      </c>
      <c r="C126" s="529"/>
      <c r="D126" s="529"/>
      <c r="E126" s="529"/>
      <c r="F126" s="529"/>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18" t="str">
        <f>+VLOOKUP(LEFT($A127,LEN(A127)-1)*1,Master!$D$27:$G$225,4,FALSE)</f>
        <v>Gross Salaries and Contributions</v>
      </c>
      <c r="C127" s="519"/>
      <c r="D127" s="519"/>
      <c r="E127" s="519"/>
      <c r="F127" s="519"/>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18" t="str">
        <f>+VLOOKUP(LEFT($A128,LEN(A128)-1)*1,Master!$D$27:$G$225,4,FALSE)</f>
        <v>Other Personal Income</v>
      </c>
      <c r="C128" s="519"/>
      <c r="D128" s="519"/>
      <c r="E128" s="519"/>
      <c r="F128" s="519"/>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18" t="str">
        <f>+VLOOKUP(LEFT($A129,LEN(A129)-1)*1,Master!$D$27:$G$225,4,FALSE)</f>
        <v>Expenditures for Supplies</v>
      </c>
      <c r="C129" s="519"/>
      <c r="D129" s="519"/>
      <c r="E129" s="519"/>
      <c r="F129" s="519"/>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18" t="str">
        <f>+VLOOKUP(LEFT($A130,LEN(A130)-1)*1,Master!$D$27:$G$225,4,FALSE)</f>
        <v>Expenditures for Services</v>
      </c>
      <c r="C130" s="519"/>
      <c r="D130" s="519"/>
      <c r="E130" s="519"/>
      <c r="F130" s="519"/>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18" t="str">
        <f>+VLOOKUP(LEFT($A131,LEN(A131)-1)*1,Master!$D$27:$G$225,4,FALSE)</f>
        <v>Current Maintenance</v>
      </c>
      <c r="C131" s="519"/>
      <c r="D131" s="519"/>
      <c r="E131" s="519"/>
      <c r="F131" s="519"/>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18" t="str">
        <f>+VLOOKUP(LEFT($A132,LEN(A132)-1)*1,Master!$D$27:$G$225,4,FALSE)</f>
        <v>Interests</v>
      </c>
      <c r="C132" s="519"/>
      <c r="D132" s="519"/>
      <c r="E132" s="519"/>
      <c r="F132" s="519"/>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18" t="str">
        <f>+VLOOKUP(LEFT($A133,LEN(A133)-1)*1,Master!$D$27:$G$225,4,FALSE)</f>
        <v>Rent</v>
      </c>
      <c r="C133" s="519"/>
      <c r="D133" s="519"/>
      <c r="E133" s="519"/>
      <c r="F133" s="519"/>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18" t="str">
        <f>+VLOOKUP(LEFT($A134,LEN(A134)-1)*1,Master!$D$27:$G$225,4,FALSE)</f>
        <v>Subsidies</v>
      </c>
      <c r="C134" s="519"/>
      <c r="D134" s="519"/>
      <c r="E134" s="519"/>
      <c r="F134" s="519"/>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18" t="str">
        <f>+VLOOKUP(LEFT($A135,LEN(A135)-1)*1,Master!$D$27:$G$225,4,FALSE)</f>
        <v>Other expenditures</v>
      </c>
      <c r="C135" s="519"/>
      <c r="D135" s="519"/>
      <c r="E135" s="519"/>
      <c r="F135" s="519"/>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18" t="str">
        <f>+VLOOKUP(LEFT($A136,LEN(A136)-1)*1,Master!$D$27:$G$225,4,FALSE)</f>
        <v>Current Capital Expenditure</v>
      </c>
      <c r="C136" s="519"/>
      <c r="D136" s="519"/>
      <c r="E136" s="519"/>
      <c r="F136" s="519"/>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14" t="str">
        <f>+VLOOKUP(LEFT($A137,LEN(A137)-1)*1,Master!$D$27:$G$225,4,FALSE)</f>
        <v>Social Security Transfers</v>
      </c>
      <c r="C137" s="515"/>
      <c r="D137" s="515"/>
      <c r="E137" s="515"/>
      <c r="F137" s="51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18" t="str">
        <f>+VLOOKUP(LEFT($A138,LEN(A138)-1)*1,Master!$D$27:$G$225,4,FALSE)</f>
        <v>Social Security</v>
      </c>
      <c r="C138" s="519"/>
      <c r="D138" s="519"/>
      <c r="E138" s="519"/>
      <c r="F138" s="519"/>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18" t="str">
        <f>+VLOOKUP(LEFT($A139,LEN(A139)-1)*1,Master!$D$27:$G$225,4,FALSE)</f>
        <v>Funds for redundant labor</v>
      </c>
      <c r="C139" s="519"/>
      <c r="D139" s="519"/>
      <c r="E139" s="519"/>
      <c r="F139" s="519"/>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18" t="str">
        <f>+VLOOKUP(LEFT($A140,LEN(A140)-1)*1,Master!$D$27:$G$225,4,FALSE)</f>
        <v>Pension and Disability Insurance</v>
      </c>
      <c r="C140" s="519"/>
      <c r="D140" s="519"/>
      <c r="E140" s="519"/>
      <c r="F140" s="519"/>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18" t="str">
        <f>+VLOOKUP(LEFT($A141,LEN(A141)-1)*1,Master!$D$27:$G$225,4,FALSE)</f>
        <v>Other Health Care Transfers</v>
      </c>
      <c r="C141" s="519"/>
      <c r="D141" s="519"/>
      <c r="E141" s="519"/>
      <c r="F141" s="519"/>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18" t="str">
        <f>+VLOOKUP(LEFT($A142,LEN(A142)-1)*1,Master!$D$27:$G$225,4,FALSE)</f>
        <v>Other Health Care Insurance</v>
      </c>
      <c r="C142" s="519"/>
      <c r="D142" s="519"/>
      <c r="E142" s="519"/>
      <c r="F142" s="519"/>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20" t="str">
        <f>+VLOOKUP(LEFT($A144,LEN(A144)-1)*1,Master!$D$27:$G$225,4,FALSE)</f>
        <v>Capital Expenditure</v>
      </c>
      <c r="C144" s="521"/>
      <c r="D144" s="521"/>
      <c r="E144" s="521"/>
      <c r="F144" s="521"/>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02" t="str">
        <f>+VLOOKUP(LEFT($A145,LEN(A145)-1)*1,Master!$D$27:$G$225,4,FALSE)</f>
        <v>Credits and Borrowings</v>
      </c>
      <c r="C145" s="503"/>
      <c r="D145" s="503"/>
      <c r="E145" s="503"/>
      <c r="F145" s="503"/>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02" t="str">
        <f>+VLOOKUP(LEFT($A146,LEN(A146)-1)*1,Master!$D$27:$G$225,4,FALSE)</f>
        <v>Reserves</v>
      </c>
      <c r="C146" s="503"/>
      <c r="D146" s="503"/>
      <c r="E146" s="503"/>
      <c r="F146" s="503"/>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02" t="str">
        <f>+VLOOKUP(LEFT($A147,LEN(A147)-1)*1,Master!$D$27:$G$225,4,FALSE)</f>
        <v>Repayment of Guarantees</v>
      </c>
      <c r="C147" s="503"/>
      <c r="D147" s="503"/>
      <c r="E147" s="503"/>
      <c r="F147" s="503"/>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699</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10" t="str">
        <f>+VLOOKUP(LEFT($A149,LEN(A149)-1)*1,Master!$D$27:$G$225,4,FALSE)</f>
        <v>Surplus / deficit</v>
      </c>
      <c r="C149" s="511"/>
      <c r="D149" s="511"/>
      <c r="E149" s="511"/>
      <c r="F149" s="511"/>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12" t="str">
        <f>+VLOOKUP(LEFT($A150,LEN(A150)-1)*1,Master!$D$27:$G$225,4,FALSE)</f>
        <v>Primary balance</v>
      </c>
      <c r="C150" s="513"/>
      <c r="D150" s="513"/>
      <c r="E150" s="513"/>
      <c r="F150" s="513"/>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14" t="str">
        <f>+VLOOKUP(LEFT($A151,LEN(A151)-1)*1,Master!$D$27:$G$225,4,FALSE)</f>
        <v>Repayment of Debt</v>
      </c>
      <c r="C151" s="515"/>
      <c r="D151" s="515"/>
      <c r="E151" s="515"/>
      <c r="F151" s="51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04" t="str">
        <f>+VLOOKUP(LEFT($A152,LEN(A152)-1)*1,Master!$D$27:$G$225,4,FALSE)</f>
        <v>Repayment of Domestic Debt</v>
      </c>
      <c r="C152" s="505"/>
      <c r="D152" s="505"/>
      <c r="E152" s="505"/>
      <c r="F152" s="505"/>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02" t="str">
        <f>+VLOOKUP(LEFT($A153,LEN(A153)-1)*1,Master!$D$27:$G$225,4,FALSE)</f>
        <v>Repayment of Foreign Debt</v>
      </c>
      <c r="C153" s="503"/>
      <c r="D153" s="503"/>
      <c r="E153" s="503"/>
      <c r="F153" s="503"/>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16" t="str">
        <f>+VLOOKUP(LEFT($A154,LEN(A154)-1)*1,Master!$D$27:$G$225,4,FALSE)</f>
        <v>Repayments of Arrears</v>
      </c>
      <c r="C154" s="517"/>
      <c r="D154" s="517"/>
      <c r="E154" s="517"/>
      <c r="F154" s="51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06" t="str">
        <f>+VLOOKUP(LEFT($A155,LEN(A155)-1)*1,Master!$D$27:$G$225,4,FALSE)</f>
        <v>Financing needs</v>
      </c>
      <c r="C155" s="507"/>
      <c r="D155" s="507"/>
      <c r="E155" s="507"/>
      <c r="F155" s="507"/>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08" t="str">
        <f>+VLOOKUP(LEFT($A156,LEN(A156)-1)*1,Master!$D$27:$G$225,4,FALSE)</f>
        <v>Financing</v>
      </c>
      <c r="C156" s="509"/>
      <c r="D156" s="509"/>
      <c r="E156" s="509"/>
      <c r="F156" s="509"/>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04" t="str">
        <f>+VLOOKUP(LEFT($A157,LEN(A157)-1)*1,Master!$D$27:$G$225,4,FALSE)</f>
        <v>Domestic Loans and Borrowings</v>
      </c>
      <c r="C157" s="505"/>
      <c r="D157" s="505"/>
      <c r="E157" s="505"/>
      <c r="F157" s="505"/>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02" t="str">
        <f>+VLOOKUP(LEFT($A158,LEN(A158)-1)*1,Master!$D$27:$G$225,4,FALSE)</f>
        <v>Foreign Loans and Borrowings</v>
      </c>
      <c r="C158" s="503"/>
      <c r="D158" s="503"/>
      <c r="E158" s="503"/>
      <c r="F158" s="503"/>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02" t="str">
        <f>+VLOOKUP(LEFT($A159,LEN(A159)-1)*1,Master!$D$27:$G$225,4,FALSE)</f>
        <v>Revenues from Selling Assets</v>
      </c>
      <c r="C159" s="503"/>
      <c r="D159" s="503"/>
      <c r="E159" s="503"/>
      <c r="F159" s="503"/>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57:F157"/>
    <mergeCell ref="B158:F158"/>
    <mergeCell ref="B159:F159"/>
    <mergeCell ref="B151:F151"/>
    <mergeCell ref="B152:F152"/>
    <mergeCell ref="B153:F153"/>
    <mergeCell ref="B154:F154"/>
    <mergeCell ref="B155:F155"/>
    <mergeCell ref="B156:F156"/>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541</v>
      </c>
      <c r="H6" s="259" t="s">
        <v>542</v>
      </c>
      <c r="I6" s="259" t="s">
        <v>543</v>
      </c>
      <c r="J6" s="259" t="s">
        <v>544</v>
      </c>
      <c r="K6" s="259" t="s">
        <v>545</v>
      </c>
      <c r="L6" s="259" t="s">
        <v>546</v>
      </c>
      <c r="M6" s="259" t="s">
        <v>547</v>
      </c>
      <c r="N6" s="259" t="s">
        <v>548</v>
      </c>
      <c r="O6" s="259" t="s">
        <v>549</v>
      </c>
      <c r="P6" s="259" t="s">
        <v>550</v>
      </c>
      <c r="Q6" s="259" t="s">
        <v>551</v>
      </c>
      <c r="R6" s="259" t="s">
        <v>552</v>
      </c>
      <c r="S6" s="258"/>
      <c r="T6" s="258"/>
    </row>
    <row r="7" spans="1:20" ht="15" customHeight="1" thickBot="1">
      <c r="A7" s="169"/>
      <c r="B7" s="557" t="str">
        <f>+Master!G251</f>
        <v>Budget Execution</v>
      </c>
      <c r="C7" s="455"/>
      <c r="D7" s="455"/>
      <c r="E7" s="455"/>
      <c r="F7" s="455"/>
      <c r="G7" s="463">
        <v>2015</v>
      </c>
      <c r="H7" s="464"/>
      <c r="I7" s="464"/>
      <c r="J7" s="464"/>
      <c r="K7" s="464"/>
      <c r="L7" s="464"/>
      <c r="M7" s="464"/>
      <c r="N7" s="464"/>
      <c r="O7" s="464"/>
      <c r="P7" s="464"/>
      <c r="Q7" s="464"/>
      <c r="R7" s="467"/>
      <c r="S7" s="260" t="str">
        <f>+Master!G248</f>
        <v>GDP</v>
      </c>
      <c r="T7" s="261">
        <v>3655000000</v>
      </c>
    </row>
    <row r="8" spans="1:20" ht="16.5" customHeight="1">
      <c r="A8" s="169"/>
      <c r="B8" s="456"/>
      <c r="C8" s="457"/>
      <c r="D8" s="457"/>
      <c r="E8" s="457"/>
      <c r="F8" s="458"/>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63" t="s">
        <v>739</v>
      </c>
      <c r="T8" s="467"/>
    </row>
    <row r="9" spans="1:20" ht="13.5" thickBot="1">
      <c r="A9" s="169"/>
      <c r="B9" s="459"/>
      <c r="C9" s="460"/>
      <c r="D9" s="460"/>
      <c r="E9" s="460"/>
      <c r="F9" s="461"/>
      <c r="G9" s="162" t="s">
        <v>427</v>
      </c>
      <c r="H9" s="162" t="s">
        <v>427</v>
      </c>
      <c r="I9" s="162" t="s">
        <v>427</v>
      </c>
      <c r="J9" s="162" t="s">
        <v>427</v>
      </c>
      <c r="K9" s="162" t="s">
        <v>427</v>
      </c>
      <c r="L9" s="162" t="s">
        <v>427</v>
      </c>
      <c r="M9" s="162" t="s">
        <v>427</v>
      </c>
      <c r="N9" s="162" t="s">
        <v>427</v>
      </c>
      <c r="O9" s="162" t="s">
        <v>427</v>
      </c>
      <c r="P9" s="162" t="s">
        <v>427</v>
      </c>
      <c r="Q9" s="162" t="s">
        <v>427</v>
      </c>
      <c r="R9" s="162" t="s">
        <v>427</v>
      </c>
      <c r="S9" s="262" t="s">
        <v>427</v>
      </c>
      <c r="T9" s="263" t="str">
        <f>+Master!G249</f>
        <v>% GDP</v>
      </c>
    </row>
    <row r="10" spans="1:20" ht="13.5" thickBot="1">
      <c r="A10" s="175">
        <v>7</v>
      </c>
      <c r="B10" s="496" t="str">
        <f>+VLOOKUP($A10,Master!$D$27:$G$225,4,FALSE)</f>
        <v>Total Revenues</v>
      </c>
      <c r="C10" s="497"/>
      <c r="D10" s="497"/>
      <c r="E10" s="497"/>
      <c r="F10" s="497"/>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98" t="str">
        <f>+VLOOKUP($A11,Master!$D$27:$G$225,4,FALSE)</f>
        <v>Taxes</v>
      </c>
      <c r="C11" s="499"/>
      <c r="D11" s="499"/>
      <c r="E11" s="499"/>
      <c r="F11" s="499"/>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84" t="str">
        <f>+VLOOKUP($A12,Master!$D$27:$G$225,4,FALSE)</f>
        <v>Personal Income Tax</v>
      </c>
      <c r="C12" s="485"/>
      <c r="D12" s="485"/>
      <c r="E12" s="485"/>
      <c r="F12" s="48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84" t="str">
        <f>+VLOOKUP($A13,Master!$D$27:$G$225,4,FALSE)</f>
        <v>Corporate Income Tax</v>
      </c>
      <c r="C13" s="485"/>
      <c r="D13" s="485"/>
      <c r="E13" s="485"/>
      <c r="F13" s="48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84" t="str">
        <f>+VLOOKUP($A14,Master!$D$27:$G$225,4,FALSE)</f>
        <v xml:space="preserve">Taxes on Sales of Property </v>
      </c>
      <c r="C14" s="485"/>
      <c r="D14" s="485"/>
      <c r="E14" s="485"/>
      <c r="F14" s="48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84" t="str">
        <f>+VLOOKUP($A15,Master!$D$27:$G$225,4,FALSE)</f>
        <v>Value Added Tax</v>
      </c>
      <c r="C15" s="485"/>
      <c r="D15" s="485"/>
      <c r="E15" s="485"/>
      <c r="F15" s="48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84" t="str">
        <f>+VLOOKUP($A16,Master!$D$27:$G$225,4,FALSE)</f>
        <v>Excises</v>
      </c>
      <c r="C16" s="485"/>
      <c r="D16" s="485"/>
      <c r="E16" s="485"/>
      <c r="F16" s="48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84" t="str">
        <f>+VLOOKUP($A17,Master!$D$27:$G$225,4,FALSE)</f>
        <v>Tax on International Trade and Transactions</v>
      </c>
      <c r="C17" s="485"/>
      <c r="D17" s="485"/>
      <c r="E17" s="485"/>
      <c r="F17" s="48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84" t="str">
        <f>+VLOOKUP($A18,Master!$D$27:$G$225,4,FALSE)</f>
        <v>Other Republic Taxes</v>
      </c>
      <c r="C18" s="485"/>
      <c r="D18" s="485"/>
      <c r="E18" s="485"/>
      <c r="F18" s="48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94" t="str">
        <f>+VLOOKUP($A19,Master!$D$27:$G$225,4,FALSE)</f>
        <v>Contributions</v>
      </c>
      <c r="C19" s="495"/>
      <c r="D19" s="495"/>
      <c r="E19" s="495"/>
      <c r="F19" s="495"/>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84" t="str">
        <f>+VLOOKUP($A20,Master!$D$27:$G$225,4,FALSE)</f>
        <v>Contributions for Pension and Disability Insurance</v>
      </c>
      <c r="C20" s="485"/>
      <c r="D20" s="485"/>
      <c r="E20" s="485"/>
      <c r="F20" s="48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84" t="str">
        <f>+VLOOKUP($A21,Master!$D$27:$G$225,4,FALSE)</f>
        <v>Contributions for Health Insurance</v>
      </c>
      <c r="C21" s="485"/>
      <c r="D21" s="485"/>
      <c r="E21" s="485"/>
      <c r="F21" s="48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84" t="str">
        <f>+VLOOKUP($A22,Master!$D$27:$G$225,4,FALSE)</f>
        <v>Contributions for  Unemployment Insurance</v>
      </c>
      <c r="C22" s="485"/>
      <c r="D22" s="485"/>
      <c r="E22" s="485"/>
      <c r="F22" s="48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84" t="str">
        <f>+VLOOKUP($A23,Master!$D$27:$G$225,4,FALSE)</f>
        <v>Other contributions</v>
      </c>
      <c r="C23" s="485"/>
      <c r="D23" s="485"/>
      <c r="E23" s="485"/>
      <c r="F23" s="48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86" t="str">
        <f>+VLOOKUP($A24,Master!$D$27:$G$225,4,FALSE)</f>
        <v>Duties</v>
      </c>
      <c r="C24" s="487"/>
      <c r="D24" s="487"/>
      <c r="E24" s="487"/>
      <c r="F24" s="48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86" t="str">
        <f>+VLOOKUP($A25,Master!$D$27:$G$225,4,FALSE)</f>
        <v>Fees</v>
      </c>
      <c r="C25" s="487"/>
      <c r="D25" s="487"/>
      <c r="E25" s="487"/>
      <c r="F25" s="48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86" t="str">
        <f>+VLOOKUP($A26,Master!$D$27:$G$225,4,FALSE)</f>
        <v>Other revenues</v>
      </c>
      <c r="C26" s="487"/>
      <c r="D26" s="487"/>
      <c r="E26" s="487"/>
      <c r="F26" s="48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86" t="str">
        <f>+VLOOKUP($A27,Master!$D$27:$G$225,4,FALSE)</f>
        <v>Receipts from Repayment of Loans and Funds Carried over from Previous Year</v>
      </c>
      <c r="C27" s="487"/>
      <c r="D27" s="487"/>
      <c r="E27" s="487"/>
      <c r="F27" s="48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88" t="str">
        <f>+VLOOKUP($A28,Master!$D$27:$G$225,4,FALSE)</f>
        <v>Grants and Transfers</v>
      </c>
      <c r="C28" s="489"/>
      <c r="D28" s="489"/>
      <c r="E28" s="489"/>
      <c r="F28" s="489"/>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74" t="str">
        <f>+VLOOKUP($A29,Master!$D$27:$G$225,4,FALSE)</f>
        <v>Total Expenditures</v>
      </c>
      <c r="C29" s="475"/>
      <c r="D29" s="475"/>
      <c r="E29" s="475"/>
      <c r="F29" s="475"/>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90" t="str">
        <f>+VLOOKUP($A30,Master!$D$27:$G$225,4,FALSE)</f>
        <v>Current Budgetary Consumption</v>
      </c>
      <c r="C30" s="491"/>
      <c r="D30" s="491"/>
      <c r="E30" s="491"/>
      <c r="F30" s="491"/>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92" t="str">
        <f>+VLOOKUP($A31,Master!$D$27:$G$225,4,FALSE)</f>
        <v>Current Expenditures</v>
      </c>
      <c r="C31" s="493"/>
      <c r="D31" s="493"/>
      <c r="E31" s="493"/>
      <c r="F31" s="493"/>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84" t="str">
        <f>+VLOOKUP($A32,Master!$D$27:$G$225,4,FALSE)</f>
        <v>Gross Salaries and Contributions</v>
      </c>
      <c r="C32" s="485"/>
      <c r="D32" s="485"/>
      <c r="E32" s="485"/>
      <c r="F32" s="48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84" t="str">
        <f>+VLOOKUP($A33,Master!$D$27:$G$225,4,FALSE)</f>
        <v>Other Personal Income</v>
      </c>
      <c r="C33" s="485"/>
      <c r="D33" s="485"/>
      <c r="E33" s="485"/>
      <c r="F33" s="48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84" t="str">
        <f>+VLOOKUP($A34,Master!$D$27:$G$225,4,FALSE)</f>
        <v>Expenditures for Supplies</v>
      </c>
      <c r="C34" s="485"/>
      <c r="D34" s="485"/>
      <c r="E34" s="485"/>
      <c r="F34" s="48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84" t="str">
        <f>+VLOOKUP($A35,Master!$D$27:$G$225,4,FALSE)</f>
        <v>Expenditures for Services</v>
      </c>
      <c r="C35" s="485"/>
      <c r="D35" s="485"/>
      <c r="E35" s="485"/>
      <c r="F35" s="48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84" t="str">
        <f>+VLOOKUP($A36,Master!$D$27:$G$225,4,FALSE)</f>
        <v>Current Maintenance</v>
      </c>
      <c r="C36" s="485"/>
      <c r="D36" s="485"/>
      <c r="E36" s="485"/>
      <c r="F36" s="48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84" t="str">
        <f>+VLOOKUP($A37,Master!$D$27:$G$225,4,FALSE)</f>
        <v>Interests</v>
      </c>
      <c r="C37" s="485"/>
      <c r="D37" s="485"/>
      <c r="E37" s="485"/>
      <c r="F37" s="48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84" t="str">
        <f>+VLOOKUP($A38,Master!$D$27:$G$225,4,FALSE)</f>
        <v>Rent</v>
      </c>
      <c r="C38" s="485"/>
      <c r="D38" s="485"/>
      <c r="E38" s="485"/>
      <c r="F38" s="48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84" t="str">
        <f>+VLOOKUP($A39,Master!$D$27:$G$225,4,FALSE)</f>
        <v>Subsidies</v>
      </c>
      <c r="C39" s="485"/>
      <c r="D39" s="485"/>
      <c r="E39" s="485"/>
      <c r="F39" s="48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84" t="str">
        <f>+VLOOKUP($A40,Master!$D$27:$G$225,4,FALSE)</f>
        <v>Other expenditures</v>
      </c>
      <c r="C40" s="485"/>
      <c r="D40" s="485"/>
      <c r="E40" s="485"/>
      <c r="F40" s="48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84" t="str">
        <f>+VLOOKUP($A41,Master!$D$27:$G$225,4,FALSE)</f>
        <v>Current Capital Expenditure</v>
      </c>
      <c r="C41" s="485"/>
      <c r="D41" s="485"/>
      <c r="E41" s="485"/>
      <c r="F41" s="48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80" t="str">
        <f>+VLOOKUP($A42,Master!$D$27:$G$225,4,FALSE)</f>
        <v>Social Security Transfers</v>
      </c>
      <c r="C42" s="481"/>
      <c r="D42" s="481"/>
      <c r="E42" s="481"/>
      <c r="F42" s="48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84" t="str">
        <f>+VLOOKUP($A43,Master!$D$27:$G$225,4,FALSE)</f>
        <v>Social Security</v>
      </c>
      <c r="C43" s="485"/>
      <c r="D43" s="485"/>
      <c r="E43" s="485"/>
      <c r="F43" s="48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84" t="str">
        <f>+VLOOKUP($A44,Master!$D$27:$G$225,4,FALSE)</f>
        <v>Funds for redundant labor</v>
      </c>
      <c r="C44" s="485"/>
      <c r="D44" s="485"/>
      <c r="E44" s="485"/>
      <c r="F44" s="48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84" t="str">
        <f>+VLOOKUP($A45,Master!$D$27:$G$225,4,FALSE)</f>
        <v>Pension and Disability Insurance</v>
      </c>
      <c r="C45" s="485"/>
      <c r="D45" s="485"/>
      <c r="E45" s="485"/>
      <c r="F45" s="48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84" t="str">
        <f>+VLOOKUP($A46,Master!$D$27:$G$225,4,FALSE)</f>
        <v>Other Health Care Transfers</v>
      </c>
      <c r="C46" s="485"/>
      <c r="D46" s="485"/>
      <c r="E46" s="485"/>
      <c r="F46" s="48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84" t="str">
        <f>+VLOOKUP($A47,Master!$D$27:$G$225,4,FALSE)</f>
        <v>Other Health Care Insurance</v>
      </c>
      <c r="C47" s="485"/>
      <c r="D47" s="485"/>
      <c r="E47" s="485"/>
      <c r="F47" s="48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82" t="str">
        <f>+VLOOKUP($A48,Master!$D$27:$G$225,4,FALSE)</f>
        <v xml:space="preserve">Transfers to Institutions, Individuals, NGO and Public Sector </v>
      </c>
      <c r="C48" s="483"/>
      <c r="D48" s="483"/>
      <c r="E48" s="483"/>
      <c r="F48" s="483"/>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82" t="str">
        <f>+VLOOKUP($A49,Master!$D$27:$G$225,4,FALSE)</f>
        <v>Capital Expenditure</v>
      </c>
      <c r="C49" s="483"/>
      <c r="D49" s="483"/>
      <c r="E49" s="483"/>
      <c r="F49" s="483"/>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52" t="str">
        <f>+VLOOKUP($A50,Master!$D$27:$G$225,4,FALSE)</f>
        <v>Credits and Borrowings</v>
      </c>
      <c r="C50" s="453"/>
      <c r="D50" s="453"/>
      <c r="E50" s="453"/>
      <c r="F50" s="45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52" t="str">
        <f>+VLOOKUP($A51,Master!$D$27:$G$225,4,FALSE)</f>
        <v>Reserves</v>
      </c>
      <c r="C51" s="453"/>
      <c r="D51" s="453"/>
      <c r="E51" s="453"/>
      <c r="F51" s="45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0" t="str">
        <f>+VLOOKUP($A52,Master!$D$27:$G$225,4,FALSE)</f>
        <v>Repayment of Guarantees</v>
      </c>
      <c r="C52" s="471"/>
      <c r="D52" s="471"/>
      <c r="E52" s="471"/>
      <c r="F52" s="471"/>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0" t="str">
        <f>+VLOOKUP($A53,Master!$D$27:$G$225,4,TRUE)</f>
        <v>Repayments of Arrears</v>
      </c>
      <c r="C53" s="471"/>
      <c r="D53" s="471"/>
      <c r="E53" s="471"/>
      <c r="F53" s="471"/>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16" t="str">
        <f>+VLOOKUP($A54,Master!$D$27:$G$227,4,FALSE)</f>
        <v>Net increase of liabilities</v>
      </c>
      <c r="C54" s="517"/>
      <c r="D54" s="517"/>
      <c r="E54" s="517"/>
      <c r="F54" s="51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776</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80" t="str">
        <f>+VLOOKUP($A58,Master!$D$27:$G$225,4,FALSE)</f>
        <v>Repayment of Debt</v>
      </c>
      <c r="C58" s="481"/>
      <c r="D58" s="481"/>
      <c r="E58" s="481"/>
      <c r="F58" s="48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68" t="str">
        <f>+VLOOKUP($A59,Master!$D$27:$G$225,4,FALSE)</f>
        <v>Repayment of Domestic Debt</v>
      </c>
      <c r="C59" s="469"/>
      <c r="D59" s="469"/>
      <c r="E59" s="469"/>
      <c r="F59" s="469"/>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52" t="str">
        <f>+VLOOKUP($A60,Master!$D$27:$G$225,4,FALSE)</f>
        <v>Repayment of Foreign Debt</v>
      </c>
      <c r="C60" s="453"/>
      <c r="D60" s="453"/>
      <c r="E60" s="453"/>
      <c r="F60" s="45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72" t="str">
        <f>+VLOOKUP($A61,Master!$D$27:$G$225,4,FALSE)</f>
        <v>Financing needs</v>
      </c>
      <c r="C61" s="473"/>
      <c r="D61" s="473"/>
      <c r="E61" s="473"/>
      <c r="F61" s="473"/>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74" t="str">
        <f>+VLOOKUP($A62,Master!$D$27:$G$225,4,FALSE)</f>
        <v>Financing</v>
      </c>
      <c r="C62" s="475"/>
      <c r="D62" s="475"/>
      <c r="E62" s="475"/>
      <c r="F62" s="475"/>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68" t="str">
        <f>+VLOOKUP($A63,Master!$D$27:$G$225,4,FALSE)</f>
        <v>Domestic Loans and Borrowings</v>
      </c>
      <c r="C63" s="469"/>
      <c r="D63" s="469"/>
      <c r="E63" s="469"/>
      <c r="F63" s="469"/>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52" t="str">
        <f>+VLOOKUP($A64,Master!$D$27:$G$225,4,FALSE)</f>
        <v>Foreign Loans and Borrowings</v>
      </c>
      <c r="C64" s="453"/>
      <c r="D64" s="453"/>
      <c r="E64" s="453"/>
      <c r="F64" s="45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52" t="str">
        <f>+VLOOKUP($A65,Master!$D$27:$G$225,4,FALSE)</f>
        <v>Revenues from Selling Assets</v>
      </c>
      <c r="C65" s="453"/>
      <c r="D65" s="453"/>
      <c r="E65" s="453"/>
      <c r="F65" s="45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39" t="str">
        <f>+Master!G252</f>
        <v>Planned Budget Execution</v>
      </c>
      <c r="C102" s="540"/>
      <c r="D102" s="540"/>
      <c r="E102" s="540"/>
      <c r="F102" s="540"/>
      <c r="G102" s="532">
        <v>2015</v>
      </c>
      <c r="H102" s="533"/>
      <c r="I102" s="533"/>
      <c r="J102" s="533"/>
      <c r="K102" s="533"/>
      <c r="L102" s="533"/>
      <c r="M102" s="533"/>
      <c r="N102" s="533"/>
      <c r="O102" s="533"/>
      <c r="P102" s="533"/>
      <c r="Q102" s="533"/>
      <c r="R102" s="534"/>
      <c r="S102" s="115" t="str">
        <f>+S7</f>
        <v>GDP</v>
      </c>
      <c r="T102" s="116">
        <f>+T7</f>
        <v>3655000000</v>
      </c>
    </row>
    <row r="103" spans="1:21" ht="15.75" customHeight="1">
      <c r="B103" s="541"/>
      <c r="C103" s="542"/>
      <c r="D103" s="542"/>
      <c r="E103" s="542"/>
      <c r="F103" s="543"/>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32" t="str">
        <f>+Master!G246</f>
        <v>Jan - Dec</v>
      </c>
      <c r="T103" s="534">
        <f>+T8</f>
        <v>0</v>
      </c>
    </row>
    <row r="104" spans="1:21" ht="13.5" thickBot="1">
      <c r="B104" s="544"/>
      <c r="C104" s="545"/>
      <c r="D104" s="545"/>
      <c r="E104" s="545"/>
      <c r="F104" s="546"/>
      <c r="G104" s="68" t="s">
        <v>427</v>
      </c>
      <c r="H104" s="68" t="s">
        <v>427</v>
      </c>
      <c r="I104" s="68" t="s">
        <v>427</v>
      </c>
      <c r="J104" s="68" t="s">
        <v>427</v>
      </c>
      <c r="K104" s="68" t="s">
        <v>427</v>
      </c>
      <c r="L104" s="68" t="s">
        <v>427</v>
      </c>
      <c r="M104" s="68" t="s">
        <v>427</v>
      </c>
      <c r="N104" s="68" t="s">
        <v>427</v>
      </c>
      <c r="O104" s="68" t="s">
        <v>427</v>
      </c>
      <c r="P104" s="68" t="s">
        <v>427</v>
      </c>
      <c r="Q104" s="68" t="s">
        <v>427</v>
      </c>
      <c r="R104" s="68" t="s">
        <v>427</v>
      </c>
      <c r="S104" s="66" t="s">
        <v>427</v>
      </c>
      <c r="T104" s="67" t="str">
        <f>+T9</f>
        <v>% GDP</v>
      </c>
    </row>
    <row r="105" spans="1:21" ht="13.5" thickBot="1">
      <c r="A105" s="137" t="str">
        <f t="shared" ref="A105:A147" si="18">+CONCATENATE(A10,"p")</f>
        <v>7p</v>
      </c>
      <c r="B105" s="535" t="str">
        <f>+VLOOKUP(LEFT($A105,LEN(A105)-1)*1,Master!$D$27:$G$225,4,FALSE)</f>
        <v>Total Revenues</v>
      </c>
      <c r="C105" s="536"/>
      <c r="D105" s="536"/>
      <c r="E105" s="536"/>
      <c r="F105" s="536"/>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37" t="str">
        <f>+VLOOKUP(LEFT($A106,LEN(A106)-1)*1,Master!$D$27:$G$225,4,FALSE)</f>
        <v>Taxes</v>
      </c>
      <c r="C106" s="538"/>
      <c r="D106" s="538"/>
      <c r="E106" s="538"/>
      <c r="F106" s="538"/>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18" t="str">
        <f>+VLOOKUP(LEFT($A107,LEN(A107)-1)*1,Master!$D$27:$G$225,4,FALSE)</f>
        <v>Personal Income Tax</v>
      </c>
      <c r="C107" s="519"/>
      <c r="D107" s="519"/>
      <c r="E107" s="519"/>
      <c r="F107" s="519"/>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18" t="str">
        <f>+VLOOKUP(LEFT($A108,LEN(A108)-1)*1,Master!$D$27:$G$225,4,FALSE)</f>
        <v>Corporate Income Tax</v>
      </c>
      <c r="C108" s="519"/>
      <c r="D108" s="519"/>
      <c r="E108" s="519"/>
      <c r="F108" s="519"/>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18" t="str">
        <f>+VLOOKUP(LEFT($A109,LEN(A109)-1)*1,Master!$D$27:$G$225,4,FALSE)</f>
        <v xml:space="preserve">Taxes on Sales of Property </v>
      </c>
      <c r="C109" s="519"/>
      <c r="D109" s="519"/>
      <c r="E109" s="519"/>
      <c r="F109" s="519"/>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18" t="str">
        <f>+VLOOKUP(LEFT($A110,LEN(A110)-1)*1,Master!$D$27:$G$225,4,FALSE)</f>
        <v>Value Added Tax</v>
      </c>
      <c r="C110" s="519"/>
      <c r="D110" s="519"/>
      <c r="E110" s="519"/>
      <c r="F110" s="519"/>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18" t="str">
        <f>+VLOOKUP(LEFT($A111,LEN(A111)-1)*1,Master!$D$27:$G$225,4,FALSE)</f>
        <v>Excises</v>
      </c>
      <c r="C111" s="519"/>
      <c r="D111" s="519"/>
      <c r="E111" s="519"/>
      <c r="F111" s="519"/>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18" t="str">
        <f>+VLOOKUP(LEFT($A112,LEN(A112)-1)*1,Master!$D$27:$G$225,4,FALSE)</f>
        <v>Tax on International Trade and Transactions</v>
      </c>
      <c r="C112" s="519"/>
      <c r="D112" s="519"/>
      <c r="E112" s="519"/>
      <c r="F112" s="519"/>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18" t="str">
        <f>+VLOOKUP(LEFT($A113,LEN(A113)-1)*1,Master!$D$27:$G$225,4,FALSE)</f>
        <v>Other Republic Taxes</v>
      </c>
      <c r="C113" s="519"/>
      <c r="D113" s="519"/>
      <c r="E113" s="519"/>
      <c r="F113" s="519"/>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0" t="str">
        <f>+VLOOKUP(LEFT($A114,LEN(A114)-1)*1,Master!$D$27:$G$225,4,FALSE)</f>
        <v>Contributions</v>
      </c>
      <c r="C114" s="531"/>
      <c r="D114" s="531"/>
      <c r="E114" s="531"/>
      <c r="F114" s="531"/>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18" t="str">
        <f>+VLOOKUP(LEFT($A115,LEN(A115)-1)*1,Master!$D$27:$G$225,4,FALSE)</f>
        <v>Contributions for Pension and Disability Insurance</v>
      </c>
      <c r="C115" s="519"/>
      <c r="D115" s="519"/>
      <c r="E115" s="519"/>
      <c r="F115" s="519"/>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18" t="str">
        <f>+VLOOKUP(LEFT($A116,LEN(A116)-1)*1,Master!$D$27:$G$225,4,FALSE)</f>
        <v>Contributions for Health Insurance</v>
      </c>
      <c r="C116" s="519"/>
      <c r="D116" s="519"/>
      <c r="E116" s="519"/>
      <c r="F116" s="519"/>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18" t="str">
        <f>+VLOOKUP(LEFT($A117,LEN(A117)-1)*1,Master!$D$27:$G$225,4,FALSE)</f>
        <v>Contributions for  Unemployment Insurance</v>
      </c>
      <c r="C117" s="519"/>
      <c r="D117" s="519"/>
      <c r="E117" s="519"/>
      <c r="F117" s="519"/>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18" t="str">
        <f>+VLOOKUP(LEFT($A118,LEN(A118)-1)*1,Master!$D$27:$G$225,4,FALSE)</f>
        <v>Other contributions</v>
      </c>
      <c r="C118" s="519"/>
      <c r="D118" s="519"/>
      <c r="E118" s="519"/>
      <c r="F118" s="519"/>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22" t="str">
        <f>+VLOOKUP(LEFT($A119,LEN(A119)-1)*1,Master!$D$27:$G$225,4,FALSE)</f>
        <v>Duties</v>
      </c>
      <c r="C119" s="523"/>
      <c r="D119" s="523"/>
      <c r="E119" s="523"/>
      <c r="F119" s="523"/>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22" t="str">
        <f>+VLOOKUP(LEFT($A120,LEN(A120)-1)*1,Master!$D$27:$G$225,4,FALSE)</f>
        <v>Fees</v>
      </c>
      <c r="C120" s="523"/>
      <c r="D120" s="523"/>
      <c r="E120" s="523"/>
      <c r="F120" s="523"/>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22" t="str">
        <f>+VLOOKUP(LEFT($A121,LEN(A121)-1)*1,Master!$D$27:$G$225,4,FALSE)</f>
        <v>Other revenues</v>
      </c>
      <c r="C121" s="523"/>
      <c r="D121" s="523"/>
      <c r="E121" s="523"/>
      <c r="F121" s="523"/>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22" t="str">
        <f>+VLOOKUP(LEFT($A122,LEN(A122)-1)*1,Master!$D$27:$G$225,4,FALSE)</f>
        <v>Receipts from Repayment of Loans and Funds Carried over from Previous Year</v>
      </c>
      <c r="C122" s="523"/>
      <c r="D122" s="523"/>
      <c r="E122" s="523"/>
      <c r="F122" s="523"/>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24" t="str">
        <f>+VLOOKUP(LEFT($A123,LEN(A123)-1)*1,Master!$D$27:$G$225,4,FALSE)</f>
        <v>Grants and Transfers</v>
      </c>
      <c r="C123" s="525"/>
      <c r="D123" s="525"/>
      <c r="E123" s="525"/>
      <c r="F123" s="52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08" t="str">
        <f>+VLOOKUP(LEFT($A124,LEN(A124)-1)*1,Master!$D$27:$G$225,4,FALSE)</f>
        <v>Total Expenditures</v>
      </c>
      <c r="C124" s="509"/>
      <c r="D124" s="509"/>
      <c r="E124" s="509"/>
      <c r="F124" s="509"/>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26" t="str">
        <f>+VLOOKUP(LEFT($A125,LEN(A125)-1)*1,Master!$D$27:$G$225,4,FALSE)</f>
        <v>Current Budgetary Consumption</v>
      </c>
      <c r="C125" s="527"/>
      <c r="D125" s="527"/>
      <c r="E125" s="527"/>
      <c r="F125" s="527"/>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28" t="str">
        <f>+VLOOKUP(LEFT($A126,LEN(A126)-1)*1,Master!$D$27:$G$225,4,FALSE)</f>
        <v>Current Expenditures</v>
      </c>
      <c r="C126" s="529"/>
      <c r="D126" s="529"/>
      <c r="E126" s="529"/>
      <c r="F126" s="529"/>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18" t="str">
        <f>+VLOOKUP(LEFT($A127,LEN(A127)-1)*1,Master!$D$27:$G$225,4,FALSE)</f>
        <v>Gross Salaries and Contributions</v>
      </c>
      <c r="C127" s="519"/>
      <c r="D127" s="519"/>
      <c r="E127" s="519"/>
      <c r="F127" s="519"/>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18" t="str">
        <f>+VLOOKUP(LEFT($A128,LEN(A128)-1)*1,Master!$D$27:$G$225,4,FALSE)</f>
        <v>Other Personal Income</v>
      </c>
      <c r="C128" s="519"/>
      <c r="D128" s="519"/>
      <c r="E128" s="519"/>
      <c r="F128" s="519"/>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18" t="str">
        <f>+VLOOKUP(LEFT($A129,LEN(A129)-1)*1,Master!$D$27:$G$225,4,FALSE)</f>
        <v>Expenditures for Supplies</v>
      </c>
      <c r="C129" s="519"/>
      <c r="D129" s="519"/>
      <c r="E129" s="519"/>
      <c r="F129" s="519"/>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18" t="str">
        <f>+VLOOKUP(LEFT($A130,LEN(A130)-1)*1,Master!$D$27:$G$225,4,FALSE)</f>
        <v>Expenditures for Services</v>
      </c>
      <c r="C130" s="519"/>
      <c r="D130" s="519"/>
      <c r="E130" s="519"/>
      <c r="F130" s="519"/>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18" t="str">
        <f>+VLOOKUP(LEFT($A131,LEN(A131)-1)*1,Master!$D$27:$G$225,4,FALSE)</f>
        <v>Current Maintenance</v>
      </c>
      <c r="C131" s="519"/>
      <c r="D131" s="519"/>
      <c r="E131" s="519"/>
      <c r="F131" s="519"/>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18" t="str">
        <f>+VLOOKUP(LEFT($A132,LEN(A132)-1)*1,Master!$D$27:$G$225,4,FALSE)</f>
        <v>Interests</v>
      </c>
      <c r="C132" s="519"/>
      <c r="D132" s="519"/>
      <c r="E132" s="519"/>
      <c r="F132" s="519"/>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18" t="str">
        <f>+VLOOKUP(LEFT($A133,LEN(A133)-1)*1,Master!$D$27:$G$225,4,FALSE)</f>
        <v>Rent</v>
      </c>
      <c r="C133" s="519"/>
      <c r="D133" s="519"/>
      <c r="E133" s="519"/>
      <c r="F133" s="519"/>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18" t="str">
        <f>+VLOOKUP(LEFT($A134,LEN(A134)-1)*1,Master!$D$27:$G$225,4,FALSE)</f>
        <v>Subsidies</v>
      </c>
      <c r="C134" s="519"/>
      <c r="D134" s="519"/>
      <c r="E134" s="519"/>
      <c r="F134" s="519"/>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18" t="str">
        <f>+VLOOKUP(LEFT($A135,LEN(A135)-1)*1,Master!$D$27:$G$225,4,FALSE)</f>
        <v>Other expenditures</v>
      </c>
      <c r="C135" s="519"/>
      <c r="D135" s="519"/>
      <c r="E135" s="519"/>
      <c r="F135" s="519"/>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18" t="str">
        <f>+VLOOKUP(LEFT($A136,LEN(A136)-1)*1,Master!$D$27:$G$225,4,FALSE)</f>
        <v>Current Capital Expenditure</v>
      </c>
      <c r="C136" s="519"/>
      <c r="D136" s="519"/>
      <c r="E136" s="519"/>
      <c r="F136" s="519"/>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14" t="str">
        <f>+VLOOKUP(LEFT($A137,LEN(A137)-1)*1,Master!$D$27:$G$225,4,FALSE)</f>
        <v>Social Security Transfers</v>
      </c>
      <c r="C137" s="515"/>
      <c r="D137" s="515"/>
      <c r="E137" s="515"/>
      <c r="F137" s="51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18" t="str">
        <f>+VLOOKUP(LEFT($A138,LEN(A138)-1)*1,Master!$D$27:$G$225,4,FALSE)</f>
        <v>Social Security</v>
      </c>
      <c r="C138" s="519"/>
      <c r="D138" s="519"/>
      <c r="E138" s="519"/>
      <c r="F138" s="519"/>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18" t="str">
        <f>+VLOOKUP(LEFT($A139,LEN(A139)-1)*1,Master!$D$27:$G$225,4,FALSE)</f>
        <v>Funds for redundant labor</v>
      </c>
      <c r="C139" s="519"/>
      <c r="D139" s="519"/>
      <c r="E139" s="519"/>
      <c r="F139" s="519"/>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18" t="str">
        <f>+VLOOKUP(LEFT($A140,LEN(A140)-1)*1,Master!$D$27:$G$225,4,FALSE)</f>
        <v>Pension and Disability Insurance</v>
      </c>
      <c r="C140" s="519"/>
      <c r="D140" s="519"/>
      <c r="E140" s="519"/>
      <c r="F140" s="519"/>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18" t="str">
        <f>+VLOOKUP(LEFT($A141,LEN(A141)-1)*1,Master!$D$27:$G$225,4,FALSE)</f>
        <v>Other Health Care Transfers</v>
      </c>
      <c r="C141" s="519"/>
      <c r="D141" s="519"/>
      <c r="E141" s="519"/>
      <c r="F141" s="519"/>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18" t="str">
        <f>+VLOOKUP(LEFT($A142,LEN(A142)-1)*1,Master!$D$27:$G$225,4,FALSE)</f>
        <v>Other Health Care Insurance</v>
      </c>
      <c r="C142" s="519"/>
      <c r="D142" s="519"/>
      <c r="E142" s="519"/>
      <c r="F142" s="519"/>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20" t="str">
        <f>+VLOOKUP(LEFT($A143,LEN(A143)-1)*1,Master!$D$27:$G$225,4,FALSE)</f>
        <v xml:space="preserve">Transfers to Institutions, Individuals, NGO and Public Sector </v>
      </c>
      <c r="C143" s="521"/>
      <c r="D143" s="521"/>
      <c r="E143" s="521"/>
      <c r="F143" s="521"/>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20" t="str">
        <f>+VLOOKUP(LEFT($A144,LEN(A144)-1)*1,Master!$D$27:$G$225,4,FALSE)</f>
        <v>Capital Expenditure</v>
      </c>
      <c r="C144" s="521"/>
      <c r="D144" s="521"/>
      <c r="E144" s="521"/>
      <c r="F144" s="521"/>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02" t="str">
        <f>+VLOOKUP(LEFT($A145,LEN(A145)-1)*1,Master!$D$27:$G$225,4,FALSE)</f>
        <v>Credits and Borrowings</v>
      </c>
      <c r="C145" s="503"/>
      <c r="D145" s="503"/>
      <c r="E145" s="503"/>
      <c r="F145" s="503"/>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02" t="str">
        <f>+VLOOKUP(LEFT($A146,LEN(A146)-1)*1,Master!$D$27:$G$225,4,FALSE)</f>
        <v>Reserves</v>
      </c>
      <c r="C146" s="503"/>
      <c r="D146" s="503"/>
      <c r="E146" s="503"/>
      <c r="F146" s="503"/>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16" t="str">
        <f>+VLOOKUP(LEFT($A147,LEN(A147)-1)*1,Master!$D$27:$G$225,4,FALSE)</f>
        <v>Repayment of Guarantees</v>
      </c>
      <c r="C147" s="517"/>
      <c r="D147" s="517"/>
      <c r="E147" s="517"/>
      <c r="F147" s="51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10" t="str">
        <f>+VLOOKUP(LEFT($A148,LEN(A148)-1)*1,Master!$D$27:$G$225,4,FALSE)</f>
        <v>Surplus / deficit</v>
      </c>
      <c r="C148" s="511"/>
      <c r="D148" s="511"/>
      <c r="E148" s="511"/>
      <c r="F148" s="511"/>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12" t="str">
        <f>+VLOOKUP(LEFT($A149,LEN(A149)-1)*1,Master!$D$27:$G$225,4,FALSE)</f>
        <v>Primary balance</v>
      </c>
      <c r="C149" s="513"/>
      <c r="D149" s="513"/>
      <c r="E149" s="513"/>
      <c r="F149" s="513"/>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14" t="str">
        <f>+VLOOKUP(LEFT($A150,LEN(A150)-1)*1,Master!$D$27:$G$225,4,FALSE)</f>
        <v>Repayment of Debt</v>
      </c>
      <c r="C150" s="515"/>
      <c r="D150" s="515"/>
      <c r="E150" s="515"/>
      <c r="F150" s="51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04" t="str">
        <f>+VLOOKUP(LEFT($A151,LEN(A151)-1)*1,Master!$D$27:$G$225,4,FALSE)</f>
        <v>Repayment of Domestic Debt</v>
      </c>
      <c r="C151" s="505"/>
      <c r="D151" s="505"/>
      <c r="E151" s="505"/>
      <c r="F151" s="505"/>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02" t="str">
        <f>+VLOOKUP(LEFT($A152,LEN(A152)-1)*1,Master!$D$27:$G$225,4,FALSE)</f>
        <v>Repayment of Foreign Debt</v>
      </c>
      <c r="C152" s="503"/>
      <c r="D152" s="503"/>
      <c r="E152" s="503"/>
      <c r="F152" s="503"/>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16" t="str">
        <f>+VLOOKUP(LEFT($A153,LEN(A153)-1)*1,Master!$D$27:$G$225,4,FALSE)</f>
        <v>Repayments of Arrears</v>
      </c>
      <c r="C153" s="517"/>
      <c r="D153" s="517"/>
      <c r="E153" s="517"/>
      <c r="F153" s="51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06" t="str">
        <f>+VLOOKUP(LEFT($A154,LEN(A154)-1)*1,Master!$D$27:$G$225,4,FALSE)</f>
        <v>Financing needs</v>
      </c>
      <c r="C154" s="507"/>
      <c r="D154" s="507"/>
      <c r="E154" s="507"/>
      <c r="F154" s="507"/>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08" t="str">
        <f>+VLOOKUP(LEFT($A155,LEN(A155)-1)*1,Master!$D$27:$G$225,4,FALSE)</f>
        <v>Financing</v>
      </c>
      <c r="C155" s="509"/>
      <c r="D155" s="509"/>
      <c r="E155" s="509"/>
      <c r="F155" s="509"/>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04" t="str">
        <f>+VLOOKUP(LEFT($A156,LEN(A156)-1)*1,Master!$D$27:$G$225,4,FALSE)</f>
        <v>Domestic Loans and Borrowings</v>
      </c>
      <c r="C156" s="505"/>
      <c r="D156" s="505"/>
      <c r="E156" s="505"/>
      <c r="F156" s="505"/>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02" t="str">
        <f>+VLOOKUP(LEFT($A157,LEN(A157)-1)*1,Master!$D$27:$G$225,4,FALSE)</f>
        <v>Foreign Loans and Borrowings</v>
      </c>
      <c r="C157" s="503"/>
      <c r="D157" s="503"/>
      <c r="E157" s="503"/>
      <c r="F157" s="503"/>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02" t="str">
        <f>+VLOOKUP(LEFT($A158,LEN(A158)-1)*1,Master!$D$27:$G$225,4,FALSE)</f>
        <v>Revenues from Selling Assets</v>
      </c>
      <c r="C158" s="503"/>
      <c r="D158" s="503"/>
      <c r="E158" s="503"/>
      <c r="F158" s="503"/>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56:F156"/>
    <mergeCell ref="B157:F157"/>
    <mergeCell ref="B158:F158"/>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9:F109"/>
    <mergeCell ref="B110:F110"/>
    <mergeCell ref="B111:F111"/>
    <mergeCell ref="B112:F112"/>
    <mergeCell ref="B113:F113"/>
    <mergeCell ref="G102:R102"/>
    <mergeCell ref="S103:T103"/>
    <mergeCell ref="B105:F105"/>
    <mergeCell ref="B106:F106"/>
    <mergeCell ref="B107:F107"/>
    <mergeCell ref="B108:F108"/>
    <mergeCell ref="B61:F61"/>
    <mergeCell ref="B62:F62"/>
    <mergeCell ref="B63:F63"/>
    <mergeCell ref="B64:F64"/>
    <mergeCell ref="B65:F65"/>
    <mergeCell ref="B102:F104"/>
    <mergeCell ref="B54:F54"/>
    <mergeCell ref="B55:F55"/>
    <mergeCell ref="B57:F57"/>
    <mergeCell ref="B58:F58"/>
    <mergeCell ref="B59:F59"/>
    <mergeCell ref="B60:F60"/>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B13:F13"/>
    <mergeCell ref="B14:F14"/>
    <mergeCell ref="B15:F15"/>
    <mergeCell ref="B16:F16"/>
    <mergeCell ref="B17:F17"/>
    <mergeCell ref="B7:F9"/>
    <mergeCell ref="G7:R7"/>
    <mergeCell ref="S8:T8"/>
    <mergeCell ref="B10:F10"/>
    <mergeCell ref="B11:F11"/>
    <mergeCell ref="B12:F1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Analitika - 2014</vt:lpstr>
      <vt:lpstr>Breakdown</vt:lpstr>
      <vt:lpstr>Analytics - 2019</vt:lpstr>
      <vt:lpstr>2019</vt:lpstr>
      <vt:lpstr>2018</vt:lpstr>
      <vt:lpstr>2017</vt:lpstr>
      <vt:lpstr>2016</vt:lpstr>
      <vt:lpstr>Sheet1</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Nevena Cobeljic</cp:lastModifiedBy>
  <cp:lastPrinted>2017-03-01T13:10:49Z</cp:lastPrinted>
  <dcterms:created xsi:type="dcterms:W3CDTF">2014-09-15T13:41:17Z</dcterms:created>
  <dcterms:modified xsi:type="dcterms:W3CDTF">2019-07-18T07:39:03Z</dcterms:modified>
</cp:coreProperties>
</file>