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Maj 2024\za objava\"/>
    </mc:Choice>
  </mc:AlternateContent>
  <xr:revisionPtr revIDLastSave="0" documentId="8_{C7BFEB69-32A7-44E8-9F91-A81A22703AAA}" xr6:coauthVersionLast="36" xr6:coauthVersionMax="36" xr10:uidLastSave="{00000000-0000-0000-0000-000000000000}"/>
  <workbookProtection workbookAlgorithmName="SHA-512" workbookHashValue="FJWHZu4ts1GVvnZPYOubWIITw7/p/LSH8SLNVytrORqbJtfzICUb9AqTflAap/pU7dDJuo3N+MNQT1k0J2rOow==" workbookSaltValue="vjOudQ5B/leaGeGd+7mPtg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4" sheetId="11" r:id="rId3"/>
    <sheet name="2024" sheetId="26" r:id="rId4"/>
    <sheet name="2023" sheetId="27" state="hidden" r:id="rId5"/>
    <sheet name="2022" sheetId="25" state="hidden" r:id="rId6"/>
    <sheet name="2021" sheetId="22" state="hidden" r:id="rId7"/>
    <sheet name="2020" sheetId="19" state="hidden" r:id="rId8"/>
    <sheet name="2019" sheetId="20" state="hidden" r:id="rId9"/>
    <sheet name="2018" sheetId="21" state="hidden" r:id="rId10"/>
    <sheet name="DataEx" sheetId="6" state="hidden" r:id="rId11"/>
    <sheet name="Master" sheetId="2" state="hidden" r:id="rId12"/>
  </sheets>
  <externalReferences>
    <externalReference r:id="rId13"/>
    <externalReference r:id="rId14"/>
  </externalReferences>
  <definedNames>
    <definedName name="_2015plan" localSheetId="9">'2018'!$A$103:$A$162</definedName>
    <definedName name="_2015plan" localSheetId="8">'2019'!$A$100:$A$159</definedName>
    <definedName name="_2015plan" localSheetId="7">'2020'!$A$100:$A$157</definedName>
    <definedName name="_2015plan" localSheetId="6">'2021'!$A$81:$A$138</definedName>
    <definedName name="_2015plan" localSheetId="5">'2022'!$A$83:$A$140</definedName>
    <definedName name="_2015plan" localSheetId="4">'2023'!$A$83:$A$142</definedName>
    <definedName name="_2015plan" localSheetId="3">'2024'!$A$83:$A$142</definedName>
  </definedNames>
  <calcPr calcId="191029"/>
</workbook>
</file>

<file path=xl/calcChain.xml><?xml version="1.0" encoding="utf-8"?>
<calcChain xmlns="http://schemas.openxmlformats.org/spreadsheetml/2006/main">
  <c r="R66" i="11" l="1"/>
  <c r="R65" i="11"/>
  <c r="R64" i="1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N65" i="11"/>
  <c r="N64" i="11"/>
  <c r="N63" i="11"/>
  <c r="N62" i="11"/>
  <c r="N59" i="11"/>
  <c r="N58" i="11"/>
  <c r="N57" i="11"/>
  <c r="N56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39" i="11"/>
  <c r="N38" i="11"/>
  <c r="N37" i="11"/>
  <c r="N36" i="11"/>
  <c r="N35" i="11"/>
  <c r="N34" i="11"/>
  <c r="N33" i="11"/>
  <c r="N32" i="11"/>
  <c r="N31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K28" i="26" l="1"/>
  <c r="J28" i="26"/>
  <c r="I28" i="26"/>
  <c r="H28" i="26"/>
  <c r="G28" i="26"/>
  <c r="K26" i="26"/>
  <c r="J26" i="26"/>
  <c r="I26" i="26"/>
  <c r="H26" i="26"/>
  <c r="G26" i="26"/>
  <c r="K25" i="26"/>
  <c r="J25" i="26"/>
  <c r="I25" i="26"/>
  <c r="H25" i="26"/>
  <c r="G25" i="26"/>
  <c r="K24" i="26"/>
  <c r="J24" i="26"/>
  <c r="I24" i="26"/>
  <c r="H24" i="26"/>
  <c r="G24" i="26"/>
  <c r="K23" i="26"/>
  <c r="J23" i="26"/>
  <c r="I23" i="26"/>
  <c r="H23" i="26"/>
  <c r="G23" i="26"/>
  <c r="K22" i="26"/>
  <c r="J22" i="26"/>
  <c r="I22" i="26"/>
  <c r="H22" i="26"/>
  <c r="G22" i="26"/>
  <c r="K21" i="26"/>
  <c r="J21" i="26"/>
  <c r="I21" i="26"/>
  <c r="H21" i="26"/>
  <c r="G21" i="26"/>
  <c r="K20" i="26"/>
  <c r="J20" i="26"/>
  <c r="I20" i="26"/>
  <c r="H20" i="26"/>
  <c r="G20" i="26"/>
  <c r="K18" i="26"/>
  <c r="J18" i="26"/>
  <c r="I18" i="26"/>
  <c r="H18" i="26"/>
  <c r="G18" i="26"/>
  <c r="K17" i="26"/>
  <c r="J17" i="26"/>
  <c r="I17" i="26"/>
  <c r="H17" i="26"/>
  <c r="G17" i="26"/>
  <c r="K16" i="26"/>
  <c r="J16" i="26"/>
  <c r="I16" i="26"/>
  <c r="H16" i="26"/>
  <c r="G16" i="26"/>
  <c r="K15" i="26"/>
  <c r="J15" i="26"/>
  <c r="I15" i="26"/>
  <c r="H15" i="26"/>
  <c r="G15" i="26"/>
  <c r="K14" i="26"/>
  <c r="J14" i="26"/>
  <c r="I14" i="26"/>
  <c r="H14" i="26"/>
  <c r="G14" i="26"/>
  <c r="K13" i="26"/>
  <c r="J13" i="26"/>
  <c r="I13" i="26"/>
  <c r="H13" i="26"/>
  <c r="G13" i="26"/>
  <c r="K12" i="26"/>
  <c r="J12" i="26"/>
  <c r="I12" i="26"/>
  <c r="H12" i="26"/>
  <c r="G12" i="26"/>
  <c r="G19" i="26" l="1"/>
  <c r="H19" i="26"/>
  <c r="G55" i="26" l="1"/>
  <c r="I19" i="26" l="1"/>
  <c r="A142" i="27" l="1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S115" i="27"/>
  <c r="T115" i="27" s="1"/>
  <c r="R115" i="27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J105" i="27" s="1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I29" i="27" s="1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O11" i="27"/>
  <c r="O10" i="27" s="1"/>
  <c r="N11" i="27"/>
  <c r="N10" i="27" s="1"/>
  <c r="M11" i="27"/>
  <c r="M10" i="27" s="1"/>
  <c r="L11" i="27"/>
  <c r="K11" i="27"/>
  <c r="K10" i="27" s="1"/>
  <c r="J11" i="27"/>
  <c r="J10" i="27" s="1"/>
  <c r="I11" i="27"/>
  <c r="I10" i="27" s="1"/>
  <c r="H11" i="27"/>
  <c r="G11" i="27"/>
  <c r="R10" i="27"/>
  <c r="P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J86" i="27" l="1"/>
  <c r="N86" i="27"/>
  <c r="R86" i="27"/>
  <c r="H10" i="27"/>
  <c r="H105" i="27"/>
  <c r="L105" i="27"/>
  <c r="P105" i="27"/>
  <c r="P129" i="27" s="1"/>
  <c r="H29" i="27"/>
  <c r="K29" i="27"/>
  <c r="P29" i="27"/>
  <c r="J29" i="27"/>
  <c r="J129" i="27"/>
  <c r="N129" i="27"/>
  <c r="H129" i="27"/>
  <c r="H130" i="27" s="1"/>
  <c r="G86" i="27"/>
  <c r="K86" i="27"/>
  <c r="O86" i="27"/>
  <c r="S123" i="27"/>
  <c r="T123" i="27" s="1"/>
  <c r="I105" i="27"/>
  <c r="M105" i="27"/>
  <c r="M129" i="27" s="1"/>
  <c r="Q105" i="27"/>
  <c r="Q129" i="27" s="1"/>
  <c r="L10" i="27"/>
  <c r="R106" i="27"/>
  <c r="R105" i="27" s="1"/>
  <c r="R129" i="27" s="1"/>
  <c r="G105" i="27"/>
  <c r="G129" i="27" s="1"/>
  <c r="K105" i="27"/>
  <c r="K129" i="27" s="1"/>
  <c r="K130" i="27" s="1"/>
  <c r="O105" i="27"/>
  <c r="L129" i="27"/>
  <c r="L130" i="27" s="1"/>
  <c r="G29" i="27"/>
  <c r="G53" i="27" s="1"/>
  <c r="O29" i="27"/>
  <c r="O53" i="27" s="1"/>
  <c r="O60" i="27" s="1"/>
  <c r="O66" i="27" s="1"/>
  <c r="O61" i="27" s="1"/>
  <c r="G10" i="27"/>
  <c r="S95" i="27"/>
  <c r="T95" i="27" s="1"/>
  <c r="S87" i="27"/>
  <c r="T87" i="27" s="1"/>
  <c r="S131" i="27"/>
  <c r="T131" i="27" s="1"/>
  <c r="S55" i="27"/>
  <c r="T55" i="27" s="1"/>
  <c r="K53" i="27"/>
  <c r="K60" i="27" s="1"/>
  <c r="K66" i="27" s="1"/>
  <c r="K61" i="27" s="1"/>
  <c r="I53" i="27"/>
  <c r="I60" i="27" s="1"/>
  <c r="I66" i="27" s="1"/>
  <c r="I61" i="27" s="1"/>
  <c r="P53" i="27"/>
  <c r="P54" i="27" s="1"/>
  <c r="L53" i="27"/>
  <c r="L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N136" i="27"/>
  <c r="N142" i="27" s="1"/>
  <c r="N137" i="27" s="1"/>
  <c r="N130" i="27"/>
  <c r="S40" i="27"/>
  <c r="T40" i="27" s="1"/>
  <c r="J136" i="27"/>
  <c r="J142" i="27" s="1"/>
  <c r="J137" i="27" s="1"/>
  <c r="J130" i="27"/>
  <c r="L136" i="27"/>
  <c r="L142" i="27" s="1"/>
  <c r="L137" i="27" s="1"/>
  <c r="S11" i="27"/>
  <c r="T11" i="27" s="1"/>
  <c r="I129" i="27"/>
  <c r="S116" i="27"/>
  <c r="T116" i="27" s="1"/>
  <c r="S109" i="27"/>
  <c r="T109" i="27" s="1"/>
  <c r="P130" i="27" l="1"/>
  <c r="P136" i="27"/>
  <c r="P142" i="27" s="1"/>
  <c r="P137" i="27" s="1"/>
  <c r="S10" i="27"/>
  <c r="T10" i="27" s="1"/>
  <c r="S86" i="27"/>
  <c r="T86" i="27" s="1"/>
  <c r="H53" i="27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H60" i="27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S53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H66" i="27" l="1"/>
  <c r="H54" i="27"/>
  <c r="O130" i="27"/>
  <c r="O136" i="27"/>
  <c r="O142" i="27" s="1"/>
  <c r="O137" i="27" s="1"/>
  <c r="G66" i="27"/>
  <c r="S130" i="27"/>
  <c r="T130" i="27" s="1"/>
  <c r="G142" i="27"/>
  <c r="S136" i="27"/>
  <c r="T136" i="27" s="1"/>
  <c r="S60" i="27"/>
  <c r="T53" i="27"/>
  <c r="S59" i="11"/>
  <c r="P59" i="11"/>
  <c r="S54" i="27" l="1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T141" i="26" l="1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N55" i="11" s="1"/>
  <c r="K40" i="26"/>
  <c r="N40" i="11" s="1"/>
  <c r="K30" i="26"/>
  <c r="N30" i="11" s="1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L86" i="26"/>
  <c r="L29" i="26"/>
  <c r="J10" i="26"/>
  <c r="J29" i="26"/>
  <c r="J86" i="26"/>
  <c r="H86" i="26"/>
  <c r="K29" i="26"/>
  <c r="N29" i="11" s="1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I129" i="26"/>
  <c r="H129" i="26"/>
  <c r="L53" i="26"/>
  <c r="L54" i="26" s="1"/>
  <c r="J129" i="26"/>
  <c r="J53" i="26"/>
  <c r="K53" i="26"/>
  <c r="G129" i="26"/>
  <c r="G136" i="26" s="1"/>
  <c r="G142" i="26" s="1"/>
  <c r="K129" i="26"/>
  <c r="K136" i="26" s="1"/>
  <c r="K142" i="26" s="1"/>
  <c r="L130" i="26"/>
  <c r="L137" i="26"/>
  <c r="I130" i="26"/>
  <c r="K54" i="26" l="1"/>
  <c r="N54" i="11" s="1"/>
  <c r="N53" i="11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L66" i="26" s="1"/>
  <c r="L61" i="26" s="1"/>
  <c r="K60" i="26"/>
  <c r="G130" i="26"/>
  <c r="K130" i="26"/>
  <c r="T65" i="11"/>
  <c r="S65" i="11"/>
  <c r="K66" i="26" l="1"/>
  <c r="N60" i="11"/>
  <c r="J66" i="26"/>
  <c r="H142" i="26"/>
  <c r="K137" i="26"/>
  <c r="S59" i="26"/>
  <c r="S65" i="26"/>
  <c r="S59" i="25"/>
  <c r="S65" i="25"/>
  <c r="K61" i="26" l="1"/>
  <c r="N61" i="11" s="1"/>
  <c r="N66" i="11"/>
  <c r="J61" i="26"/>
  <c r="H137" i="26"/>
  <c r="G137" i="26"/>
  <c r="T59" i="26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48" i="26"/>
  <c r="G48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N54" i="26" s="1"/>
  <c r="D12" i="1"/>
  <c r="E12" i="1" s="1"/>
  <c r="Q53" i="26"/>
  <c r="Q60" i="26" s="1"/>
  <c r="O129" i="26"/>
  <c r="O136" i="26" s="1"/>
  <c r="O142" i="26" s="1"/>
  <c r="M53" i="26"/>
  <c r="M60" i="26" s="1"/>
  <c r="N129" i="26"/>
  <c r="N136" i="26" s="1"/>
  <c r="N142" i="26" s="1"/>
  <c r="R53" i="26"/>
  <c r="R129" i="26"/>
  <c r="P53" i="26"/>
  <c r="T55" i="26"/>
  <c r="G55" i="11"/>
  <c r="T19" i="26"/>
  <c r="G19" i="11"/>
  <c r="T11" i="26"/>
  <c r="G11" i="11"/>
  <c r="O53" i="26"/>
  <c r="P129" i="26"/>
  <c r="P136" i="26" s="1"/>
  <c r="P142" i="26" s="1"/>
  <c r="T106" i="26"/>
  <c r="Q129" i="26"/>
  <c r="M129" i="26"/>
  <c r="M136" i="26" s="1"/>
  <c r="M142" i="26" s="1"/>
  <c r="S105" i="26"/>
  <c r="S86" i="26"/>
  <c r="T86" i="26" s="1"/>
  <c r="S10" i="26"/>
  <c r="R130" i="26" l="1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R66" i="26" s="1"/>
  <c r="R61" i="26" s="1"/>
  <c r="P54" i="26"/>
  <c r="M66" i="26"/>
  <c r="O54" i="26"/>
  <c r="Q66" i="26"/>
  <c r="Q61" i="26" s="1"/>
  <c r="T10" i="26"/>
  <c r="G10" i="11"/>
  <c r="G12" i="1" s="1"/>
  <c r="H12" i="1" s="1"/>
  <c r="T105" i="26"/>
  <c r="Q130" i="26"/>
  <c r="M130" i="26"/>
  <c r="S129" i="26"/>
  <c r="T129" i="26" s="1"/>
  <c r="G11" i="2"/>
  <c r="P66" i="26" l="1"/>
  <c r="P61" i="26" s="1"/>
  <c r="O66" i="26"/>
  <c r="O61" i="26" s="1"/>
  <c r="N66" i="26"/>
  <c r="N61" i="26" s="1"/>
  <c r="M61" i="26"/>
  <c r="I10" i="11"/>
  <c r="S130" i="26"/>
  <c r="T130" i="26" s="1"/>
  <c r="S136" i="26"/>
  <c r="T136" i="26" s="1"/>
  <c r="P137" i="26" l="1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3" i="27" s="1"/>
  <c r="G252" i="2"/>
  <c r="G249" i="2"/>
  <c r="S7" i="27" s="1"/>
  <c r="S83" i="27" s="1"/>
  <c r="G243" i="2"/>
  <c r="G242" i="2"/>
  <c r="G241" i="2"/>
  <c r="P8" i="27" s="1"/>
  <c r="P84" i="27" s="1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7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DI49" i="6"/>
  <c r="DH49" i="6"/>
  <c r="DG49" i="6"/>
  <c r="DF49" i="6"/>
  <c r="DE49" i="6"/>
  <c r="DD49" i="6"/>
  <c r="DC49" i="6"/>
  <c r="CZ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CS350" i="6" l="1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7" s="1"/>
  <c r="T85" i="27" s="1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7" l="1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17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G43" i="11" l="1"/>
  <c r="T43" i="26"/>
  <c r="T31" i="26"/>
  <c r="G31" i="11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66" i="26" s="1"/>
  <c r="G61" i="26" s="1"/>
  <c r="G54" i="26"/>
  <c r="Q37" i="11" l="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T46" i="11" l="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T30" i="11"/>
  <c r="S30" i="11"/>
  <c r="P30" i="11"/>
  <c r="T37" i="26" l="1"/>
  <c r="G37" i="11"/>
  <c r="T50" i="26"/>
  <c r="G50" i="11"/>
  <c r="D16" i="1"/>
  <c r="E16" i="1" s="1"/>
  <c r="T29" i="11"/>
  <c r="S29" i="11"/>
  <c r="P29" i="11"/>
  <c r="Q29" i="11"/>
  <c r="T44" i="26"/>
  <c r="G44" i="11"/>
  <c r="T41" i="26"/>
  <c r="G41" i="11"/>
  <c r="G34" i="11"/>
  <c r="T34" i="26"/>
  <c r="H30" i="26"/>
  <c r="S32" i="26"/>
  <c r="T36" i="26"/>
  <c r="G36" i="11"/>
  <c r="S46" i="26"/>
  <c r="I60" i="26"/>
  <c r="I54" i="26"/>
  <c r="H40" i="26"/>
  <c r="S40" i="26" s="1"/>
  <c r="G38" i="11"/>
  <c r="T38" i="26"/>
  <c r="T45" i="26"/>
  <c r="G45" i="11"/>
  <c r="T39" i="26"/>
  <c r="G39" i="11"/>
  <c r="T47" i="26"/>
  <c r="G47" i="11"/>
  <c r="T33" i="26"/>
  <c r="G33" i="11"/>
  <c r="G49" i="11"/>
  <c r="T49" i="26"/>
  <c r="T35" i="26"/>
  <c r="G35" i="11"/>
  <c r="T42" i="26"/>
  <c r="G42" i="11"/>
  <c r="I49" i="11" l="1"/>
  <c r="J49" i="11"/>
  <c r="M49" i="11"/>
  <c r="L49" i="11"/>
  <c r="T54" i="11"/>
  <c r="S54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D20" i="1"/>
  <c r="E20" i="1" s="1"/>
  <c r="T53" i="11"/>
  <c r="S53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G40" i="11"/>
  <c r="T40" i="26"/>
  <c r="T46" i="26"/>
  <c r="G46" i="11"/>
  <c r="G32" i="11"/>
  <c r="T32" i="26"/>
  <c r="I41" i="11"/>
  <c r="J41" i="11"/>
  <c r="M41" i="11"/>
  <c r="L41" i="11"/>
  <c r="I61" i="26" l="1"/>
  <c r="I32" i="11"/>
  <c r="J32" i="11"/>
  <c r="M32" i="11"/>
  <c r="L32" i="11"/>
  <c r="J40" i="11"/>
  <c r="I40" i="11"/>
  <c r="M40" i="11"/>
  <c r="L40" i="11"/>
  <c r="T30" i="26"/>
  <c r="G30" i="11"/>
  <c r="M46" i="11"/>
  <c r="L46" i="11"/>
  <c r="I46" i="11"/>
  <c r="J46" i="11"/>
  <c r="P60" i="11"/>
  <c r="T60" i="11"/>
  <c r="S60" i="11"/>
  <c r="Q60" i="11"/>
  <c r="H53" i="26"/>
  <c r="S29" i="26"/>
  <c r="J30" i="11" l="1"/>
  <c r="I30" i="11"/>
  <c r="L30" i="11"/>
  <c r="M30" i="11"/>
  <c r="G29" i="11"/>
  <c r="T29" i="26"/>
  <c r="T66" i="11"/>
  <c r="S66" i="11"/>
  <c r="Q66" i="11"/>
  <c r="P66" i="11"/>
  <c r="H54" i="26"/>
  <c r="S54" i="26" s="1"/>
  <c r="H60" i="26"/>
  <c r="H66" i="26" s="1"/>
  <c r="H61" i="26" s="1"/>
  <c r="S61" i="26" s="1"/>
  <c r="S53" i="26"/>
  <c r="P61" i="11"/>
  <c r="T61" i="11"/>
  <c r="S61" i="11"/>
  <c r="Q61" i="11"/>
  <c r="T61" i="26" l="1"/>
  <c r="G61" i="11"/>
  <c r="T54" i="26"/>
  <c r="G54" i="11"/>
  <c r="S60" i="26"/>
  <c r="T53" i="26"/>
  <c r="G53" i="11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T60" i="26"/>
  <c r="G60" i="11"/>
  <c r="L60" i="11" l="1"/>
  <c r="M60" i="11"/>
  <c r="J60" i="11"/>
  <c r="I60" i="11"/>
  <c r="G66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<sst xmlns="http://schemas.openxmlformats.org/spreadsheetml/2006/main" count="1865" uniqueCount="869">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</sst>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7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9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9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-maj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1.089,4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105.4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10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7%. </a:t>
          </a:r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iznosili su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1.0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56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96,9 mil. € ili 8,4% dok su u odnosu na isti period 2023. godine veći za  181,3 mil. € ili 20,7%.</a:t>
          </a: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maj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2024. godine zabilježen je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suficit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33.1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0,5% procijenjenog BDP-a.</a:t>
          </a:r>
          <a:endParaRPr lang="en-US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52916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42767" y="1323976"/>
          <a:ext cx="4946649" cy="294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4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4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5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6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6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7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8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ica.rahovic/Desktop/Izvje&#353;taji%20Ministarstvo%20finansija/Izvje&#353;taji%20o%20izvr&#353;enju%20bud&#382;eta%20za%202024/MAJ%202024/Izvjestaj%20za%202024%20-%20EKON%20klasifikacija%20-%20sa%20jednim%20NT%20sheetom-%2024-6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Klasifikacija"/>
      <sheetName val="SAP u BMIS"/>
      <sheetName val="Mjesečni plan"/>
      <sheetName val="EKON prihodi mjes 2024"/>
      <sheetName val="EKON rashodi mjes 2024"/>
      <sheetName val="PROG rashodi mjes 2024"/>
      <sheetName val="ORG rashodi mjes 2024"/>
      <sheetName val="COFOG rashodi mjes 2024"/>
      <sheetName val="GDDS Tabela 2024"/>
      <sheetName val="Mjesecno izvršenje 2022 EKON"/>
      <sheetName val="EKON Analitika"/>
      <sheetName val="EKON Tek i Kap Analitika"/>
      <sheetName val="PROG Analitika"/>
      <sheetName val="ORG Analitika"/>
      <sheetName val="COFOG Analitika"/>
      <sheetName val="Fiskalni okvir"/>
      <sheetName val="NT Total"/>
      <sheetName val="FI 7"/>
      <sheetName val="ZGIGA 2023 Final"/>
      <sheetName val="Uskladjivanje"/>
    </sheetNames>
    <sheetDataSet>
      <sheetData sheetId="0"/>
      <sheetData sheetId="1"/>
      <sheetData sheetId="2"/>
      <sheetData sheetId="3"/>
      <sheetData sheetId="4">
        <row r="7">
          <cell r="C7">
            <v>7</v>
          </cell>
          <cell r="D7" t="str">
            <v>PRIMICI</v>
          </cell>
          <cell r="E7">
            <v>155672524.17999998</v>
          </cell>
          <cell r="F7">
            <v>183548062.50999996</v>
          </cell>
          <cell r="G7">
            <v>936619158.13999999</v>
          </cell>
          <cell r="H7">
            <v>322662979.16000003</v>
          </cell>
          <cell r="I7">
            <v>195263240.70999998</v>
          </cell>
          <cell r="J7">
            <v>175719155.31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1969485120.0099998</v>
          </cell>
        </row>
        <row r="8">
          <cell r="C8">
            <v>71</v>
          </cell>
          <cell r="D8" t="str">
            <v>Tekući izdaci</v>
          </cell>
          <cell r="E8">
            <v>149555641.96000001</v>
          </cell>
          <cell r="F8">
            <v>180134957.60999998</v>
          </cell>
          <cell r="G8">
            <v>241266938.17000005</v>
          </cell>
          <cell r="H8">
            <v>315586892.03000003</v>
          </cell>
          <cell r="I8">
            <v>191651964.90999997</v>
          </cell>
          <cell r="J8">
            <v>173422895.89000002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1251619290.5699999</v>
          </cell>
        </row>
        <row r="9">
          <cell r="C9">
            <v>711</v>
          </cell>
          <cell r="D9" t="str">
            <v>Porezi</v>
          </cell>
          <cell r="E9">
            <v>122011952.05999999</v>
          </cell>
          <cell r="F9">
            <v>121308599.17</v>
          </cell>
          <cell r="G9">
            <v>184557374.95000002</v>
          </cell>
          <cell r="H9">
            <v>237707133</v>
          </cell>
          <cell r="I9">
            <v>140725508.57999998</v>
          </cell>
          <cell r="J9">
            <v>123444196.54000002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929754764.29999995</v>
          </cell>
        </row>
        <row r="10">
          <cell r="C10">
            <v>7111</v>
          </cell>
          <cell r="D10" t="str">
            <v>Porez na dohodak fizičkih lica</v>
          </cell>
          <cell r="E10">
            <v>1998079.1499999992</v>
          </cell>
          <cell r="F10">
            <v>6162755.9099999974</v>
          </cell>
          <cell r="G10">
            <v>6774640.8399999999</v>
          </cell>
          <cell r="H10">
            <v>9120679.6699999962</v>
          </cell>
          <cell r="I10">
            <v>7999182.8500000024</v>
          </cell>
          <cell r="J10">
            <v>5059711.5299999984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37115049.949999996</v>
          </cell>
        </row>
        <row r="11">
          <cell r="C11">
            <v>7112</v>
          </cell>
          <cell r="D11" t="str">
            <v>Porez na dobit pravnih lica</v>
          </cell>
          <cell r="E11">
            <v>1951464.9</v>
          </cell>
          <cell r="F11">
            <v>5771727.9400000023</v>
          </cell>
          <cell r="G11">
            <v>71210822.510000005</v>
          </cell>
          <cell r="H11">
            <v>100269900.83999997</v>
          </cell>
          <cell r="I11">
            <v>6533790.1499999994</v>
          </cell>
          <cell r="J11">
            <v>4131187.1100000003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189868893.45000002</v>
          </cell>
        </row>
        <row r="12">
          <cell r="C12">
            <v>7113</v>
          </cell>
          <cell r="D12" t="str">
            <v>Porez na promet nepokretnosti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7114</v>
          </cell>
          <cell r="D13" t="str">
            <v>Porez na dodatu vrijednost</v>
          </cell>
          <cell r="E13">
            <v>91572726.909999996</v>
          </cell>
          <cell r="F13">
            <v>81980319.979999989</v>
          </cell>
          <cell r="G13">
            <v>78800496.590000004</v>
          </cell>
          <cell r="H13">
            <v>94537941.62000002</v>
          </cell>
          <cell r="I13">
            <v>88184792.75</v>
          </cell>
          <cell r="J13">
            <v>80824573.74000001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515900851.59000003</v>
          </cell>
        </row>
        <row r="14">
          <cell r="C14">
            <v>7115</v>
          </cell>
          <cell r="D14" t="str">
            <v>Akcize</v>
          </cell>
          <cell r="E14">
            <v>22556344.95999999</v>
          </cell>
          <cell r="F14">
            <v>22366846.550000004</v>
          </cell>
          <cell r="G14">
            <v>21994790.36999999</v>
          </cell>
          <cell r="H14">
            <v>26932676.209999997</v>
          </cell>
          <cell r="I14">
            <v>31723753.749999993</v>
          </cell>
          <cell r="J14">
            <v>28675006.820000008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154249418.65999997</v>
          </cell>
        </row>
        <row r="15">
          <cell r="C15">
            <v>7116</v>
          </cell>
          <cell r="D15" t="str">
            <v>Porez na međunarodnu trgovinu i transakcije</v>
          </cell>
          <cell r="E15">
            <v>2997811.1100000008</v>
          </cell>
          <cell r="F15">
            <v>3849203.2799999993</v>
          </cell>
          <cell r="G15">
            <v>4636318.0900000017</v>
          </cell>
          <cell r="H15">
            <v>5632584.1600000011</v>
          </cell>
          <cell r="I15">
            <v>5010618.790000001</v>
          </cell>
          <cell r="J15">
            <v>3702440.6200000006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25828976.050000008</v>
          </cell>
        </row>
        <row r="16">
          <cell r="C16">
            <v>7117</v>
          </cell>
          <cell r="D16" t="str">
            <v>Lokalni porezi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7118</v>
          </cell>
          <cell r="D17" t="str">
            <v>Ostali republički porezi</v>
          </cell>
          <cell r="E17">
            <v>935525.02999999968</v>
          </cell>
          <cell r="F17">
            <v>1177745.5100000002</v>
          </cell>
          <cell r="G17">
            <v>1140306.55</v>
          </cell>
          <cell r="H17">
            <v>1213350.5000000002</v>
          </cell>
          <cell r="I17">
            <v>1273370.2899999998</v>
          </cell>
          <cell r="J17">
            <v>1051276.7199999997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6791574.5999999996</v>
          </cell>
        </row>
        <row r="18">
          <cell r="C18">
            <v>712</v>
          </cell>
          <cell r="D18" t="str">
            <v>Doprinosi</v>
          </cell>
          <cell r="E18">
            <v>13548213.420000004</v>
          </cell>
          <cell r="F18">
            <v>51209301.960000008</v>
          </cell>
          <cell r="G18">
            <v>50079162.990000017</v>
          </cell>
          <cell r="H18">
            <v>58312079.650000051</v>
          </cell>
          <cell r="I18">
            <v>44239433.410000004</v>
          </cell>
          <cell r="J18">
            <v>44264349.660000019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261652541.09000012</v>
          </cell>
        </row>
        <row r="19">
          <cell r="C19">
            <v>7121</v>
          </cell>
          <cell r="D19" t="str">
            <v>Doprinosi za penzijsko i invalidsko osiguranje</v>
          </cell>
          <cell r="E19">
            <v>12277377.310000004</v>
          </cell>
          <cell r="F19">
            <v>47091163.350000009</v>
          </cell>
          <cell r="G19">
            <v>45892077.740000017</v>
          </cell>
          <cell r="H19">
            <v>53612426.220000051</v>
          </cell>
          <cell r="I19">
            <v>40659761.590000004</v>
          </cell>
          <cell r="J19">
            <v>40621603.590000018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240154409.80000013</v>
          </cell>
        </row>
        <row r="20">
          <cell r="C20">
            <v>7122</v>
          </cell>
          <cell r="D20" t="str">
            <v>Doprinosi za zdravstveno osiguranje</v>
          </cell>
          <cell r="E20">
            <v>307850.36</v>
          </cell>
          <cell r="F20">
            <v>382153.79999999981</v>
          </cell>
          <cell r="G20">
            <v>494660.43000000023</v>
          </cell>
          <cell r="H20">
            <v>456232.43000000005</v>
          </cell>
          <cell r="I20">
            <v>296984.01999999996</v>
          </cell>
          <cell r="J20">
            <v>332193.53000000026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2270074.5700000003</v>
          </cell>
        </row>
        <row r="21">
          <cell r="C21">
            <v>7123</v>
          </cell>
          <cell r="D21" t="str">
            <v>Doprinosi za osiguranje od nezaposlenosti</v>
          </cell>
          <cell r="E21">
            <v>569229.31000000017</v>
          </cell>
          <cell r="F21">
            <v>2203988.56</v>
          </cell>
          <cell r="G21">
            <v>2137007.6800000002</v>
          </cell>
          <cell r="H21">
            <v>2464722.0799999996</v>
          </cell>
          <cell r="I21">
            <v>1910648.6899999997</v>
          </cell>
          <cell r="J21">
            <v>1909237.4600000009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11194833.780000001</v>
          </cell>
        </row>
        <row r="22">
          <cell r="C22">
            <v>7124</v>
          </cell>
          <cell r="D22" t="str">
            <v>Ostali doprinosi</v>
          </cell>
          <cell r="E22">
            <v>393756.44</v>
          </cell>
          <cell r="F22">
            <v>1531996.2499999995</v>
          </cell>
          <cell r="G22">
            <v>1555417.1400000006</v>
          </cell>
          <cell r="H22">
            <v>1778698.9200000009</v>
          </cell>
          <cell r="I22">
            <v>1372039.1099999996</v>
          </cell>
          <cell r="J22">
            <v>1401315.08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8033222.9400000004</v>
          </cell>
        </row>
        <row r="23">
          <cell r="C23">
            <v>713</v>
          </cell>
          <cell r="D23" t="str">
            <v>Takse</v>
          </cell>
          <cell r="E23">
            <v>859681.08999999973</v>
          </cell>
          <cell r="F23">
            <v>998586.78</v>
          </cell>
          <cell r="G23">
            <v>986568.82999999984</v>
          </cell>
          <cell r="H23">
            <v>1424375.75</v>
          </cell>
          <cell r="I23">
            <v>1204264.57</v>
          </cell>
          <cell r="J23">
            <v>959691.48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6433168.5</v>
          </cell>
        </row>
        <row r="24">
          <cell r="C24">
            <v>7131</v>
          </cell>
          <cell r="D24" t="str">
            <v>Administrativne takse</v>
          </cell>
          <cell r="E24">
            <v>644871.10999999975</v>
          </cell>
          <cell r="F24">
            <v>750033.75</v>
          </cell>
          <cell r="G24">
            <v>713007.54999999981</v>
          </cell>
          <cell r="H24">
            <v>989138.54</v>
          </cell>
          <cell r="I24">
            <v>812427.76</v>
          </cell>
          <cell r="J24">
            <v>602617.12999999989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4512095.84</v>
          </cell>
        </row>
        <row r="25">
          <cell r="C25">
            <v>7132</v>
          </cell>
          <cell r="D25" t="str">
            <v>Sudske takse</v>
          </cell>
          <cell r="E25">
            <v>85566.909999999989</v>
          </cell>
          <cell r="F25">
            <v>125995.68999999999</v>
          </cell>
          <cell r="G25">
            <v>134591.82000000004</v>
          </cell>
          <cell r="H25">
            <v>151980.88000000003</v>
          </cell>
          <cell r="I25">
            <v>97262.690000000031</v>
          </cell>
          <cell r="J25">
            <v>86073.500000000029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681471.49000000011</v>
          </cell>
        </row>
        <row r="26">
          <cell r="C26">
            <v>7133</v>
          </cell>
          <cell r="D26" t="str">
            <v>Boravišne takse</v>
          </cell>
          <cell r="E26">
            <v>58656.569999999992</v>
          </cell>
          <cell r="F26">
            <v>61194.92</v>
          </cell>
          <cell r="G26">
            <v>71668.990000000005</v>
          </cell>
          <cell r="H26">
            <v>91199.910000000018</v>
          </cell>
          <cell r="I26">
            <v>144615.93</v>
          </cell>
          <cell r="J26">
            <v>160784.08000000005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588120.4</v>
          </cell>
        </row>
        <row r="27">
          <cell r="C27">
            <v>7134</v>
          </cell>
          <cell r="D27" t="str">
            <v>Registracione takse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>
            <v>7135</v>
          </cell>
          <cell r="D28" t="str">
            <v>Lokalne komunalne takse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>
            <v>7136</v>
          </cell>
          <cell r="D29" t="str">
            <v>Ostale takse</v>
          </cell>
          <cell r="E29">
            <v>70586.499999999985</v>
          </cell>
          <cell r="F29">
            <v>61362.42</v>
          </cell>
          <cell r="G29">
            <v>67300.47</v>
          </cell>
          <cell r="H29">
            <v>192056.42</v>
          </cell>
          <cell r="I29">
            <v>149958.19</v>
          </cell>
          <cell r="J29">
            <v>110216.76999999999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651480.77</v>
          </cell>
        </row>
        <row r="30">
          <cell r="C30">
            <v>714</v>
          </cell>
          <cell r="D30" t="str">
            <v>Naknade</v>
          </cell>
          <cell r="E30">
            <v>2491580.6799999997</v>
          </cell>
          <cell r="F30">
            <v>4111753.23</v>
          </cell>
          <cell r="G30">
            <v>3497306.5900000008</v>
          </cell>
          <cell r="H30">
            <v>5307671.1800000034</v>
          </cell>
          <cell r="I30">
            <v>3457943.4000000004</v>
          </cell>
          <cell r="J30">
            <v>3415828.51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22282083.590000004</v>
          </cell>
        </row>
        <row r="31">
          <cell r="C31">
            <v>7141</v>
          </cell>
          <cell r="D31" t="str">
            <v>Naknade za korišćenje dobara od opšteg interesa</v>
          </cell>
          <cell r="E31">
            <v>14260.93</v>
          </cell>
          <cell r="F31">
            <v>179882.35000000003</v>
          </cell>
          <cell r="G31">
            <v>96341.860000000015</v>
          </cell>
          <cell r="H31">
            <v>97765.189999999988</v>
          </cell>
          <cell r="I31">
            <v>177873.41999999998</v>
          </cell>
          <cell r="J31">
            <v>206872.81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772996.56</v>
          </cell>
        </row>
        <row r="32">
          <cell r="C32">
            <v>7142</v>
          </cell>
          <cell r="D32" t="str">
            <v>Naknade za korišćenje prirodnih dobara</v>
          </cell>
          <cell r="E32">
            <v>159144.85999999999</v>
          </cell>
          <cell r="F32">
            <v>330495.27</v>
          </cell>
          <cell r="G32">
            <v>422300.49</v>
          </cell>
          <cell r="H32">
            <v>90680.440000000017</v>
          </cell>
          <cell r="I32">
            <v>203138.77</v>
          </cell>
          <cell r="J32">
            <v>77232.92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1282992.75</v>
          </cell>
        </row>
        <row r="33">
          <cell r="C33">
            <v>7143</v>
          </cell>
          <cell r="D33" t="str">
            <v>Ekološke naknade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C34">
            <v>7144</v>
          </cell>
          <cell r="D34" t="str">
            <v>Naknade za priređivanje igara na sreću</v>
          </cell>
          <cell r="E34">
            <v>922412.36999999988</v>
          </cell>
          <cell r="F34">
            <v>1250696.2800000003</v>
          </cell>
          <cell r="G34">
            <v>1765758.21</v>
          </cell>
          <cell r="H34">
            <v>1597074.83</v>
          </cell>
          <cell r="I34">
            <v>1438597.9599999997</v>
          </cell>
          <cell r="J34">
            <v>1680615.7799999998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8655155.4299999997</v>
          </cell>
        </row>
        <row r="35">
          <cell r="C35">
            <v>7145</v>
          </cell>
          <cell r="D35" t="str">
            <v>Naknade za korišćenje građevinskog zemljišta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>
            <v>7146</v>
          </cell>
          <cell r="D36" t="str">
            <v xml:space="preserve">Naknade za uredjivanje i izgradnju građevinskog zemljišta 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>
            <v>7147</v>
          </cell>
          <cell r="D37" t="str">
            <v xml:space="preserve">Naknade za izgradnju i održavanje lokalnih puteva i drugih javnih objekata od opštinskog značaja 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>
            <v>7148</v>
          </cell>
          <cell r="D38" t="str">
            <v>Naknada za puteve</v>
          </cell>
          <cell r="E38">
            <v>127859.97000000002</v>
          </cell>
          <cell r="F38">
            <v>150010.18999999997</v>
          </cell>
          <cell r="G38">
            <v>182425.99000000005</v>
          </cell>
          <cell r="H38">
            <v>261476.61999999994</v>
          </cell>
          <cell r="I38">
            <v>389318.02000000008</v>
          </cell>
          <cell r="J38">
            <v>249279.59999999989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1360370.39</v>
          </cell>
        </row>
        <row r="39">
          <cell r="C39">
            <v>7149</v>
          </cell>
          <cell r="D39" t="str">
            <v>Ostale naknade</v>
          </cell>
          <cell r="E39">
            <v>1267902.55</v>
          </cell>
          <cell r="F39">
            <v>2200669.1399999997</v>
          </cell>
          <cell r="G39">
            <v>1030480.0400000004</v>
          </cell>
          <cell r="H39">
            <v>3260674.1000000034</v>
          </cell>
          <cell r="I39">
            <v>1249015.2300000004</v>
          </cell>
          <cell r="J39">
            <v>1201827.3999999999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10210568.460000003</v>
          </cell>
        </row>
        <row r="40">
          <cell r="C40">
            <v>715</v>
          </cell>
          <cell r="D40" t="str">
            <v>Ostali prihodi</v>
          </cell>
          <cell r="E40">
            <v>10644214.710000003</v>
          </cell>
          <cell r="F40">
            <v>2506716.4700000007</v>
          </cell>
          <cell r="G40">
            <v>2146524.8099999996</v>
          </cell>
          <cell r="H40">
            <v>12835632.449999999</v>
          </cell>
          <cell r="I40">
            <v>2024814.9499999983</v>
          </cell>
          <cell r="J40">
            <v>1338829.6999999988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31496733.089999996</v>
          </cell>
        </row>
        <row r="41">
          <cell r="C41">
            <v>7151</v>
          </cell>
          <cell r="D41" t="str">
            <v>Prihodi od kapitala</v>
          </cell>
          <cell r="E41">
            <v>3055128.6999999993</v>
          </cell>
          <cell r="F41">
            <v>459682.92</v>
          </cell>
          <cell r="G41">
            <v>156485.52000000002</v>
          </cell>
          <cell r="H41">
            <v>10426324.25</v>
          </cell>
          <cell r="I41">
            <v>64880.890000000007</v>
          </cell>
          <cell r="J41">
            <v>65115.63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14227617.91</v>
          </cell>
        </row>
        <row r="42">
          <cell r="C42">
            <v>7152</v>
          </cell>
          <cell r="D42" t="str">
            <v>Novčane kazne i oduzete imovinske koristi</v>
          </cell>
          <cell r="E42">
            <v>1027425.8099999989</v>
          </cell>
          <cell r="F42">
            <v>1415587.2600000005</v>
          </cell>
          <cell r="G42">
            <v>1434980.7999999993</v>
          </cell>
          <cell r="H42">
            <v>1738116.9999999995</v>
          </cell>
          <cell r="I42">
            <v>1374042.0199999986</v>
          </cell>
          <cell r="J42">
            <v>1116509.4799999991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8106662.3699999955</v>
          </cell>
        </row>
        <row r="43">
          <cell r="C43">
            <v>7153</v>
          </cell>
          <cell r="D43" t="str">
            <v>Prihodi koje organi ostvaruju vršenjem svoje djelatnosti</v>
          </cell>
          <cell r="E43">
            <v>79405.350000000006</v>
          </cell>
          <cell r="F43">
            <v>144268.6</v>
          </cell>
          <cell r="G43">
            <v>168250.93000000005</v>
          </cell>
          <cell r="H43">
            <v>293518.6700000001</v>
          </cell>
          <cell r="I43">
            <v>148373.04999999999</v>
          </cell>
          <cell r="J43">
            <v>137397.71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971214.31</v>
          </cell>
        </row>
        <row r="44">
          <cell r="C44">
            <v>7154</v>
          </cell>
          <cell r="D44" t="str">
            <v>Samodoprinosi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>
            <v>7155</v>
          </cell>
          <cell r="D45" t="str">
            <v>Ostali prihodi</v>
          </cell>
          <cell r="E45">
            <v>6482254.8500000052</v>
          </cell>
          <cell r="F45">
            <v>487177.69000000029</v>
          </cell>
          <cell r="G45">
            <v>386807.56000000006</v>
          </cell>
          <cell r="H45">
            <v>377672.52999999985</v>
          </cell>
          <cell r="I45">
            <v>437518.98999999976</v>
          </cell>
          <cell r="J45">
            <v>19806.87999999999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8191238.5000000047</v>
          </cell>
        </row>
        <row r="46">
          <cell r="C46">
            <v>72</v>
          </cell>
          <cell r="D46" t="str">
            <v>Primici od prodaje imovine</v>
          </cell>
          <cell r="E46">
            <v>29140.719999999998</v>
          </cell>
          <cell r="F46">
            <v>223106.54</v>
          </cell>
          <cell r="G46">
            <v>24726.440000000002</v>
          </cell>
          <cell r="H46">
            <v>107366.27000000003</v>
          </cell>
          <cell r="I46">
            <v>292415.26</v>
          </cell>
          <cell r="J46">
            <v>378766.24999999994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1055521.48</v>
          </cell>
        </row>
        <row r="47">
          <cell r="C47">
            <v>721</v>
          </cell>
          <cell r="D47" t="str">
            <v>Primici od prodaje nefinansijske imovine</v>
          </cell>
          <cell r="E47">
            <v>29140.719999999998</v>
          </cell>
          <cell r="F47">
            <v>223106.54</v>
          </cell>
          <cell r="G47">
            <v>24726.440000000002</v>
          </cell>
          <cell r="H47">
            <v>107366.27000000003</v>
          </cell>
          <cell r="I47">
            <v>292415.26</v>
          </cell>
          <cell r="J47">
            <v>378766.24999999994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1055521.48</v>
          </cell>
        </row>
        <row r="48">
          <cell r="C48">
            <v>7211</v>
          </cell>
          <cell r="D48" t="str">
            <v>Primici od prodaje nepokretnosti</v>
          </cell>
          <cell r="E48">
            <v>27758.059999999998</v>
          </cell>
          <cell r="F48">
            <v>222906.54</v>
          </cell>
          <cell r="G48">
            <v>24326.440000000002</v>
          </cell>
          <cell r="H48">
            <v>107166.27000000003</v>
          </cell>
          <cell r="I48">
            <v>222315.26</v>
          </cell>
          <cell r="J48">
            <v>350280.24999999994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954752.82000000007</v>
          </cell>
        </row>
        <row r="49">
          <cell r="C49">
            <v>7212</v>
          </cell>
          <cell r="D49" t="str">
            <v>Primici od prodaje osnovnih sredstava</v>
          </cell>
          <cell r="E49">
            <v>1382.66</v>
          </cell>
          <cell r="F49">
            <v>200</v>
          </cell>
          <cell r="G49">
            <v>400</v>
          </cell>
          <cell r="H49">
            <v>200</v>
          </cell>
          <cell r="I49">
            <v>70100</v>
          </cell>
          <cell r="J49">
            <v>28486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100768.66</v>
          </cell>
        </row>
        <row r="50">
          <cell r="C50">
            <v>7213</v>
          </cell>
          <cell r="D50" t="str">
            <v>Primici od prodaje zaliha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>
            <v>722</v>
          </cell>
          <cell r="D51" t="str">
            <v>Primici od prodaje finansijske imovine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>
            <v>7221</v>
          </cell>
          <cell r="D52" t="str">
            <v>Primici od prodaje akcija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>
            <v>7222</v>
          </cell>
          <cell r="D53" t="str">
            <v>Primici od prodaje ostalih hartija od vrijednosti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>
            <v>73</v>
          </cell>
          <cell r="D54" t="str">
            <v>Primici od otplate kredita i sredstva prenesena iz prethodne godine</v>
          </cell>
          <cell r="E54">
            <v>284803.10000000003</v>
          </cell>
          <cell r="F54">
            <v>1296535.4000000001</v>
          </cell>
          <cell r="G54">
            <v>960869.5</v>
          </cell>
          <cell r="H54">
            <v>1155440.2500000002</v>
          </cell>
          <cell r="I54">
            <v>1453164</v>
          </cell>
          <cell r="J54">
            <v>683781.04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5834593.29</v>
          </cell>
        </row>
        <row r="55">
          <cell r="C55">
            <v>731</v>
          </cell>
          <cell r="D55" t="str">
            <v>Primici od otplate kredita</v>
          </cell>
          <cell r="E55">
            <v>284803.10000000003</v>
          </cell>
          <cell r="F55">
            <v>1296535.4000000001</v>
          </cell>
          <cell r="G55">
            <v>960869.5</v>
          </cell>
          <cell r="H55">
            <v>1155440.2500000002</v>
          </cell>
          <cell r="I55">
            <v>1453164</v>
          </cell>
          <cell r="J55">
            <v>683781.04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5834593.29</v>
          </cell>
        </row>
        <row r="56">
          <cell r="C56">
            <v>7311</v>
          </cell>
          <cell r="D56" t="str">
            <v>Primici od otplate kredita datih drugim nivoima vlasti</v>
          </cell>
          <cell r="E56">
            <v>259686.24000000005</v>
          </cell>
          <cell r="F56">
            <v>1156120.6600000001</v>
          </cell>
          <cell r="G56">
            <v>414950.58999999991</v>
          </cell>
          <cell r="H56">
            <v>142727.5</v>
          </cell>
          <cell r="I56">
            <v>948310.81</v>
          </cell>
          <cell r="J56">
            <v>152885.16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3074680.96</v>
          </cell>
        </row>
        <row r="57">
          <cell r="C57">
            <v>7312</v>
          </cell>
          <cell r="D57" t="str">
            <v>Primici od otplate kredita datih javnim preduzećima</v>
          </cell>
          <cell r="E57">
            <v>0</v>
          </cell>
          <cell r="F57">
            <v>112010.79</v>
          </cell>
          <cell r="G57">
            <v>10109</v>
          </cell>
          <cell r="H57">
            <v>411346.38</v>
          </cell>
          <cell r="I57">
            <v>399028.33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932494.5</v>
          </cell>
        </row>
        <row r="58">
          <cell r="C58">
            <v>7313</v>
          </cell>
          <cell r="D58" t="str">
            <v>Primici od otplate kredita datih drugim institucijama</v>
          </cell>
          <cell r="E58">
            <v>0</v>
          </cell>
          <cell r="F58">
            <v>0</v>
          </cell>
          <cell r="G58">
            <v>505082.68000000005</v>
          </cell>
          <cell r="H58">
            <v>568456.82000000007</v>
          </cell>
          <cell r="I58">
            <v>88703.23</v>
          </cell>
          <cell r="J58">
            <v>516574.09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1678816.82</v>
          </cell>
        </row>
        <row r="59">
          <cell r="C59">
            <v>7314</v>
          </cell>
          <cell r="D59" t="str">
            <v>Primici od otplate kredita datih fizičkim licima</v>
          </cell>
          <cell r="E59">
            <v>25116.86</v>
          </cell>
          <cell r="F59">
            <v>28403.950000000004</v>
          </cell>
          <cell r="G59">
            <v>30727.229999999989</v>
          </cell>
          <cell r="H59">
            <v>32909.550000000003</v>
          </cell>
          <cell r="I59">
            <v>17121.63</v>
          </cell>
          <cell r="J59">
            <v>14321.789999999997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148601.01</v>
          </cell>
        </row>
        <row r="60">
          <cell r="C60">
            <v>732</v>
          </cell>
          <cell r="D60" t="str">
            <v>Sredstva prenesena iz prethodne godine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C61">
            <v>74</v>
          </cell>
          <cell r="D61" t="str">
            <v>Donacije i transferi</v>
          </cell>
          <cell r="E61">
            <v>4232324.3599999985</v>
          </cell>
          <cell r="F61">
            <v>113935.73</v>
          </cell>
          <cell r="G61">
            <v>3282201.2300000009</v>
          </cell>
          <cell r="H61">
            <v>1986252.18</v>
          </cell>
          <cell r="I61">
            <v>1598929.68</v>
          </cell>
          <cell r="J61">
            <v>1224987.6599999997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12438630.84</v>
          </cell>
        </row>
        <row r="62">
          <cell r="C62">
            <v>741</v>
          </cell>
          <cell r="D62" t="str">
            <v>Donacije</v>
          </cell>
          <cell r="E62">
            <v>4232324.3599999985</v>
          </cell>
          <cell r="F62">
            <v>113935.73</v>
          </cell>
          <cell r="G62">
            <v>3282201.2300000009</v>
          </cell>
          <cell r="H62">
            <v>1986252.18</v>
          </cell>
          <cell r="I62">
            <v>1598929.68</v>
          </cell>
          <cell r="J62">
            <v>1224987.6599999997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12438630.84</v>
          </cell>
        </row>
        <row r="63">
          <cell r="C63">
            <v>7411</v>
          </cell>
          <cell r="D63" t="str">
            <v>Tekuće donacije</v>
          </cell>
          <cell r="E63">
            <v>4232324.3599999985</v>
          </cell>
          <cell r="F63">
            <v>113935.73</v>
          </cell>
          <cell r="G63">
            <v>3282201.2300000009</v>
          </cell>
          <cell r="H63">
            <v>1986252.18</v>
          </cell>
          <cell r="I63">
            <v>1598929.68</v>
          </cell>
          <cell r="J63">
            <v>1224987.6599999997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12438630.84</v>
          </cell>
        </row>
        <row r="64">
          <cell r="C64">
            <v>7412</v>
          </cell>
          <cell r="D64" t="str">
            <v>Kapitalne donacije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>
            <v>742</v>
          </cell>
          <cell r="D65" t="str">
            <v>Transferi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>
            <v>7421</v>
          </cell>
          <cell r="D66" t="str">
            <v>Transferi od budžeta države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>
            <v>7422</v>
          </cell>
          <cell r="D67" t="str">
            <v>Transferi od budžeta opštine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>
            <v>7423</v>
          </cell>
          <cell r="D68" t="str">
            <v>Transferi od fonda PIO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>
            <v>7424</v>
          </cell>
          <cell r="D69" t="str">
            <v>Transferi od fonda za zdravstveno osiguranje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>
            <v>7425</v>
          </cell>
          <cell r="D70" t="str">
            <v>Transferi od Zavoda za zapošljavanje Crne Gore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>
            <v>7426</v>
          </cell>
          <cell r="D71" t="str">
            <v>Transferi od Egalizacionih fondova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>
            <v>75</v>
          </cell>
          <cell r="D72" t="str">
            <v xml:space="preserve">Pozajmice i krediti </v>
          </cell>
          <cell r="E72">
            <v>1570614.04</v>
          </cell>
          <cell r="F72">
            <v>1779527.23</v>
          </cell>
          <cell r="G72">
            <v>691084422.79999995</v>
          </cell>
          <cell r="H72">
            <v>3827028.4300000006</v>
          </cell>
          <cell r="I72">
            <v>266766.86</v>
          </cell>
          <cell r="J72">
            <v>8724.4700000000012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698537083.82999992</v>
          </cell>
        </row>
        <row r="73">
          <cell r="C73">
            <v>751</v>
          </cell>
          <cell r="D73" t="str">
            <v>Pozajmice i krediti</v>
          </cell>
          <cell r="E73">
            <v>1570614.04</v>
          </cell>
          <cell r="F73">
            <v>1779527.23</v>
          </cell>
          <cell r="G73">
            <v>691084422.79999995</v>
          </cell>
          <cell r="H73">
            <v>3827028.4300000006</v>
          </cell>
          <cell r="I73">
            <v>266766.86</v>
          </cell>
          <cell r="J73">
            <v>8724.4700000000012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698537083.82999992</v>
          </cell>
        </row>
        <row r="74">
          <cell r="C74">
            <v>7511</v>
          </cell>
          <cell r="D74" t="str">
            <v>Pozajmice i krediti od domaćih izvora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C75">
            <v>7512</v>
          </cell>
          <cell r="D75" t="str">
            <v>Pozajmice i krediti od inostranih izvora</v>
          </cell>
          <cell r="E75">
            <v>1570614.04</v>
          </cell>
          <cell r="F75">
            <v>1779527.23</v>
          </cell>
          <cell r="G75">
            <v>691084422.79999995</v>
          </cell>
          <cell r="H75">
            <v>3827028.4300000006</v>
          </cell>
          <cell r="I75">
            <v>266766.86</v>
          </cell>
          <cell r="J75">
            <v>8724.4700000000012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698537083.82999992</v>
          </cell>
        </row>
        <row r="81">
          <cell r="E81" t="str">
            <v>PLAN TOTAL - 2024</v>
          </cell>
        </row>
        <row r="82">
          <cell r="E82" t="str">
            <v>Januar</v>
          </cell>
          <cell r="F82" t="str">
            <v>Februar</v>
          </cell>
          <cell r="G82" t="str">
            <v>Mart</v>
          </cell>
          <cell r="H82" t="str">
            <v>April</v>
          </cell>
          <cell r="I82" t="str">
            <v>Maj</v>
          </cell>
          <cell r="J82" t="str">
            <v>Jun</v>
          </cell>
          <cell r="K82" t="str">
            <v>Jul</v>
          </cell>
          <cell r="L82" t="str">
            <v>Avgust</v>
          </cell>
          <cell r="M82" t="str">
            <v>Septembar</v>
          </cell>
          <cell r="N82" t="str">
            <v>Oktobar</v>
          </cell>
          <cell r="O82" t="str">
            <v>Novembar</v>
          </cell>
          <cell r="P82" t="str">
            <v>Decembar</v>
          </cell>
          <cell r="Q82" t="str">
            <v>TOTAL</v>
          </cell>
        </row>
        <row r="83">
          <cell r="C83" t="str">
            <v>Ekon. Klas.</v>
          </cell>
          <cell r="D83" t="str">
            <v>OPIS</v>
          </cell>
        </row>
        <row r="84">
          <cell r="C84">
            <v>7</v>
          </cell>
          <cell r="D84" t="str">
            <v>PRIMICI</v>
          </cell>
          <cell r="E84">
            <v>149354018.4615584</v>
          </cell>
          <cell r="F84">
            <v>159059531.28625256</v>
          </cell>
          <cell r="G84">
            <v>913815653.22589815</v>
          </cell>
          <cell r="H84">
            <v>277487593.64663136</v>
          </cell>
          <cell r="I84">
            <v>203824179.56852373</v>
          </cell>
          <cell r="J84">
            <v>223962487.78276703</v>
          </cell>
          <cell r="K84">
            <v>420498828.99951482</v>
          </cell>
          <cell r="L84">
            <v>274076731.9880591</v>
          </cell>
          <cell r="M84">
            <v>251543146.82155746</v>
          </cell>
          <cell r="N84">
            <v>243969306.4932515</v>
          </cell>
          <cell r="O84">
            <v>211604019.35157877</v>
          </cell>
          <cell r="P84">
            <v>270806174.36440706</v>
          </cell>
          <cell r="Q84">
            <v>3600001671.9900002</v>
          </cell>
        </row>
        <row r="85">
          <cell r="C85">
            <v>71</v>
          </cell>
          <cell r="D85" t="str">
            <v>Tekući prihodi</v>
          </cell>
          <cell r="E85">
            <v>144772496.12504369</v>
          </cell>
          <cell r="F85">
            <v>156263558.17313686</v>
          </cell>
          <cell r="G85">
            <v>224512505.71659711</v>
          </cell>
          <cell r="H85">
            <v>275325922.35471165</v>
          </cell>
          <cell r="I85">
            <v>200217251.36056894</v>
          </cell>
          <cell r="J85">
            <v>217581557.19229338</v>
          </cell>
          <cell r="K85">
            <v>235478980.93970186</v>
          </cell>
          <cell r="L85">
            <v>268045569.62515309</v>
          </cell>
          <cell r="M85">
            <v>246423000.61406967</v>
          </cell>
          <cell r="N85">
            <v>238752410.4057138</v>
          </cell>
          <cell r="O85">
            <v>204876717.47808477</v>
          </cell>
          <cell r="P85">
            <v>263703798.00492522</v>
          </cell>
          <cell r="Q85">
            <v>2675953767.9900002</v>
          </cell>
        </row>
        <row r="86">
          <cell r="C86">
            <v>711</v>
          </cell>
          <cell r="D86" t="str">
            <v>Porezi</v>
          </cell>
          <cell r="E86">
            <v>120138427.04115422</v>
          </cell>
          <cell r="F86">
            <v>104149284.03317438</v>
          </cell>
          <cell r="G86">
            <v>169447357.55468205</v>
          </cell>
          <cell r="H86">
            <v>211701078.28476781</v>
          </cell>
          <cell r="I86">
            <v>141387167.73744527</v>
          </cell>
          <cell r="J86">
            <v>151720280.57414097</v>
          </cell>
          <cell r="K86">
            <v>161274945.54288816</v>
          </cell>
          <cell r="L86">
            <v>187405726.52360511</v>
          </cell>
          <cell r="M86">
            <v>174959844.19682884</v>
          </cell>
          <cell r="N86">
            <v>165156163.28658262</v>
          </cell>
          <cell r="O86">
            <v>139953378.33863863</v>
          </cell>
          <cell r="P86">
            <v>156175298.44609201</v>
          </cell>
          <cell r="Q86">
            <v>1883468951.5600002</v>
          </cell>
        </row>
        <row r="87">
          <cell r="C87">
            <v>7111</v>
          </cell>
          <cell r="D87" t="str">
            <v>Porez na dohodak fizičkih lica</v>
          </cell>
          <cell r="E87">
            <v>1801825.5334530019</v>
          </cell>
          <cell r="F87">
            <v>4797498.8725749766</v>
          </cell>
          <cell r="G87">
            <v>5058808.8901446629</v>
          </cell>
          <cell r="H87">
            <v>6551317.4334513247</v>
          </cell>
          <cell r="I87">
            <v>6354534.9348088503</v>
          </cell>
          <cell r="J87">
            <v>6384865.2399824038</v>
          </cell>
          <cell r="K87">
            <v>7316280.3532713847</v>
          </cell>
          <cell r="L87">
            <v>7257242.9681147542</v>
          </cell>
          <cell r="M87">
            <v>7168345.1062709643</v>
          </cell>
          <cell r="N87">
            <v>8280983.0276610926</v>
          </cell>
          <cell r="O87">
            <v>6910150.8311675703</v>
          </cell>
          <cell r="P87">
            <v>12889716.259099012</v>
          </cell>
          <cell r="Q87">
            <v>80771569.449999988</v>
          </cell>
        </row>
        <row r="88">
          <cell r="C88">
            <v>7112</v>
          </cell>
          <cell r="D88" t="str">
            <v>Porez na dobit pravnih lica</v>
          </cell>
          <cell r="E88">
            <v>1369765.6788657729</v>
          </cell>
          <cell r="F88">
            <v>4097750.9290820062</v>
          </cell>
          <cell r="G88">
            <v>40990734.989670277</v>
          </cell>
          <cell r="H88">
            <v>82072475.918768093</v>
          </cell>
          <cell r="I88">
            <v>7598554.4799611485</v>
          </cell>
          <cell r="J88">
            <v>5102445.9317580881</v>
          </cell>
          <cell r="K88">
            <v>4518923.1926221987</v>
          </cell>
          <cell r="L88">
            <v>3667425.793923636</v>
          </cell>
          <cell r="M88">
            <v>3031043.3402888682</v>
          </cell>
          <cell r="N88">
            <v>3498970.8755320241</v>
          </cell>
          <cell r="O88">
            <v>3851456.9221399422</v>
          </cell>
          <cell r="P88">
            <v>4851508.0273879413</v>
          </cell>
          <cell r="Q88">
            <v>164651056.08000001</v>
          </cell>
        </row>
        <row r="89">
          <cell r="C89">
            <v>7113</v>
          </cell>
          <cell r="D89" t="str">
            <v>Porez na promet nepokretnosti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C90">
            <v>7114</v>
          </cell>
          <cell r="D90" t="str">
            <v>Porez na dodatu vrijednost</v>
          </cell>
          <cell r="E90">
            <v>90392579.434542105</v>
          </cell>
          <cell r="F90">
            <v>70110183.355581105</v>
          </cell>
          <cell r="G90">
            <v>91649985.128395304</v>
          </cell>
          <cell r="H90">
            <v>91035705.503332198</v>
          </cell>
          <cell r="I90">
            <v>93750264.273905918</v>
          </cell>
          <cell r="J90">
            <v>99669954.964028701</v>
          </cell>
          <cell r="K90">
            <v>104980576.46239747</v>
          </cell>
          <cell r="L90">
            <v>126842944.99737209</v>
          </cell>
          <cell r="M90">
            <v>120744196.841892</v>
          </cell>
          <cell r="N90">
            <v>115092102.58641601</v>
          </cell>
          <cell r="O90">
            <v>95782845.757082894</v>
          </cell>
          <cell r="P90">
            <v>99581108.985054299</v>
          </cell>
          <cell r="Q90">
            <v>1199632448.2900002</v>
          </cell>
        </row>
        <row r="91">
          <cell r="C91">
            <v>7115</v>
          </cell>
          <cell r="D91" t="str">
            <v>Akcize</v>
          </cell>
          <cell r="E91">
            <v>22805003.605203237</v>
          </cell>
          <cell r="F91">
            <v>20592857.793570951</v>
          </cell>
          <cell r="G91">
            <v>25607651.370289065</v>
          </cell>
          <cell r="H91">
            <v>26354503.905432209</v>
          </cell>
          <cell r="I91">
            <v>27199796.80399929</v>
          </cell>
          <cell r="J91">
            <v>33707423.847654335</v>
          </cell>
          <cell r="K91">
            <v>37914208.164682284</v>
          </cell>
          <cell r="L91">
            <v>42617140.779784925</v>
          </cell>
          <cell r="M91">
            <v>37411081.022537023</v>
          </cell>
          <cell r="N91">
            <v>31963707.2157037</v>
          </cell>
          <cell r="O91">
            <v>27368867.618220858</v>
          </cell>
          <cell r="P91">
            <v>32257757.872922163</v>
          </cell>
          <cell r="Q91">
            <v>365800000.00000006</v>
          </cell>
        </row>
        <row r="92">
          <cell r="C92">
            <v>7116</v>
          </cell>
          <cell r="D92" t="str">
            <v>Porez na međunarodnu trgovinu i transakcije</v>
          </cell>
          <cell r="E92">
            <v>2756177.5797694027</v>
          </cell>
          <cell r="F92">
            <v>3597080.8322044765</v>
          </cell>
          <cell r="G92">
            <v>5080642.3039190965</v>
          </cell>
          <cell r="H92">
            <v>4566217.8601228138</v>
          </cell>
          <cell r="I92">
            <v>5315794.5622604089</v>
          </cell>
          <cell r="J92">
            <v>5532491.7635528967</v>
          </cell>
          <cell r="K92">
            <v>5355802.238618318</v>
          </cell>
          <cell r="L92">
            <v>5706699.2805261482</v>
          </cell>
          <cell r="M92">
            <v>5186142.2097657854</v>
          </cell>
          <cell r="N92">
            <v>5014923.9993494628</v>
          </cell>
          <cell r="O92">
            <v>4765187.6368120126</v>
          </cell>
          <cell r="P92">
            <v>5418029.1830991814</v>
          </cell>
          <cell r="Q92">
            <v>58295189.450000003</v>
          </cell>
        </row>
        <row r="93">
          <cell r="C93">
            <v>7117</v>
          </cell>
          <cell r="D93" t="str">
            <v>Lokalni porezi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C94">
            <v>7118</v>
          </cell>
          <cell r="D94" t="str">
            <v>Ostali republički porezi</v>
          </cell>
          <cell r="E94">
            <v>1013075.2093207003</v>
          </cell>
          <cell r="F94">
            <v>953912.25016085315</v>
          </cell>
          <cell r="G94">
            <v>1059534.8722636329</v>
          </cell>
          <cell r="H94">
            <v>1120857.6636611964</v>
          </cell>
          <cell r="I94">
            <v>1168222.682509661</v>
          </cell>
          <cell r="J94">
            <v>1323098.8271645412</v>
          </cell>
          <cell r="K94">
            <v>1189155.1312965241</v>
          </cell>
          <cell r="L94">
            <v>1314272.7038835543</v>
          </cell>
          <cell r="M94">
            <v>1419035.6760742143</v>
          </cell>
          <cell r="N94">
            <v>1305475.5819203202</v>
          </cell>
          <cell r="O94">
            <v>1274869.5732153796</v>
          </cell>
          <cell r="P94">
            <v>1177178.1185294199</v>
          </cell>
          <cell r="Q94">
            <v>14318688.289999997</v>
          </cell>
        </row>
        <row r="95">
          <cell r="C95">
            <v>712</v>
          </cell>
          <cell r="D95" t="str">
            <v>Doprinosi</v>
          </cell>
          <cell r="E95">
            <v>16352055.41693222</v>
          </cell>
          <cell r="F95">
            <v>43548052.584407724</v>
          </cell>
          <cell r="G95">
            <v>44933194.735314272</v>
          </cell>
          <cell r="H95">
            <v>50076292.309714273</v>
          </cell>
          <cell r="I95">
            <v>48321180.060848266</v>
          </cell>
          <cell r="J95">
            <v>50551963.338566609</v>
          </cell>
          <cell r="K95">
            <v>50964232.425356537</v>
          </cell>
          <cell r="L95">
            <v>52474361.259312101</v>
          </cell>
          <cell r="M95">
            <v>50349013.984039314</v>
          </cell>
          <cell r="N95">
            <v>54363640.398909025</v>
          </cell>
          <cell r="O95">
            <v>49713551.309563525</v>
          </cell>
          <cell r="P95">
            <v>93751510.127036065</v>
          </cell>
          <cell r="Q95">
            <v>605399047.94999993</v>
          </cell>
        </row>
        <row r="96">
          <cell r="C96">
            <v>7121</v>
          </cell>
          <cell r="D96" t="str">
            <v>Doprinosi za penzijsko i invalidsko osiguranje</v>
          </cell>
          <cell r="E96">
            <v>15107540.897000929</v>
          </cell>
          <cell r="F96">
            <v>40305437.222684398</v>
          </cell>
          <cell r="G96">
            <v>41579529.6672429</v>
          </cell>
          <cell r="H96">
            <v>46231459.004317187</v>
          </cell>
          <cell r="I96">
            <v>44651588.880563311</v>
          </cell>
          <cell r="J96">
            <v>46822646.22277157</v>
          </cell>
          <cell r="K96">
            <v>47257904.543847948</v>
          </cell>
          <cell r="L96">
            <v>48709049.092347272</v>
          </cell>
          <cell r="M96">
            <v>46357711.69623474</v>
          </cell>
          <cell r="N96">
            <v>50246198.769257635</v>
          </cell>
          <cell r="O96">
            <v>45838849.938908279</v>
          </cell>
          <cell r="P96">
            <v>86674431.954823792</v>
          </cell>
          <cell r="Q96">
            <v>559782347.88999999</v>
          </cell>
        </row>
        <row r="97">
          <cell r="C97">
            <v>7122</v>
          </cell>
          <cell r="D97" t="str">
            <v>Doprinosi za zdravstveno osiguranje</v>
          </cell>
          <cell r="E97">
            <v>128998.53121441192</v>
          </cell>
          <cell r="F97">
            <v>275556.51165052858</v>
          </cell>
          <cell r="G97">
            <v>180181.08257484142</v>
          </cell>
          <cell r="H97">
            <v>229244.65815501672</v>
          </cell>
          <cell r="I97">
            <v>255605.92274265984</v>
          </cell>
          <cell r="J97">
            <v>237031.78373634661</v>
          </cell>
          <cell r="K97">
            <v>208441.15359945668</v>
          </cell>
          <cell r="L97">
            <v>183197.86811796174</v>
          </cell>
          <cell r="M97">
            <v>439037.7087866519</v>
          </cell>
          <cell r="N97">
            <v>198177.17517812611</v>
          </cell>
          <cell r="O97">
            <v>252339.37554671103</v>
          </cell>
          <cell r="P97">
            <v>412188.22869728797</v>
          </cell>
          <cell r="Q97">
            <v>3000000</v>
          </cell>
        </row>
        <row r="98">
          <cell r="C98">
            <v>7123</v>
          </cell>
          <cell r="D98" t="str">
            <v>Doprinosi za osiguranje od nezaposlenosti</v>
          </cell>
          <cell r="E98">
            <v>652800.53008117527</v>
          </cell>
          <cell r="F98">
            <v>1715642.9051287719</v>
          </cell>
          <cell r="G98">
            <v>1754023.8579447954</v>
          </cell>
          <cell r="H98">
            <v>1982407.8906747878</v>
          </cell>
          <cell r="I98">
            <v>1897711.3195239312</v>
          </cell>
          <cell r="J98">
            <v>1960821.9840019587</v>
          </cell>
          <cell r="K98">
            <v>1975020.7772685695</v>
          </cell>
          <cell r="L98">
            <v>2096351.9564830353</v>
          </cell>
          <cell r="M98">
            <v>2032210.9670301753</v>
          </cell>
          <cell r="N98">
            <v>2198914.888620181</v>
          </cell>
          <cell r="O98">
            <v>2000429.4325449851</v>
          </cell>
          <cell r="P98">
            <v>3731281.5306976326</v>
          </cell>
          <cell r="Q98">
            <v>23997618.039999995</v>
          </cell>
        </row>
        <row r="99">
          <cell r="C99">
            <v>7124</v>
          </cell>
          <cell r="D99" t="str">
            <v>Ostali doprinosi</v>
          </cell>
          <cell r="E99">
            <v>462715.45863570302</v>
          </cell>
          <cell r="F99">
            <v>1251415.9449440332</v>
          </cell>
          <cell r="G99">
            <v>1419460.1275517347</v>
          </cell>
          <cell r="H99">
            <v>1633180.7565672826</v>
          </cell>
          <cell r="I99">
            <v>1516273.9380183634</v>
          </cell>
          <cell r="J99">
            <v>1531463.3480567331</v>
          </cell>
          <cell r="K99">
            <v>1522865.9506405692</v>
          </cell>
          <cell r="L99">
            <v>1485762.3423638348</v>
          </cell>
          <cell r="M99">
            <v>1520053.6119877459</v>
          </cell>
          <cell r="N99">
            <v>1720349.5658530837</v>
          </cell>
          <cell r="O99">
            <v>1621932.5625635546</v>
          </cell>
          <cell r="P99">
            <v>2933608.4128173613</v>
          </cell>
          <cell r="Q99">
            <v>18619082.02</v>
          </cell>
        </row>
        <row r="100">
          <cell r="C100">
            <v>713</v>
          </cell>
          <cell r="D100" t="str">
            <v>Takse</v>
          </cell>
          <cell r="E100">
            <v>748860.49593329686</v>
          </cell>
          <cell r="F100">
            <v>953485.20987465465</v>
          </cell>
          <cell r="G100">
            <v>1089304.8526208741</v>
          </cell>
          <cell r="H100">
            <v>1026263.3154744842</v>
          </cell>
          <cell r="I100">
            <v>1352524.7555279485</v>
          </cell>
          <cell r="J100">
            <v>1432990.8665296927</v>
          </cell>
          <cell r="K100">
            <v>1590359.9048749318</v>
          </cell>
          <cell r="L100">
            <v>1811559.3329411284</v>
          </cell>
          <cell r="M100">
            <v>1526095.1346786334</v>
          </cell>
          <cell r="N100">
            <v>1507019.7783381043</v>
          </cell>
          <cell r="O100">
            <v>1214632.6297800925</v>
          </cell>
          <cell r="P100">
            <v>1598448.2234261595</v>
          </cell>
          <cell r="Q100">
            <v>15851544.500000002</v>
          </cell>
        </row>
        <row r="101">
          <cell r="C101">
            <v>7131</v>
          </cell>
          <cell r="D101" t="str">
            <v>Administrativne takse</v>
          </cell>
          <cell r="E101">
            <v>572823.63291950291</v>
          </cell>
          <cell r="F101">
            <v>738453.20530655154</v>
          </cell>
          <cell r="G101">
            <v>870331.63716363278</v>
          </cell>
          <cell r="H101">
            <v>718744.20415048895</v>
          </cell>
          <cell r="I101">
            <v>938790.30090079631</v>
          </cell>
          <cell r="J101">
            <v>908292.93182575877</v>
          </cell>
          <cell r="K101">
            <v>848841.98030485131</v>
          </cell>
          <cell r="L101">
            <v>901224.84661516186</v>
          </cell>
          <cell r="M101">
            <v>834024.72096102696</v>
          </cell>
          <cell r="N101">
            <v>933729.41924088483</v>
          </cell>
          <cell r="O101">
            <v>699101.79220327747</v>
          </cell>
          <cell r="P101">
            <v>980588.6384080674</v>
          </cell>
          <cell r="Q101">
            <v>9944947.3100000005</v>
          </cell>
        </row>
        <row r="102">
          <cell r="C102">
            <v>7132</v>
          </cell>
          <cell r="D102" t="str">
            <v>Sudske takse</v>
          </cell>
          <cell r="E102">
            <v>51952.095213412496</v>
          </cell>
          <cell r="F102">
            <v>76169.589197708963</v>
          </cell>
          <cell r="G102">
            <v>75107.051147493155</v>
          </cell>
          <cell r="H102">
            <v>71547.953917247825</v>
          </cell>
          <cell r="I102">
            <v>84936.096259706916</v>
          </cell>
          <cell r="J102">
            <v>99399.377720753037</v>
          </cell>
          <cell r="K102">
            <v>89463.634874476804</v>
          </cell>
          <cell r="L102">
            <v>63912.097467663596</v>
          </cell>
          <cell r="M102">
            <v>74806.393077260349</v>
          </cell>
          <cell r="N102">
            <v>90787.333528518153</v>
          </cell>
          <cell r="O102">
            <v>91448.152451434784</v>
          </cell>
          <cell r="P102">
            <v>99702.015144324017</v>
          </cell>
          <cell r="Q102">
            <v>969231.79</v>
          </cell>
        </row>
        <row r="103">
          <cell r="C103">
            <v>7133</v>
          </cell>
          <cell r="D103" t="str">
            <v>Boravišne takse</v>
          </cell>
          <cell r="E103">
            <v>82257.6437847911</v>
          </cell>
          <cell r="F103">
            <v>79554.052039529444</v>
          </cell>
          <cell r="G103">
            <v>89982.33623952065</v>
          </cell>
          <cell r="H103">
            <v>105671.1923513176</v>
          </cell>
          <cell r="I103">
            <v>166110.03013191753</v>
          </cell>
          <cell r="J103">
            <v>240131.64616534271</v>
          </cell>
          <cell r="K103">
            <v>443940.37774309242</v>
          </cell>
          <cell r="L103">
            <v>581886.37421726983</v>
          </cell>
          <cell r="M103">
            <v>333017.87019874807</v>
          </cell>
          <cell r="N103">
            <v>196623.08833833397</v>
          </cell>
          <cell r="O103">
            <v>102733.03332763986</v>
          </cell>
          <cell r="P103">
            <v>145048.47546249701</v>
          </cell>
          <cell r="Q103">
            <v>2566956.1200000006</v>
          </cell>
        </row>
        <row r="104">
          <cell r="C104">
            <v>7134</v>
          </cell>
          <cell r="D104" t="str">
            <v>Registracione takse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C105">
            <v>7135</v>
          </cell>
          <cell r="D105" t="str">
            <v>Lokalne komunalne takse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C106">
            <v>7136</v>
          </cell>
          <cell r="D106" t="str">
            <v>Ostale takse</v>
          </cell>
          <cell r="E106">
            <v>41827.124015590278</v>
          </cell>
          <cell r="F106">
            <v>59308.363330864682</v>
          </cell>
          <cell r="G106">
            <v>53883.828070227341</v>
          </cell>
          <cell r="H106">
            <v>130299.96505542987</v>
          </cell>
          <cell r="I106">
            <v>162688.32823552776</v>
          </cell>
          <cell r="J106">
            <v>185166.91081783813</v>
          </cell>
          <cell r="K106">
            <v>208113.91195251115</v>
          </cell>
          <cell r="L106">
            <v>264536.01464103314</v>
          </cell>
          <cell r="M106">
            <v>284246.15044159826</v>
          </cell>
          <cell r="N106">
            <v>285879.93723036745</v>
          </cell>
          <cell r="O106">
            <v>321349.65179774043</v>
          </cell>
          <cell r="P106">
            <v>373109.09441127104</v>
          </cell>
          <cell r="Q106">
            <v>2370409.2799999998</v>
          </cell>
        </row>
        <row r="107">
          <cell r="C107">
            <v>714</v>
          </cell>
          <cell r="D107" t="str">
            <v>Naknade</v>
          </cell>
          <cell r="E107">
            <v>2682300.8007396669</v>
          </cell>
          <cell r="F107">
            <v>3068842.3901493941</v>
          </cell>
          <cell r="G107">
            <v>3887539.9432760077</v>
          </cell>
          <cell r="H107">
            <v>3944624.4181581014</v>
          </cell>
          <cell r="I107">
            <v>4975153.702935664</v>
          </cell>
          <cell r="J107">
            <v>5391338.4291397706</v>
          </cell>
          <cell r="K107">
            <v>4551170.0714253988</v>
          </cell>
          <cell r="L107">
            <v>6300259.5139867421</v>
          </cell>
          <cell r="M107">
            <v>4876357.2568455562</v>
          </cell>
          <cell r="N107">
            <v>7715065.1027632868</v>
          </cell>
          <cell r="O107">
            <v>9181200.883062087</v>
          </cell>
          <cell r="P107">
            <v>6249228.1375183258</v>
          </cell>
          <cell r="Q107">
            <v>62823080.649999999</v>
          </cell>
        </row>
        <row r="108">
          <cell r="C108">
            <v>7141</v>
          </cell>
          <cell r="D108" t="str">
            <v>Naknade za korišćenje dobara od opšteg interesa</v>
          </cell>
          <cell r="E108">
            <v>60854.035348967351</v>
          </cell>
          <cell r="F108">
            <v>47071.31445652782</v>
          </cell>
          <cell r="G108">
            <v>314600.82221685629</v>
          </cell>
          <cell r="H108">
            <v>21309.914426515523</v>
          </cell>
          <cell r="I108">
            <v>61487.385595514941</v>
          </cell>
          <cell r="J108">
            <v>55514.844271246759</v>
          </cell>
          <cell r="K108">
            <v>77589.051332673087</v>
          </cell>
          <cell r="L108">
            <v>189852.32424246223</v>
          </cell>
          <cell r="M108">
            <v>103091.361952747</v>
          </cell>
          <cell r="N108">
            <v>43312.952491269913</v>
          </cell>
          <cell r="O108">
            <v>285388.77628111682</v>
          </cell>
          <cell r="P108">
            <v>48197.517384102328</v>
          </cell>
          <cell r="Q108">
            <v>1308270.3</v>
          </cell>
        </row>
        <row r="109">
          <cell r="C109">
            <v>7142</v>
          </cell>
          <cell r="D109" t="str">
            <v>Naknade za korišćenje prirodnih dobara</v>
          </cell>
          <cell r="E109">
            <v>195706.93589962702</v>
          </cell>
          <cell r="F109">
            <v>160269.19481338633</v>
          </cell>
          <cell r="G109">
            <v>361026.70106336923</v>
          </cell>
          <cell r="H109">
            <v>299365.84763223329</v>
          </cell>
          <cell r="I109">
            <v>469368.81277208647</v>
          </cell>
          <cell r="J109">
            <v>920341.97048771684</v>
          </cell>
          <cell r="K109">
            <v>376085.0325013792</v>
          </cell>
          <cell r="L109">
            <v>519792.06994412956</v>
          </cell>
          <cell r="M109">
            <v>398338.05377283244</v>
          </cell>
          <cell r="N109">
            <v>180429.48453930367</v>
          </cell>
          <cell r="O109">
            <v>385511.41407158907</v>
          </cell>
          <cell r="P109">
            <v>445674.36250234686</v>
          </cell>
          <cell r="Q109">
            <v>4711909.879999999</v>
          </cell>
        </row>
        <row r="110">
          <cell r="C110">
            <v>7143</v>
          </cell>
          <cell r="D110" t="str">
            <v>Ekološke naknade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C111">
            <v>7144</v>
          </cell>
          <cell r="D111" t="str">
            <v>Naknade za priređivanje igara na sreću</v>
          </cell>
          <cell r="E111">
            <v>997376.43656433909</v>
          </cell>
          <cell r="F111">
            <v>1303745.1239863909</v>
          </cell>
          <cell r="G111">
            <v>1089205.2713929978</v>
          </cell>
          <cell r="H111">
            <v>1797271.2001883853</v>
          </cell>
          <cell r="I111">
            <v>2473206.9842866682</v>
          </cell>
          <cell r="J111">
            <v>2257989.5914063985</v>
          </cell>
          <cell r="K111">
            <v>2055329.6127436729</v>
          </cell>
          <cell r="L111">
            <v>3579290.9976586332</v>
          </cell>
          <cell r="M111">
            <v>2900834.0756350602</v>
          </cell>
          <cell r="N111">
            <v>5495320.592218536</v>
          </cell>
          <cell r="O111">
            <v>6652328.3524517799</v>
          </cell>
          <cell r="P111">
            <v>3702411.0514671397</v>
          </cell>
          <cell r="Q111">
            <v>34304309.289999999</v>
          </cell>
        </row>
        <row r="112">
          <cell r="C112">
            <v>7145</v>
          </cell>
          <cell r="D112" t="str">
            <v>Naknade za korišćenje građevinskog zemljišta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>
            <v>7146</v>
          </cell>
          <cell r="D113" t="str">
            <v xml:space="preserve">Naknade za uredjivanje i izgradnju građevinskog zemljišta 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>
            <v>7147</v>
          </cell>
          <cell r="D114" t="str">
            <v xml:space="preserve">Naknade za izgradnju i održavanje lokalnih puteva i drugih javnih objekata od opštinskog značaja 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C115">
            <v>7148</v>
          </cell>
          <cell r="D115" t="str">
            <v>Naknada za puteve</v>
          </cell>
          <cell r="E115">
            <v>156552.38292673382</v>
          </cell>
          <cell r="F115">
            <v>250130.75689308881</v>
          </cell>
          <cell r="G115">
            <v>166095.5286027843</v>
          </cell>
          <cell r="H115">
            <v>241925.335910967</v>
          </cell>
          <cell r="I115">
            <v>380704.18028139434</v>
          </cell>
          <cell r="J115">
            <v>377301.6729744075</v>
          </cell>
          <cell r="K115">
            <v>645982.32484767376</v>
          </cell>
          <cell r="L115">
            <v>324641.1021415182</v>
          </cell>
          <cell r="M115">
            <v>200935.29548491619</v>
          </cell>
          <cell r="N115">
            <v>195095.6635141772</v>
          </cell>
          <cell r="O115">
            <v>206281.73025760151</v>
          </cell>
          <cell r="P115">
            <v>352945.2061647377</v>
          </cell>
          <cell r="Q115">
            <v>3498591.18</v>
          </cell>
        </row>
        <row r="116">
          <cell r="C116">
            <v>7149</v>
          </cell>
          <cell r="D116" t="str">
            <v>Ostale naknade</v>
          </cell>
          <cell r="E116">
            <v>1271811.0099999998</v>
          </cell>
          <cell r="F116">
            <v>1307626</v>
          </cell>
          <cell r="G116">
            <v>1956611.62</v>
          </cell>
          <cell r="H116">
            <v>1584752.12</v>
          </cell>
          <cell r="I116">
            <v>1590386.34</v>
          </cell>
          <cell r="J116">
            <v>1780190.35</v>
          </cell>
          <cell r="K116">
            <v>1396184.05</v>
          </cell>
          <cell r="L116">
            <v>1686683.02</v>
          </cell>
          <cell r="M116">
            <v>1273158.47</v>
          </cell>
          <cell r="N116">
            <v>1800906.4100000001</v>
          </cell>
          <cell r="O116">
            <v>1651690.61</v>
          </cell>
          <cell r="P116">
            <v>1700000</v>
          </cell>
          <cell r="Q116">
            <v>19000000</v>
          </cell>
        </row>
        <row r="117">
          <cell r="C117">
            <v>715</v>
          </cell>
          <cell r="D117" t="str">
            <v>Ostali prihodi</v>
          </cell>
          <cell r="E117">
            <v>4850852.370284291</v>
          </cell>
          <cell r="F117">
            <v>4543893.9555307049</v>
          </cell>
          <cell r="G117">
            <v>5155108.6307039</v>
          </cell>
          <cell r="H117">
            <v>8577664.0265969969</v>
          </cell>
          <cell r="I117">
            <v>4181225.1038118028</v>
          </cell>
          <cell r="J117">
            <v>8484983.9839163478</v>
          </cell>
          <cell r="K117">
            <v>17098272.995156821</v>
          </cell>
          <cell r="L117">
            <v>20053662.995308049</v>
          </cell>
          <cell r="M117">
            <v>14711690.041677319</v>
          </cell>
          <cell r="N117">
            <v>10010521.839120742</v>
          </cell>
          <cell r="O117">
            <v>4813954.3170404471</v>
          </cell>
          <cell r="P117">
            <v>5929313.0708526587</v>
          </cell>
          <cell r="Q117">
            <v>108411143.33000007</v>
          </cell>
        </row>
        <row r="118">
          <cell r="C118">
            <v>7151</v>
          </cell>
          <cell r="D118" t="str">
            <v>Prihodi od kapitala</v>
          </cell>
          <cell r="E118">
            <v>173943.89644165323</v>
          </cell>
          <cell r="F118">
            <v>123495.04999469536</v>
          </cell>
          <cell r="G118">
            <v>145874.55138656287</v>
          </cell>
          <cell r="H118">
            <v>3632957.2397061805</v>
          </cell>
          <cell r="I118">
            <v>189916.69677717626</v>
          </cell>
          <cell r="J118">
            <v>4925912.16903577</v>
          </cell>
          <cell r="K118">
            <v>12880079.482424449</v>
          </cell>
          <cell r="L118">
            <v>15657971.14575642</v>
          </cell>
          <cell r="M118">
            <v>10189837.969057633</v>
          </cell>
          <cell r="N118">
            <v>5359857.3451002389</v>
          </cell>
          <cell r="O118">
            <v>1043789.0112111997</v>
          </cell>
          <cell r="P118">
            <v>128689.74310809933</v>
          </cell>
          <cell r="Q118">
            <v>54452324.300000079</v>
          </cell>
        </row>
        <row r="119">
          <cell r="C119">
            <v>7152</v>
          </cell>
          <cell r="D119" t="str">
            <v>Novčane kazne i oduzete imovinske koristi</v>
          </cell>
          <cell r="E119">
            <v>672514.95777407591</v>
          </cell>
          <cell r="F119">
            <v>1009266.8944398556</v>
          </cell>
          <cell r="G119">
            <v>1077666.5715314825</v>
          </cell>
          <cell r="H119">
            <v>977211.24706245447</v>
          </cell>
          <cell r="I119">
            <v>1014130.2046953614</v>
          </cell>
          <cell r="J119">
            <v>1157886.1144310094</v>
          </cell>
          <cell r="K119">
            <v>1998210.39386718</v>
          </cell>
          <cell r="L119">
            <v>2067751.1139536344</v>
          </cell>
          <cell r="M119">
            <v>1094163.4236705366</v>
          </cell>
          <cell r="N119">
            <v>1227334.7357445853</v>
          </cell>
          <cell r="O119">
            <v>1111965.4818768548</v>
          </cell>
          <cell r="P119">
            <v>1572113.95095297</v>
          </cell>
          <cell r="Q119">
            <v>14980215.09</v>
          </cell>
        </row>
        <row r="120">
          <cell r="C120">
            <v>7153</v>
          </cell>
          <cell r="D120" t="str">
            <v>Prihodi koje organi ostvaruju vršenjem svoje djelatnosti</v>
          </cell>
          <cell r="E120">
            <v>99341.573382409988</v>
          </cell>
          <cell r="F120">
            <v>146374.82210022403</v>
          </cell>
          <cell r="G120">
            <v>203659.9442817739</v>
          </cell>
          <cell r="H120">
            <v>261153.51533354225</v>
          </cell>
          <cell r="I120">
            <v>176881.99247679522</v>
          </cell>
          <cell r="J120">
            <v>207239.2393022874</v>
          </cell>
          <cell r="K120">
            <v>216426.07652872277</v>
          </cell>
          <cell r="L120">
            <v>219154.43601628477</v>
          </cell>
          <cell r="M120">
            <v>195872.52425477019</v>
          </cell>
          <cell r="N120">
            <v>276026.54753515683</v>
          </cell>
          <cell r="O120">
            <v>273617.13604224299</v>
          </cell>
          <cell r="P120">
            <v>263801.27274578961</v>
          </cell>
          <cell r="Q120">
            <v>2539549.08</v>
          </cell>
        </row>
        <row r="121">
          <cell r="C121">
            <v>7154</v>
          </cell>
          <cell r="D121" t="str">
            <v>Samodoprinosi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C122">
            <v>7155</v>
          </cell>
          <cell r="D122" t="str">
            <v>Ostali prihodi</v>
          </cell>
          <cell r="E122">
            <v>3905051.9426861517</v>
          </cell>
          <cell r="F122">
            <v>3264757.1889959299</v>
          </cell>
          <cell r="G122">
            <v>3727907.5635040803</v>
          </cell>
          <cell r="H122">
            <v>3706342.0244948203</v>
          </cell>
          <cell r="I122">
            <v>2800296.2098624697</v>
          </cell>
          <cell r="J122">
            <v>2193946.4611472799</v>
          </cell>
          <cell r="K122">
            <v>2003557.04233647</v>
          </cell>
          <cell r="L122">
            <v>2108786.2995817102</v>
          </cell>
          <cell r="M122">
            <v>3231816.12469438</v>
          </cell>
          <cell r="N122">
            <v>3147303.21074076</v>
          </cell>
          <cell r="O122">
            <v>2384582.6879101498</v>
          </cell>
          <cell r="P122">
            <v>3964708.1040457999</v>
          </cell>
          <cell r="Q122">
            <v>36439054.859999999</v>
          </cell>
        </row>
        <row r="123">
          <cell r="C123">
            <v>72</v>
          </cell>
          <cell r="D123" t="str">
            <v>Primici od prodaje imovine</v>
          </cell>
          <cell r="E123">
            <v>500000</v>
          </cell>
          <cell r="F123">
            <v>500000</v>
          </cell>
          <cell r="G123">
            <v>500000</v>
          </cell>
          <cell r="H123">
            <v>500000</v>
          </cell>
          <cell r="I123">
            <v>500000</v>
          </cell>
          <cell r="J123">
            <v>500000</v>
          </cell>
          <cell r="K123">
            <v>500000</v>
          </cell>
          <cell r="L123">
            <v>500000</v>
          </cell>
          <cell r="M123">
            <v>500000</v>
          </cell>
          <cell r="N123">
            <v>500000</v>
          </cell>
          <cell r="O123">
            <v>500000</v>
          </cell>
          <cell r="P123">
            <v>500000</v>
          </cell>
          <cell r="Q123">
            <v>6000000</v>
          </cell>
        </row>
        <row r="124">
          <cell r="C124">
            <v>721</v>
          </cell>
          <cell r="D124" t="str">
            <v>Primici od prodaje nefinansijske imovine</v>
          </cell>
          <cell r="E124">
            <v>500000</v>
          </cell>
          <cell r="F124">
            <v>500000</v>
          </cell>
          <cell r="G124">
            <v>500000</v>
          </cell>
          <cell r="H124">
            <v>500000</v>
          </cell>
          <cell r="I124">
            <v>500000</v>
          </cell>
          <cell r="J124">
            <v>500000</v>
          </cell>
          <cell r="K124">
            <v>500000</v>
          </cell>
          <cell r="L124">
            <v>500000</v>
          </cell>
          <cell r="M124">
            <v>500000</v>
          </cell>
          <cell r="N124">
            <v>500000</v>
          </cell>
          <cell r="O124">
            <v>500000</v>
          </cell>
          <cell r="P124">
            <v>500000</v>
          </cell>
          <cell r="Q124">
            <v>6000000</v>
          </cell>
        </row>
        <row r="125">
          <cell r="C125">
            <v>7211</v>
          </cell>
          <cell r="D125" t="str">
            <v>Primici od prodaje nepokretnosti</v>
          </cell>
          <cell r="E125">
            <v>500000</v>
          </cell>
          <cell r="F125">
            <v>500000</v>
          </cell>
          <cell r="G125">
            <v>500000</v>
          </cell>
          <cell r="H125">
            <v>500000</v>
          </cell>
          <cell r="I125">
            <v>500000</v>
          </cell>
          <cell r="J125">
            <v>500000</v>
          </cell>
          <cell r="K125">
            <v>500000</v>
          </cell>
          <cell r="L125">
            <v>500000</v>
          </cell>
          <cell r="M125">
            <v>500000</v>
          </cell>
          <cell r="N125">
            <v>500000</v>
          </cell>
          <cell r="O125">
            <v>500000</v>
          </cell>
          <cell r="P125">
            <v>500000</v>
          </cell>
          <cell r="Q125">
            <v>6000000</v>
          </cell>
        </row>
        <row r="126">
          <cell r="C126">
            <v>7212</v>
          </cell>
          <cell r="D126" t="str">
            <v>Primici od prodaje osnovnih sredstava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C127">
            <v>7213</v>
          </cell>
          <cell r="D127" t="str">
            <v>Primici od prodaje zaliha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C128">
            <v>722</v>
          </cell>
          <cell r="D128" t="str">
            <v>Primici od prodaje finansijske imovine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C129">
            <v>7221</v>
          </cell>
          <cell r="D129" t="str">
            <v>Primici od prodaje akcija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C130">
            <v>7222</v>
          </cell>
          <cell r="D130" t="str">
            <v>Primici od prodaje ostalih hartija od vrijednosti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C131">
            <v>73</v>
          </cell>
          <cell r="D131" t="str">
            <v>Primici od otplate kredita i sredstva prenesena iz prethodne godine</v>
          </cell>
          <cell r="E131">
            <v>81522.336514710114</v>
          </cell>
          <cell r="F131">
            <v>445973.11311571056</v>
          </cell>
          <cell r="G131">
            <v>303147.50930105889</v>
          </cell>
          <cell r="H131">
            <v>411671.2919196891</v>
          </cell>
          <cell r="I131">
            <v>953218.81017704192</v>
          </cell>
          <cell r="J131">
            <v>1530930.5926958604</v>
          </cell>
          <cell r="K131">
            <v>158719.86425742233</v>
          </cell>
          <cell r="L131">
            <v>1527452.9651282593</v>
          </cell>
          <cell r="M131">
            <v>216436.80971001115</v>
          </cell>
          <cell r="N131">
            <v>263186.6897599264</v>
          </cell>
          <cell r="O131">
            <v>1703592.4757162347</v>
          </cell>
          <cell r="P131">
            <v>2152051.5417040759</v>
          </cell>
          <cell r="Q131">
            <v>9747904</v>
          </cell>
        </row>
        <row r="132">
          <cell r="C132">
            <v>731</v>
          </cell>
          <cell r="D132" t="str">
            <v>Primici od otplate kredita</v>
          </cell>
          <cell r="E132">
            <v>81522.336514710114</v>
          </cell>
          <cell r="F132">
            <v>445973.11311571056</v>
          </cell>
          <cell r="G132">
            <v>303147.50930105889</v>
          </cell>
          <cell r="H132">
            <v>411671.2919196891</v>
          </cell>
          <cell r="I132">
            <v>953218.81017704192</v>
          </cell>
          <cell r="J132">
            <v>1530930.5926958604</v>
          </cell>
          <cell r="K132">
            <v>158719.86425742233</v>
          </cell>
          <cell r="L132">
            <v>1527452.9651282593</v>
          </cell>
          <cell r="M132">
            <v>216436.80971001115</v>
          </cell>
          <cell r="N132">
            <v>263186.6897599264</v>
          </cell>
          <cell r="O132">
            <v>1703592.4757162347</v>
          </cell>
          <cell r="P132">
            <v>2152051.5417040759</v>
          </cell>
          <cell r="Q132">
            <v>9747904</v>
          </cell>
        </row>
        <row r="133">
          <cell r="C133">
            <v>7311</v>
          </cell>
          <cell r="D133" t="str">
            <v>Primici od otplate kredita datih drugim nivoima vlasti</v>
          </cell>
          <cell r="E133">
            <v>81522.336514710114</v>
          </cell>
          <cell r="F133">
            <v>445973.11311571056</v>
          </cell>
          <cell r="G133">
            <v>303147.50930105889</v>
          </cell>
          <cell r="H133">
            <v>411671.2919196891</v>
          </cell>
          <cell r="I133">
            <v>953218.81017704192</v>
          </cell>
          <cell r="J133">
            <v>1530930.5926958604</v>
          </cell>
          <cell r="K133">
            <v>158719.86425742233</v>
          </cell>
          <cell r="L133">
            <v>1527452.9651282593</v>
          </cell>
          <cell r="M133">
            <v>216436.80971001115</v>
          </cell>
          <cell r="N133">
            <v>263186.6897599264</v>
          </cell>
          <cell r="O133">
            <v>1703592.4757162347</v>
          </cell>
          <cell r="P133">
            <v>2152051.5417040759</v>
          </cell>
          <cell r="Q133">
            <v>9747904</v>
          </cell>
        </row>
        <row r="134">
          <cell r="C134">
            <v>7312</v>
          </cell>
          <cell r="D134" t="str">
            <v>Primici od otplate kredita datih javnim preduzećima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C135">
            <v>7313</v>
          </cell>
          <cell r="D135" t="str">
            <v>Primici od otplate kredita datih drugim institucijama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>
            <v>7314</v>
          </cell>
          <cell r="D136" t="str">
            <v>Primici od otplate kredita datih fizičkim licima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C137">
            <v>732</v>
          </cell>
          <cell r="D137" t="str">
            <v>Sredstva prenesena iz prethodne godine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C138">
            <v>74</v>
          </cell>
          <cell r="D138" t="str">
            <v>Donacije i transferi</v>
          </cell>
          <cell r="E138">
            <v>4000000</v>
          </cell>
          <cell r="F138">
            <v>1850000</v>
          </cell>
          <cell r="G138">
            <v>1500000</v>
          </cell>
          <cell r="H138">
            <v>1250000</v>
          </cell>
          <cell r="I138">
            <v>2153709.39777778</v>
          </cell>
          <cell r="J138">
            <v>4349999.9977777796</v>
          </cell>
          <cell r="K138">
            <v>4361128.1955555324</v>
          </cell>
          <cell r="L138">
            <v>4003709.39777778</v>
          </cell>
          <cell r="M138">
            <v>4403709.39777778</v>
          </cell>
          <cell r="N138">
            <v>4453709.39777778</v>
          </cell>
          <cell r="O138">
            <v>4523709.39777778</v>
          </cell>
          <cell r="P138">
            <v>4450324.8177777799</v>
          </cell>
          <cell r="Q138">
            <v>41300000</v>
          </cell>
        </row>
        <row r="139">
          <cell r="C139">
            <v>741</v>
          </cell>
          <cell r="D139" t="str">
            <v>Donacije</v>
          </cell>
          <cell r="E139">
            <v>4000000</v>
          </cell>
          <cell r="F139">
            <v>1850000</v>
          </cell>
          <cell r="G139">
            <v>1500000</v>
          </cell>
          <cell r="H139">
            <v>1250000</v>
          </cell>
          <cell r="I139">
            <v>2153709.39777778</v>
          </cell>
          <cell r="J139">
            <v>4349999.9977777796</v>
          </cell>
          <cell r="K139">
            <v>4361128.1955555324</v>
          </cell>
          <cell r="L139">
            <v>4003709.39777778</v>
          </cell>
          <cell r="M139">
            <v>4403709.39777778</v>
          </cell>
          <cell r="N139">
            <v>4453709.39777778</v>
          </cell>
          <cell r="O139">
            <v>4523709.39777778</v>
          </cell>
          <cell r="P139">
            <v>4450324.8177777799</v>
          </cell>
          <cell r="Q139">
            <v>41300000</v>
          </cell>
        </row>
        <row r="140">
          <cell r="C140">
            <v>7411</v>
          </cell>
          <cell r="D140" t="str">
            <v>Tekuće donacije</v>
          </cell>
          <cell r="E140">
            <v>4000000</v>
          </cell>
          <cell r="F140">
            <v>1850000</v>
          </cell>
          <cell r="G140">
            <v>1500000</v>
          </cell>
          <cell r="H140">
            <v>1250000</v>
          </cell>
          <cell r="I140">
            <v>2153709.39777778</v>
          </cell>
          <cell r="J140">
            <v>4349999.9977777796</v>
          </cell>
          <cell r="K140">
            <v>4361128.1955555324</v>
          </cell>
          <cell r="L140">
            <v>4003709.39777778</v>
          </cell>
          <cell r="M140">
            <v>4403709.39777778</v>
          </cell>
          <cell r="N140">
            <v>4453709.39777778</v>
          </cell>
          <cell r="O140">
            <v>4523709.39777778</v>
          </cell>
          <cell r="P140">
            <v>4450324.8177777799</v>
          </cell>
          <cell r="Q140">
            <v>41300000</v>
          </cell>
        </row>
        <row r="141">
          <cell r="C141">
            <v>7412</v>
          </cell>
          <cell r="D141" t="str">
            <v>Kapitalne donacije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C142">
            <v>742</v>
          </cell>
          <cell r="D142" t="str">
            <v>Transferi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C143">
            <v>7421</v>
          </cell>
          <cell r="D143" t="str">
            <v>Transferi od budžeta države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C144">
            <v>7422</v>
          </cell>
          <cell r="D144" t="str">
            <v>Transferi od budžeta opštine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>
            <v>7423</v>
          </cell>
          <cell r="D145" t="str">
            <v>Transferi od fonda PIO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>
            <v>7424</v>
          </cell>
          <cell r="D146" t="str">
            <v>Transferi od fonda za zdravstveno osiguranje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C147">
            <v>7425</v>
          </cell>
          <cell r="D147" t="str">
            <v>Transferi od Zavoda za zapošljavanje Crne Gore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C148">
            <v>7426</v>
          </cell>
          <cell r="D148" t="str">
            <v>Transferi od Egalizacionih fondova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C149">
            <v>75</v>
          </cell>
          <cell r="D149" t="str">
            <v xml:space="preserve">Pozajmice i krediti </v>
          </cell>
          <cell r="E149">
            <v>0</v>
          </cell>
          <cell r="F149">
            <v>0</v>
          </cell>
          <cell r="G149">
            <v>687000000</v>
          </cell>
          <cell r="H149">
            <v>0</v>
          </cell>
          <cell r="I149">
            <v>0</v>
          </cell>
          <cell r="J149">
            <v>0</v>
          </cell>
          <cell r="K149">
            <v>180000000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867000000</v>
          </cell>
        </row>
        <row r="150">
          <cell r="C150">
            <v>751</v>
          </cell>
          <cell r="D150" t="str">
            <v>Pozajmice i krediti</v>
          </cell>
          <cell r="E150">
            <v>0</v>
          </cell>
          <cell r="F150">
            <v>0</v>
          </cell>
          <cell r="G150">
            <v>687000000</v>
          </cell>
          <cell r="H150">
            <v>0</v>
          </cell>
          <cell r="I150">
            <v>0</v>
          </cell>
          <cell r="J150">
            <v>0</v>
          </cell>
          <cell r="K150">
            <v>180000000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867000000</v>
          </cell>
        </row>
        <row r="151">
          <cell r="C151">
            <v>7511</v>
          </cell>
          <cell r="D151" t="str">
            <v>Pozajmice i krediti od domaćih izvora</v>
          </cell>
          <cell r="Q151">
            <v>0</v>
          </cell>
        </row>
        <row r="152">
          <cell r="C152">
            <v>7512</v>
          </cell>
          <cell r="D152" t="str">
            <v>Pozajmice i krediti od inostranih izvora</v>
          </cell>
          <cell r="E152">
            <v>0</v>
          </cell>
          <cell r="F152">
            <v>0</v>
          </cell>
          <cell r="G152">
            <v>687000000</v>
          </cell>
          <cell r="H152">
            <v>0</v>
          </cell>
          <cell r="I152">
            <v>0</v>
          </cell>
          <cell r="J152">
            <v>0</v>
          </cell>
          <cell r="K152">
            <v>180000000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867000000</v>
          </cell>
        </row>
        <row r="155">
          <cell r="M155">
            <v>-35338184.178059176</v>
          </cell>
          <cell r="N155" t="str">
            <v>5000000-</v>
          </cell>
          <cell r="O155" t="str">
            <v>10150000-</v>
          </cell>
        </row>
        <row r="156">
          <cell r="M156">
            <v>-35338184.178059176</v>
          </cell>
          <cell r="Q156">
            <v>2727001671.9900002</v>
          </cell>
        </row>
        <row r="158">
          <cell r="E158" t="str">
            <v>IZVRŠENJE - TOTAL 2023</v>
          </cell>
        </row>
        <row r="159">
          <cell r="E159" t="str">
            <v>Januar</v>
          </cell>
          <cell r="F159" t="str">
            <v>Februar</v>
          </cell>
          <cell r="G159" t="str">
            <v>Mart</v>
          </cell>
          <cell r="H159" t="str">
            <v>April</v>
          </cell>
          <cell r="I159" t="str">
            <v>Maj</v>
          </cell>
          <cell r="J159" t="str">
            <v>Jun</v>
          </cell>
          <cell r="K159" t="str">
            <v>Jul</v>
          </cell>
          <cell r="L159" t="str">
            <v>Avgust</v>
          </cell>
          <cell r="M159" t="str">
            <v>Septembar</v>
          </cell>
          <cell r="N159" t="str">
            <v>Oktobar</v>
          </cell>
          <cell r="O159" t="str">
            <v>Novembar</v>
          </cell>
          <cell r="P159" t="str">
            <v>Decembar</v>
          </cell>
          <cell r="Q159" t="str">
            <v>TOTAL</v>
          </cell>
        </row>
        <row r="160">
          <cell r="C160" t="str">
            <v>Ekon. Klas.</v>
          </cell>
          <cell r="D160" t="str">
            <v>OPIS</v>
          </cell>
        </row>
        <row r="161">
          <cell r="C161">
            <v>7</v>
          </cell>
          <cell r="D161" t="str">
            <v>PRIMICI</v>
          </cell>
          <cell r="E161">
            <v>169014174.13000003</v>
          </cell>
          <cell r="F161">
            <v>145647575.05000004</v>
          </cell>
          <cell r="G161">
            <v>335332737.04999989</v>
          </cell>
          <cell r="H161">
            <v>259857437.59000003</v>
          </cell>
          <cell r="I161">
            <v>189903180.63000008</v>
          </cell>
          <cell r="J161">
            <v>262216225.02999997</v>
          </cell>
          <cell r="K161">
            <v>209413247.62</v>
          </cell>
          <cell r="L161">
            <v>244646401.86999986</v>
          </cell>
          <cell r="M161">
            <v>221403424.12000003</v>
          </cell>
          <cell r="N161">
            <v>225390788.45999995</v>
          </cell>
          <cell r="O161">
            <v>193052504.21000001</v>
          </cell>
          <cell r="P161">
            <v>445388237.87</v>
          </cell>
          <cell r="Q161">
            <v>2901265933.6299996</v>
          </cell>
        </row>
        <row r="162">
          <cell r="C162">
            <v>71</v>
          </cell>
          <cell r="D162" t="str">
            <v>Tekući prihodi</v>
          </cell>
          <cell r="E162">
            <v>166223653.15000001</v>
          </cell>
          <cell r="F162">
            <v>139347452.23000002</v>
          </cell>
          <cell r="G162">
            <v>202146922.82999992</v>
          </cell>
          <cell r="H162">
            <v>251446076.04000002</v>
          </cell>
          <cell r="I162">
            <v>184879139.71000007</v>
          </cell>
          <cell r="J162">
            <v>248247030.70999995</v>
          </cell>
          <cell r="K162">
            <v>205127847.90000001</v>
          </cell>
          <cell r="L162">
            <v>241435490.73999986</v>
          </cell>
          <cell r="M162">
            <v>211654874.87000003</v>
          </cell>
          <cell r="N162">
            <v>217493026.44999996</v>
          </cell>
          <cell r="O162">
            <v>186915127.98000002</v>
          </cell>
          <cell r="P162">
            <v>240270648.74000004</v>
          </cell>
          <cell r="Q162">
            <v>2495187291.3499994</v>
          </cell>
        </row>
        <row r="163">
          <cell r="C163">
            <v>711</v>
          </cell>
          <cell r="D163" t="str">
            <v>Porezi</v>
          </cell>
          <cell r="E163">
            <v>103490146.19</v>
          </cell>
          <cell r="F163">
            <v>91059566.449999988</v>
          </cell>
          <cell r="G163">
            <v>151829456.91999996</v>
          </cell>
          <cell r="H163">
            <v>191461569.70999998</v>
          </cell>
          <cell r="I163">
            <v>130851714.41000003</v>
          </cell>
          <cell r="J163">
            <v>131511620.45999998</v>
          </cell>
          <cell r="K163">
            <v>143616587.01000002</v>
          </cell>
          <cell r="L163">
            <v>165353455.12999994</v>
          </cell>
          <cell r="M163">
            <v>156517964.88000005</v>
          </cell>
          <cell r="N163">
            <v>146031901.30999997</v>
          </cell>
          <cell r="O163">
            <v>117280381.46000001</v>
          </cell>
          <cell r="P163">
            <v>137012115.60000002</v>
          </cell>
          <cell r="Q163">
            <v>1666016479.53</v>
          </cell>
        </row>
        <row r="164">
          <cell r="C164">
            <v>7111</v>
          </cell>
          <cell r="D164" t="str">
            <v>Porez na dohodak fizičkih lica</v>
          </cell>
          <cell r="E164">
            <v>1481487.8699999992</v>
          </cell>
          <cell r="F164">
            <v>3944575.2399999993</v>
          </cell>
          <cell r="G164">
            <v>4159428.2400000007</v>
          </cell>
          <cell r="H164">
            <v>5386591.0600000024</v>
          </cell>
          <cell r="I164">
            <v>5224793.5499999989</v>
          </cell>
          <cell r="J164">
            <v>5249731.5799999954</v>
          </cell>
          <cell r="K164">
            <v>6015554.9999999991</v>
          </cell>
          <cell r="L164">
            <v>5967013.5799999954</v>
          </cell>
          <cell r="M164">
            <v>5893920.4299999997</v>
          </cell>
          <cell r="N164">
            <v>6808747.950000003</v>
          </cell>
          <cell r="O164">
            <v>5681629.2400000002</v>
          </cell>
          <cell r="P164">
            <v>10598117.260000005</v>
          </cell>
          <cell r="Q164">
            <v>66411591</v>
          </cell>
        </row>
        <row r="165">
          <cell r="C165">
            <v>7112</v>
          </cell>
          <cell r="D165" t="str">
            <v>Porez na dobit pravnih lica</v>
          </cell>
          <cell r="E165">
            <v>1258566.3800000001</v>
          </cell>
          <cell r="F165">
            <v>3765090.3600000003</v>
          </cell>
          <cell r="G165">
            <v>37663055.620000005</v>
          </cell>
          <cell r="H165">
            <v>77247366.689999983</v>
          </cell>
          <cell r="I165">
            <v>6981694.2800000012</v>
          </cell>
          <cell r="J165">
            <v>4688222.9600000018</v>
          </cell>
          <cell r="K165">
            <v>4152071.3300000005</v>
          </cell>
          <cell r="L165">
            <v>3369699.5599999996</v>
          </cell>
          <cell r="M165">
            <v>1866160.6900000002</v>
          </cell>
          <cell r="N165">
            <v>2296101.2799999998</v>
          </cell>
          <cell r="O165">
            <v>3538790.8100000005</v>
          </cell>
          <cell r="P165">
            <v>4457656.5100000007</v>
          </cell>
          <cell r="Q165">
            <v>151284476.47</v>
          </cell>
        </row>
        <row r="166">
          <cell r="C166">
            <v>7113</v>
          </cell>
          <cell r="D166" t="str">
            <v>Porez na promet nepokretnosti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>
            <v>7114</v>
          </cell>
          <cell r="D167" t="str">
            <v>Porez na dodatu vrijednost</v>
          </cell>
          <cell r="E167">
            <v>79816016.629999995</v>
          </cell>
          <cell r="F167">
            <v>61023809.459999986</v>
          </cell>
          <cell r="G167">
            <v>80926297.079999968</v>
          </cell>
          <cell r="H167">
            <v>79500899.439999998</v>
          </cell>
          <cell r="I167">
            <v>87195794.000000015</v>
          </cell>
          <cell r="J167">
            <v>87124881.440000013</v>
          </cell>
          <cell r="K167">
            <v>92697116.170000002</v>
          </cell>
          <cell r="L167">
            <v>112001434.96999997</v>
          </cell>
          <cell r="M167">
            <v>109706758.49000002</v>
          </cell>
          <cell r="N167">
            <v>102950012.67999999</v>
          </cell>
          <cell r="O167">
            <v>78394633.030000001</v>
          </cell>
          <cell r="P167">
            <v>87929424.079999998</v>
          </cell>
          <cell r="Q167">
            <v>1059267077.4699998</v>
          </cell>
        </row>
        <row r="168">
          <cell r="C168">
            <v>7115</v>
          </cell>
          <cell r="D168" t="str">
            <v>Akcize</v>
          </cell>
          <cell r="E168">
            <v>17494328.43999999</v>
          </cell>
          <cell r="F168">
            <v>18190262.669999998</v>
          </cell>
          <cell r="G168">
            <v>22619973.850000005</v>
          </cell>
          <cell r="H168">
            <v>24163018.859999988</v>
          </cell>
          <cell r="I168">
            <v>25793019.070000011</v>
          </cell>
          <cell r="J168">
            <v>28449742.409999989</v>
          </cell>
          <cell r="K168">
            <v>34815701.960000008</v>
          </cell>
          <cell r="L168">
            <v>37644944.319999993</v>
          </cell>
          <cell r="M168">
            <v>33046282.23</v>
          </cell>
          <cell r="N168">
            <v>28234460.509999998</v>
          </cell>
          <cell r="O168">
            <v>24175706.740000006</v>
          </cell>
          <cell r="P168">
            <v>28494203.900000006</v>
          </cell>
          <cell r="Q168">
            <v>323121644.96000004</v>
          </cell>
        </row>
        <row r="169">
          <cell r="C169">
            <v>7116</v>
          </cell>
          <cell r="D169" t="str">
            <v>Porez na međunarodnu trgovinu i transakcije</v>
          </cell>
          <cell r="E169">
            <v>2467588.1799999997</v>
          </cell>
          <cell r="F169">
            <v>3220443.4899999998</v>
          </cell>
          <cell r="G169">
            <v>5443960.2099999953</v>
          </cell>
          <cell r="H169">
            <v>4088105.6800000006</v>
          </cell>
          <cell r="I169">
            <v>4535373.51</v>
          </cell>
          <cell r="J169">
            <v>4729381.13</v>
          </cell>
          <cell r="K169">
            <v>4795015.5300000012</v>
          </cell>
          <cell r="L169">
            <v>5109171.41</v>
          </cell>
          <cell r="M169">
            <v>4643119.9899999993</v>
          </cell>
          <cell r="N169">
            <v>4489829.42</v>
          </cell>
          <cell r="O169">
            <v>4266242.0499999989</v>
          </cell>
          <cell r="P169">
            <v>4403080.1099999985</v>
          </cell>
          <cell r="Q169">
            <v>52191310.709999993</v>
          </cell>
        </row>
        <row r="170">
          <cell r="C170">
            <v>7117</v>
          </cell>
          <cell r="D170" t="str">
            <v>Lokalni porezi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C171">
            <v>7118</v>
          </cell>
          <cell r="D171" t="str">
            <v>Ostali republički porezi</v>
          </cell>
          <cell r="E171">
            <v>972158.68999999971</v>
          </cell>
          <cell r="F171">
            <v>915385.23</v>
          </cell>
          <cell r="G171">
            <v>1016741.9200000002</v>
          </cell>
          <cell r="H171">
            <v>1075587.9800000002</v>
          </cell>
          <cell r="I171">
            <v>1121039.9999999998</v>
          </cell>
          <cell r="J171">
            <v>1269660.9400000006</v>
          </cell>
          <cell r="K171">
            <v>1141127.02</v>
          </cell>
          <cell r="L171">
            <v>1261191.2900000003</v>
          </cell>
          <cell r="M171">
            <v>1361723.0499999998</v>
          </cell>
          <cell r="N171">
            <v>1252749.4699999997</v>
          </cell>
          <cell r="O171">
            <v>1223379.5899999999</v>
          </cell>
          <cell r="P171">
            <v>1129633.74</v>
          </cell>
          <cell r="Q171">
            <v>13740378.92</v>
          </cell>
        </row>
        <row r="172">
          <cell r="C172">
            <v>712</v>
          </cell>
          <cell r="D172" t="str">
            <v>Doprinosi</v>
          </cell>
          <cell r="E172">
            <v>15617329.629999993</v>
          </cell>
          <cell r="F172">
            <v>41494879.260000013</v>
          </cell>
          <cell r="G172">
            <v>42670635.129999973</v>
          </cell>
          <cell r="H172">
            <v>47597807.860000007</v>
          </cell>
          <cell r="I172">
            <v>45975315.24000001</v>
          </cell>
          <cell r="J172">
            <v>48052163.109999985</v>
          </cell>
          <cell r="K172">
            <v>48400583.619999975</v>
          </cell>
          <cell r="L172">
            <v>49792973.80999995</v>
          </cell>
          <cell r="M172">
            <v>48149305.769999996</v>
          </cell>
          <cell r="N172">
            <v>51603762.279999994</v>
          </cell>
          <cell r="O172">
            <v>47289989.95000001</v>
          </cell>
          <cell r="P172">
            <v>89085844.590000018</v>
          </cell>
          <cell r="Q172">
            <v>575730590.25</v>
          </cell>
        </row>
        <row r="173">
          <cell r="C173">
            <v>7121</v>
          </cell>
          <cell r="D173" t="str">
            <v>Doprinosi za penzijsko i invalidsko osiguranje</v>
          </cell>
          <cell r="E173">
            <v>14209639.379999993</v>
          </cell>
          <cell r="F173">
            <v>37909924.050000019</v>
          </cell>
          <cell r="G173">
            <v>39108292.089999974</v>
          </cell>
          <cell r="H173">
            <v>43483738.68</v>
          </cell>
          <cell r="I173">
            <v>41997766.550000004</v>
          </cell>
          <cell r="J173">
            <v>44039789.279999986</v>
          </cell>
          <cell r="K173">
            <v>44449178.459999979</v>
          </cell>
          <cell r="L173">
            <v>45814075.689999945</v>
          </cell>
          <cell r="M173">
            <v>43602487.669999994</v>
          </cell>
          <cell r="N173">
            <v>47259866.419999994</v>
          </cell>
          <cell r="O173">
            <v>43114463.940000013</v>
          </cell>
          <cell r="P173">
            <v>81523024.160000011</v>
          </cell>
          <cell r="Q173">
            <v>526512246.36999995</v>
          </cell>
        </row>
        <row r="174">
          <cell r="C174">
            <v>7122</v>
          </cell>
          <cell r="D174" t="str">
            <v>Doprinosi za zdravstveno osiguranje</v>
          </cell>
          <cell r="E174">
            <v>302309.89999999997</v>
          </cell>
          <cell r="F174">
            <v>645770.62000000034</v>
          </cell>
          <cell r="G174">
            <v>422256.93999999994</v>
          </cell>
          <cell r="H174">
            <v>537238.13000000012</v>
          </cell>
          <cell r="I174">
            <v>599016.13</v>
          </cell>
          <cell r="J174">
            <v>555487.36999999988</v>
          </cell>
          <cell r="K174">
            <v>488484.82000000012</v>
          </cell>
          <cell r="L174">
            <v>429326.81999999989</v>
          </cell>
          <cell r="M174">
            <v>1028891.1400000001</v>
          </cell>
          <cell r="N174">
            <v>464431.04000000004</v>
          </cell>
          <cell r="O174">
            <v>591360.93000000017</v>
          </cell>
          <cell r="P174">
            <v>965969</v>
          </cell>
          <cell r="Q174">
            <v>7030542.8399999999</v>
          </cell>
        </row>
        <row r="175">
          <cell r="C175">
            <v>7123</v>
          </cell>
          <cell r="D175" t="str">
            <v>Doprinosi za osiguranje od nezaposlenosti</v>
          </cell>
          <cell r="E175">
            <v>658854.46999999974</v>
          </cell>
          <cell r="F175">
            <v>1731553.43</v>
          </cell>
          <cell r="G175">
            <v>1770290.3199999991</v>
          </cell>
          <cell r="H175">
            <v>2000792.3399999999</v>
          </cell>
          <cell r="I175">
            <v>1915310.3100000003</v>
          </cell>
          <cell r="J175">
            <v>1979006.2500000002</v>
          </cell>
          <cell r="K175">
            <v>1993336.7200000002</v>
          </cell>
          <cell r="L175">
            <v>2115793.0999999996</v>
          </cell>
          <cell r="M175">
            <v>2051057.2799999986</v>
          </cell>
          <cell r="N175">
            <v>2219307.1799999988</v>
          </cell>
          <cell r="O175">
            <v>2018981.01</v>
          </cell>
          <cell r="P175">
            <v>3765884.68</v>
          </cell>
          <cell r="Q175">
            <v>24220167.09</v>
          </cell>
        </row>
        <row r="176">
          <cell r="C176">
            <v>7124</v>
          </cell>
          <cell r="D176" t="str">
            <v>Ostali doprinosi</v>
          </cell>
          <cell r="E176">
            <v>446525.87999999995</v>
          </cell>
          <cell r="F176">
            <v>1207631.1599999999</v>
          </cell>
          <cell r="G176">
            <v>1369795.7799999996</v>
          </cell>
          <cell r="H176">
            <v>1576038.7099999993</v>
          </cell>
          <cell r="I176">
            <v>1463222.2500000007</v>
          </cell>
          <cell r="J176">
            <v>1477880.2099999997</v>
          </cell>
          <cell r="K176">
            <v>1469583.6199999996</v>
          </cell>
          <cell r="L176">
            <v>1433778.2000000002</v>
          </cell>
          <cell r="M176">
            <v>1466869.6800000002</v>
          </cell>
          <cell r="N176">
            <v>1660157.64</v>
          </cell>
          <cell r="O176">
            <v>1565184.0699999998</v>
          </cell>
          <cell r="P176">
            <v>2830966.7499999995</v>
          </cell>
          <cell r="Q176">
            <v>17967633.949999999</v>
          </cell>
        </row>
        <row r="177">
          <cell r="C177">
            <v>713</v>
          </cell>
          <cell r="D177" t="str">
            <v>Takse</v>
          </cell>
          <cell r="E177">
            <v>747597.88000000012</v>
          </cell>
          <cell r="F177">
            <v>957673.57000000007</v>
          </cell>
          <cell r="G177">
            <v>1088989.1199999999</v>
          </cell>
          <cell r="H177">
            <v>1037186.5499999996</v>
          </cell>
          <cell r="I177">
            <v>1360645.2099999995</v>
          </cell>
          <cell r="J177">
            <v>1440002.8799999992</v>
          </cell>
          <cell r="K177">
            <v>1576889.5799999996</v>
          </cell>
          <cell r="L177">
            <v>1784267.6300000001</v>
          </cell>
          <cell r="M177">
            <v>1532937.4300000002</v>
          </cell>
          <cell r="N177">
            <v>1531116.1300000001</v>
          </cell>
          <cell r="O177">
            <v>1288575.5999999999</v>
          </cell>
          <cell r="P177">
            <v>1671271.4799999997</v>
          </cell>
          <cell r="Q177">
            <v>16017153.059999997</v>
          </cell>
        </row>
        <row r="178">
          <cell r="C178">
            <v>7131</v>
          </cell>
          <cell r="D178" t="str">
            <v>Administrativne takse</v>
          </cell>
          <cell r="E178">
            <v>562765.69000000018</v>
          </cell>
          <cell r="F178">
            <v>725487.05</v>
          </cell>
          <cell r="G178">
            <v>855049.89</v>
          </cell>
          <cell r="H178">
            <v>706124.10999999952</v>
          </cell>
          <cell r="I178">
            <v>922306.51999999967</v>
          </cell>
          <cell r="J178">
            <v>892344.6399999992</v>
          </cell>
          <cell r="K178">
            <v>833937.55999999971</v>
          </cell>
          <cell r="L178">
            <v>885400.66000000015</v>
          </cell>
          <cell r="M178">
            <v>819380.47000000009</v>
          </cell>
          <cell r="N178">
            <v>917334.50000000012</v>
          </cell>
          <cell r="O178">
            <v>716823.99999999977</v>
          </cell>
          <cell r="P178">
            <v>992468.15999999968</v>
          </cell>
          <cell r="Q178">
            <v>9829423.2499999981</v>
          </cell>
        </row>
        <row r="179">
          <cell r="C179">
            <v>7132</v>
          </cell>
          <cell r="D179" t="str">
            <v>Sudske takse</v>
          </cell>
          <cell r="E179">
            <v>63780.219999999994</v>
          </cell>
          <cell r="F179">
            <v>93511.400000000023</v>
          </cell>
          <cell r="G179">
            <v>92206.949999999983</v>
          </cell>
          <cell r="H179">
            <v>87837.54</v>
          </cell>
          <cell r="I179">
            <v>104273.81</v>
          </cell>
          <cell r="J179">
            <v>122030</v>
          </cell>
          <cell r="K179">
            <v>109832.15</v>
          </cell>
          <cell r="L179">
            <v>78463.199999999997</v>
          </cell>
          <cell r="M179">
            <v>91837.84</v>
          </cell>
          <cell r="N179">
            <v>111457.22000000002</v>
          </cell>
          <cell r="O179">
            <v>112268.49</v>
          </cell>
          <cell r="P179">
            <v>122401.54000000002</v>
          </cell>
          <cell r="Q179">
            <v>1189900.3599999999</v>
          </cell>
        </row>
        <row r="180">
          <cell r="C180">
            <v>7133</v>
          </cell>
          <cell r="D180" t="str">
            <v>Boravišne takse</v>
          </cell>
          <cell r="E180">
            <v>73133.950000000012</v>
          </cell>
          <cell r="F180">
            <v>70730.23000000001</v>
          </cell>
          <cell r="G180">
            <v>80001.849999999991</v>
          </cell>
          <cell r="H180">
            <v>93950.560000000012</v>
          </cell>
          <cell r="I180">
            <v>147685.75999999998</v>
          </cell>
          <cell r="J180">
            <v>213497.19</v>
          </cell>
          <cell r="K180">
            <v>394700.26</v>
          </cell>
          <cell r="L180">
            <v>517345.83</v>
          </cell>
          <cell r="M180">
            <v>296080.84000000003</v>
          </cell>
          <cell r="N180">
            <v>174814.43</v>
          </cell>
          <cell r="O180">
            <v>91338.290000000023</v>
          </cell>
          <cell r="P180">
            <v>128960.26999999999</v>
          </cell>
          <cell r="Q180">
            <v>2282239.46</v>
          </cell>
        </row>
        <row r="181">
          <cell r="C181">
            <v>7134</v>
          </cell>
          <cell r="D181" t="str">
            <v>Registracione takse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C182">
            <v>7135</v>
          </cell>
          <cell r="D182" t="str">
            <v>Lokalne komunalne takse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C183">
            <v>7136</v>
          </cell>
          <cell r="D183" t="str">
            <v>Ostale takse</v>
          </cell>
          <cell r="E183">
            <v>47918.02</v>
          </cell>
          <cell r="F183">
            <v>67944.889999999985</v>
          </cell>
          <cell r="G183">
            <v>61730.429999999986</v>
          </cell>
          <cell r="H183">
            <v>149274.34000000003</v>
          </cell>
          <cell r="I183">
            <v>186379.12</v>
          </cell>
          <cell r="J183">
            <v>212131.05000000008</v>
          </cell>
          <cell r="K183">
            <v>238419.61</v>
          </cell>
          <cell r="L183">
            <v>303057.93999999994</v>
          </cell>
          <cell r="M183">
            <v>325638.28000000003</v>
          </cell>
          <cell r="N183">
            <v>327509.97999999992</v>
          </cell>
          <cell r="O183">
            <v>368144.82</v>
          </cell>
          <cell r="P183">
            <v>427441.51</v>
          </cell>
          <cell r="Q183">
            <v>2715589.99</v>
          </cell>
        </row>
        <row r="184">
          <cell r="C184">
            <v>714</v>
          </cell>
          <cell r="D184" t="str">
            <v>Naknade</v>
          </cell>
          <cell r="E184">
            <v>11787074.770000003</v>
          </cell>
          <cell r="F184">
            <v>3748417.3300000005</v>
          </cell>
          <cell r="G184">
            <v>3332694.0399999996</v>
          </cell>
          <cell r="H184">
            <v>3365130.8299999996</v>
          </cell>
          <cell r="I184">
            <v>4607961.24</v>
          </cell>
          <cell r="J184">
            <v>4411415.8800000008</v>
          </cell>
          <cell r="K184">
            <v>4145262.399999999</v>
          </cell>
          <cell r="L184">
            <v>3786345.669999999</v>
          </cell>
          <cell r="M184">
            <v>3252285.3100000005</v>
          </cell>
          <cell r="N184">
            <v>3955363.51</v>
          </cell>
          <cell r="O184">
            <v>5546279.5099999998</v>
          </cell>
          <cell r="P184">
            <v>3779355.2300000004</v>
          </cell>
          <cell r="Q184">
            <v>55717585.719999999</v>
          </cell>
        </row>
        <row r="185">
          <cell r="C185">
            <v>7141</v>
          </cell>
          <cell r="D185" t="str">
            <v>Naknade za korišćenje dobara od opšteg interesa</v>
          </cell>
          <cell r="E185">
            <v>105147.2</v>
          </cell>
          <cell r="F185">
            <v>81332.600000000006</v>
          </cell>
          <cell r="G185">
            <v>543585.9</v>
          </cell>
          <cell r="H185">
            <v>36820.530000000013</v>
          </cell>
          <cell r="I185">
            <v>106241.54000000002</v>
          </cell>
          <cell r="J185">
            <v>95921.829999999987</v>
          </cell>
          <cell r="K185">
            <v>134062.95000000001</v>
          </cell>
          <cell r="L185">
            <v>328038.06999999989</v>
          </cell>
          <cell r="M185">
            <v>178127.34999999998</v>
          </cell>
          <cell r="N185">
            <v>74838.679999999993</v>
          </cell>
          <cell r="O185">
            <v>493111.60000000003</v>
          </cell>
          <cell r="P185">
            <v>83278.52</v>
          </cell>
          <cell r="Q185">
            <v>2260506.7699999996</v>
          </cell>
        </row>
        <row r="186">
          <cell r="C186">
            <v>7142</v>
          </cell>
          <cell r="D186" t="str">
            <v>Naknade za korišćenje prirodnih dobara</v>
          </cell>
          <cell r="E186">
            <v>258477.58000000002</v>
          </cell>
          <cell r="F186">
            <v>211673.61</v>
          </cell>
          <cell r="G186">
            <v>476821.67000000004</v>
          </cell>
          <cell r="H186">
            <v>395383.84000000008</v>
          </cell>
          <cell r="I186">
            <v>619913.21</v>
          </cell>
          <cell r="J186">
            <v>1215530.5799999998</v>
          </cell>
          <cell r="K186">
            <v>496709.77999999997</v>
          </cell>
          <cell r="L186">
            <v>686509.11999999988</v>
          </cell>
          <cell r="M186">
            <v>526100.19000000006</v>
          </cell>
          <cell r="N186">
            <v>238300.06999999998</v>
          </cell>
          <cell r="O186">
            <v>509159.56000000006</v>
          </cell>
          <cell r="P186">
            <v>588619.05000000005</v>
          </cell>
          <cell r="Q186">
            <v>6223198.2600000007</v>
          </cell>
        </row>
        <row r="187">
          <cell r="C187">
            <v>7143</v>
          </cell>
          <cell r="D187" t="str">
            <v>Ekološke naknade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C188">
            <v>7144</v>
          </cell>
          <cell r="D188" t="str">
            <v>Naknade za priređivanje igara na sreću</v>
          </cell>
          <cell r="E188">
            <v>780861.42000000016</v>
          </cell>
          <cell r="F188">
            <v>900634.27999999991</v>
          </cell>
          <cell r="G188">
            <v>816761.31</v>
          </cell>
          <cell r="H188">
            <v>702631.56999999983</v>
          </cell>
          <cell r="I188">
            <v>966884.3</v>
          </cell>
          <cell r="J188">
            <v>882746.45</v>
          </cell>
          <cell r="K188">
            <v>803517.83999999973</v>
          </cell>
          <cell r="L188">
            <v>1008357.1600000001</v>
          </cell>
          <cell r="M188">
            <v>1134062.3500000001</v>
          </cell>
          <cell r="N188">
            <v>2148360.1</v>
          </cell>
          <cell r="O188">
            <v>2209741.2699999996</v>
          </cell>
          <cell r="P188">
            <v>1056490.1499999999</v>
          </cell>
          <cell r="Q188">
            <v>13411048.199999999</v>
          </cell>
        </row>
        <row r="189">
          <cell r="C189">
            <v>7145</v>
          </cell>
          <cell r="D189" t="str">
            <v>Naknade za korišćenje građevinskog zemljišta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>
            <v>7146</v>
          </cell>
          <cell r="D190" t="str">
            <v xml:space="preserve">Naknade za uredjivanje i izgradnju građevinskog zemljišta 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C191">
            <v>7147</v>
          </cell>
          <cell r="D191" t="str">
            <v xml:space="preserve">Naknade za izgradnju i održavanje lokalnih puteva i drugih javnih objekata od opštinskog značaja 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C192">
            <v>7148</v>
          </cell>
          <cell r="D192" t="str">
            <v>Naknada za puteve</v>
          </cell>
          <cell r="E192">
            <v>177103.27</v>
          </cell>
          <cell r="F192">
            <v>282965.83</v>
          </cell>
          <cell r="G192">
            <v>187899.16000000003</v>
          </cell>
          <cell r="H192">
            <v>273683.27</v>
          </cell>
          <cell r="I192">
            <v>430679.84000000008</v>
          </cell>
          <cell r="J192">
            <v>426830.68000000005</v>
          </cell>
          <cell r="K192">
            <v>730781.48</v>
          </cell>
          <cell r="L192">
            <v>367257.2699999999</v>
          </cell>
          <cell r="M192">
            <v>227312.40000000002</v>
          </cell>
          <cell r="N192">
            <v>220706.18999999992</v>
          </cell>
          <cell r="O192">
            <v>233360.67</v>
          </cell>
          <cell r="P192">
            <v>399276.89999999997</v>
          </cell>
          <cell r="Q192">
            <v>3957856.96</v>
          </cell>
        </row>
        <row r="193">
          <cell r="C193">
            <v>7149</v>
          </cell>
          <cell r="D193" t="str">
            <v>Ostale naknade</v>
          </cell>
          <cell r="E193">
            <v>10465485.300000003</v>
          </cell>
          <cell r="F193">
            <v>2271811.0100000007</v>
          </cell>
          <cell r="G193">
            <v>1307625.9999999995</v>
          </cell>
          <cell r="H193">
            <v>1956611.6199999996</v>
          </cell>
          <cell r="I193">
            <v>2484242.3500000006</v>
          </cell>
          <cell r="J193">
            <v>1790386.3400000003</v>
          </cell>
          <cell r="K193">
            <v>1980190.3499999992</v>
          </cell>
          <cell r="L193">
            <v>1396184.0499999993</v>
          </cell>
          <cell r="M193">
            <v>1186683.0200000003</v>
          </cell>
          <cell r="N193">
            <v>1273158.47</v>
          </cell>
          <cell r="O193">
            <v>2100906.41</v>
          </cell>
          <cell r="P193">
            <v>1651690.6100000006</v>
          </cell>
          <cell r="Q193">
            <v>29864975.529999997</v>
          </cell>
        </row>
        <row r="194">
          <cell r="C194">
            <v>715</v>
          </cell>
          <cell r="D194" t="str">
            <v>Ostali prihodi</v>
          </cell>
          <cell r="E194">
            <v>34581504.680000007</v>
          </cell>
          <cell r="F194">
            <v>2086915.6199999992</v>
          </cell>
          <cell r="G194">
            <v>3225147.6200000015</v>
          </cell>
          <cell r="H194">
            <v>7984381.0900000017</v>
          </cell>
          <cell r="I194">
            <v>2083503.6099999999</v>
          </cell>
          <cell r="J194">
            <v>62831828.380000003</v>
          </cell>
          <cell r="K194">
            <v>7388525.2900000038</v>
          </cell>
          <cell r="L194">
            <v>20718448.5</v>
          </cell>
          <cell r="M194">
            <v>2202381.4800000004</v>
          </cell>
          <cell r="N194">
            <v>14370883.219999999</v>
          </cell>
          <cell r="O194">
            <v>15509901.459999997</v>
          </cell>
          <cell r="P194">
            <v>8722061.8399999999</v>
          </cell>
          <cell r="Q194">
            <v>181705482.79000002</v>
          </cell>
        </row>
        <row r="195">
          <cell r="C195">
            <v>7151</v>
          </cell>
          <cell r="D195" t="str">
            <v>Prihodi od kapitala</v>
          </cell>
          <cell r="E195">
            <v>264226.50999999995</v>
          </cell>
          <cell r="F195">
            <v>187593.05</v>
          </cell>
          <cell r="G195">
            <v>221588.25</v>
          </cell>
          <cell r="H195">
            <v>5518581.75</v>
          </cell>
          <cell r="I195">
            <v>288489.71999999997</v>
          </cell>
          <cell r="J195">
            <v>60648776.109999999</v>
          </cell>
          <cell r="K195">
            <v>4374935.6300000008</v>
          </cell>
          <cell r="L195">
            <v>999479.85000000009</v>
          </cell>
          <cell r="M195">
            <v>231837.13</v>
          </cell>
          <cell r="N195">
            <v>8141799.910000002</v>
          </cell>
          <cell r="O195">
            <v>1585549.9</v>
          </cell>
          <cell r="P195">
            <v>476929.64999999991</v>
          </cell>
          <cell r="Q195">
            <v>82939787.459999993</v>
          </cell>
        </row>
        <row r="196">
          <cell r="C196">
            <v>7152</v>
          </cell>
          <cell r="D196" t="str">
            <v>Novčane kazne i oduzete imovinske koristi</v>
          </cell>
          <cell r="E196">
            <v>809657.45999999973</v>
          </cell>
          <cell r="F196">
            <v>1215081.4799999988</v>
          </cell>
          <cell r="G196">
            <v>1297429.5499999996</v>
          </cell>
          <cell r="H196">
            <v>1176488.8900000013</v>
          </cell>
          <cell r="I196">
            <v>1220936.5399999998</v>
          </cell>
          <cell r="J196">
            <v>1394007.8499999989</v>
          </cell>
          <cell r="K196">
            <v>2405695.1200000024</v>
          </cell>
          <cell r="L196">
            <v>2489416.92</v>
          </cell>
          <cell r="M196">
            <v>1317290.5200000005</v>
          </cell>
          <cell r="N196">
            <v>1477618.7700000009</v>
          </cell>
          <cell r="O196">
            <v>1338722.8600000015</v>
          </cell>
          <cell r="P196">
            <v>1892707.0300000003</v>
          </cell>
          <cell r="Q196">
            <v>18035052.990000006</v>
          </cell>
        </row>
        <row r="197">
          <cell r="C197">
            <v>7153</v>
          </cell>
          <cell r="D197" t="str">
            <v>Prihodi koje organi ostvaruju vršenjem svoje djelatnosti</v>
          </cell>
          <cell r="E197">
            <v>86126.680000000008</v>
          </cell>
          <cell r="F197">
            <v>126903.34</v>
          </cell>
          <cell r="G197">
            <v>176568.12000000002</v>
          </cell>
          <cell r="H197">
            <v>226413.62</v>
          </cell>
          <cell r="I197">
            <v>153352.30000000002</v>
          </cell>
          <cell r="J197">
            <v>179671.27999999997</v>
          </cell>
          <cell r="K197">
            <v>187636.04000000004</v>
          </cell>
          <cell r="L197">
            <v>190001.46000000002</v>
          </cell>
          <cell r="M197">
            <v>169816.62000000002</v>
          </cell>
          <cell r="N197">
            <v>239308.16999999995</v>
          </cell>
          <cell r="O197">
            <v>237219.27000000002</v>
          </cell>
          <cell r="P197">
            <v>228709.16000000003</v>
          </cell>
          <cell r="Q197">
            <v>2201726.06</v>
          </cell>
        </row>
        <row r="198">
          <cell r="C198">
            <v>7154</v>
          </cell>
          <cell r="D198" t="str">
            <v>Samodoprinosi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C199">
            <v>7155</v>
          </cell>
          <cell r="D199" t="str">
            <v>Ostali prihodi</v>
          </cell>
          <cell r="E199">
            <v>33421494.030000005</v>
          </cell>
          <cell r="F199">
            <v>557337.75000000012</v>
          </cell>
          <cell r="G199">
            <v>1529561.7000000018</v>
          </cell>
          <cell r="H199">
            <v>1062896.83</v>
          </cell>
          <cell r="I199">
            <v>420725.04999999993</v>
          </cell>
          <cell r="J199">
            <v>609373.14000000025</v>
          </cell>
          <cell r="K199">
            <v>420258.50000000017</v>
          </cell>
          <cell r="L199">
            <v>17039550.27</v>
          </cell>
          <cell r="M199">
            <v>483437.20999999985</v>
          </cell>
          <cell r="N199">
            <v>4512156.3699999955</v>
          </cell>
          <cell r="O199">
            <v>12348409.429999996</v>
          </cell>
          <cell r="P199">
            <v>6123716</v>
          </cell>
          <cell r="Q199">
            <v>78528916.280000001</v>
          </cell>
        </row>
        <row r="200">
          <cell r="C200">
            <v>72</v>
          </cell>
          <cell r="D200" t="str">
            <v>Primici od prodaje imovine</v>
          </cell>
          <cell r="E200">
            <v>664808.06000000006</v>
          </cell>
          <cell r="F200">
            <v>77041.680000000008</v>
          </cell>
          <cell r="G200">
            <v>167618.51</v>
          </cell>
          <cell r="H200">
            <v>155425.61999999991</v>
          </cell>
          <cell r="I200">
            <v>634641.06000000006</v>
          </cell>
          <cell r="J200">
            <v>183706.77000000002</v>
          </cell>
          <cell r="K200">
            <v>178782.18</v>
          </cell>
          <cell r="L200">
            <v>287660.99</v>
          </cell>
          <cell r="M200">
            <v>67504.679999999993</v>
          </cell>
          <cell r="N200">
            <v>61500.47</v>
          </cell>
          <cell r="O200">
            <v>29821.41</v>
          </cell>
          <cell r="P200">
            <v>209358.1</v>
          </cell>
          <cell r="Q200">
            <v>2717869.53</v>
          </cell>
        </row>
        <row r="201">
          <cell r="C201">
            <v>721</v>
          </cell>
          <cell r="D201" t="str">
            <v>Primici od prodaje nefinansijske imovine</v>
          </cell>
          <cell r="E201">
            <v>664808.06000000006</v>
          </cell>
          <cell r="F201">
            <v>77041.680000000008</v>
          </cell>
          <cell r="G201">
            <v>167618.51</v>
          </cell>
          <cell r="H201">
            <v>155425.61999999991</v>
          </cell>
          <cell r="I201">
            <v>634641.06000000006</v>
          </cell>
          <cell r="J201">
            <v>183706.77000000002</v>
          </cell>
          <cell r="K201">
            <v>178782.18</v>
          </cell>
          <cell r="L201">
            <v>287660.99</v>
          </cell>
          <cell r="M201">
            <v>67504.679999999993</v>
          </cell>
          <cell r="N201">
            <v>61500.47</v>
          </cell>
          <cell r="O201">
            <v>29821.41</v>
          </cell>
          <cell r="P201">
            <v>163691.87</v>
          </cell>
          <cell r="Q201">
            <v>2672203.2999999998</v>
          </cell>
        </row>
        <row r="202">
          <cell r="C202">
            <v>7211</v>
          </cell>
          <cell r="D202" t="str">
            <v>Primici od prodaje nepokretnosti</v>
          </cell>
          <cell r="E202">
            <v>453719.06</v>
          </cell>
          <cell r="F202">
            <v>41145.470000000008</v>
          </cell>
          <cell r="G202">
            <v>47150.770000000004</v>
          </cell>
          <cell r="H202">
            <v>135306.6699999999</v>
          </cell>
          <cell r="I202">
            <v>412026.53</v>
          </cell>
          <cell r="J202">
            <v>47242.39</v>
          </cell>
          <cell r="K202">
            <v>38099.339999999997</v>
          </cell>
          <cell r="L202">
            <v>272325.63</v>
          </cell>
          <cell r="M202">
            <v>37052.479999999989</v>
          </cell>
          <cell r="N202">
            <v>36866.270000000004</v>
          </cell>
          <cell r="O202">
            <v>29621.41</v>
          </cell>
          <cell r="P202">
            <v>154771.32</v>
          </cell>
          <cell r="Q202">
            <v>1705327.3399999999</v>
          </cell>
        </row>
        <row r="203">
          <cell r="C203">
            <v>7212</v>
          </cell>
          <cell r="D203" t="str">
            <v>Primici od prodaje osnovnih sredstava</v>
          </cell>
          <cell r="E203">
            <v>211089</v>
          </cell>
          <cell r="F203">
            <v>35896.21</v>
          </cell>
          <cell r="G203">
            <v>120467.73999999999</v>
          </cell>
          <cell r="H203">
            <v>20118.95</v>
          </cell>
          <cell r="I203">
            <v>222614.53000000003</v>
          </cell>
          <cell r="J203">
            <v>136464.38</v>
          </cell>
          <cell r="K203">
            <v>140682.84</v>
          </cell>
          <cell r="L203">
            <v>15335.36</v>
          </cell>
          <cell r="M203">
            <v>30452.2</v>
          </cell>
          <cell r="N203">
            <v>24634.2</v>
          </cell>
          <cell r="O203">
            <v>200</v>
          </cell>
          <cell r="P203">
            <v>8920.5499999999993</v>
          </cell>
          <cell r="Q203">
            <v>966875.95999999985</v>
          </cell>
        </row>
        <row r="204">
          <cell r="C204">
            <v>7213</v>
          </cell>
          <cell r="D204" t="str">
            <v>Primici od prodaje zaliha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C205">
            <v>722</v>
          </cell>
          <cell r="D205" t="str">
            <v>Primici od prodaje finansijske imovine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45666.23</v>
          </cell>
          <cell r="Q205">
            <v>45666.23</v>
          </cell>
        </row>
        <row r="206">
          <cell r="C206">
            <v>7221</v>
          </cell>
          <cell r="D206" t="str">
            <v>Primici od prodaje akcija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45666.23</v>
          </cell>
          <cell r="Q206">
            <v>45666.23</v>
          </cell>
        </row>
        <row r="207">
          <cell r="C207">
            <v>7222</v>
          </cell>
          <cell r="D207" t="str">
            <v>Primici od prodaje ostalih hartija od vrijednosti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C208">
            <v>73</v>
          </cell>
          <cell r="D208" t="str">
            <v>Primici od otplate kredita i sredstva prenesena iz prethodne godine</v>
          </cell>
          <cell r="E208">
            <v>157428.77000000002</v>
          </cell>
          <cell r="F208">
            <v>2016853.4</v>
          </cell>
          <cell r="G208">
            <v>1080976.0299999998</v>
          </cell>
          <cell r="H208">
            <v>1004336.8500000001</v>
          </cell>
          <cell r="I208">
            <v>1142213.31</v>
          </cell>
          <cell r="J208">
            <v>2980226.31</v>
          </cell>
          <cell r="K208">
            <v>323305.51</v>
          </cell>
          <cell r="L208">
            <v>579525.06000000006</v>
          </cell>
          <cell r="M208">
            <v>819934.54000000015</v>
          </cell>
          <cell r="N208">
            <v>714145.76</v>
          </cell>
          <cell r="O208">
            <v>829356.04999999981</v>
          </cell>
          <cell r="P208">
            <v>2208210.4</v>
          </cell>
          <cell r="Q208">
            <v>13856511.99</v>
          </cell>
        </row>
        <row r="209">
          <cell r="C209">
            <v>731</v>
          </cell>
          <cell r="D209" t="str">
            <v>Primici od otplate kredita</v>
          </cell>
          <cell r="E209">
            <v>157428.77000000002</v>
          </cell>
          <cell r="F209">
            <v>2016853.4</v>
          </cell>
          <cell r="G209">
            <v>1080976.0299999998</v>
          </cell>
          <cell r="H209">
            <v>1004336.8500000001</v>
          </cell>
          <cell r="I209">
            <v>1142213.31</v>
          </cell>
          <cell r="J209">
            <v>2980226.31</v>
          </cell>
          <cell r="K209">
            <v>323305.51</v>
          </cell>
          <cell r="L209">
            <v>579525.06000000006</v>
          </cell>
          <cell r="M209">
            <v>819934.54000000015</v>
          </cell>
          <cell r="N209">
            <v>714145.76</v>
          </cell>
          <cell r="O209">
            <v>829356.04999999981</v>
          </cell>
          <cell r="P209">
            <v>2208210.4</v>
          </cell>
          <cell r="Q209">
            <v>13856511.99</v>
          </cell>
        </row>
        <row r="210">
          <cell r="C210">
            <v>7311</v>
          </cell>
          <cell r="D210" t="str">
            <v>Primici od otplate kredita datih drugim nivoima vlasti</v>
          </cell>
          <cell r="E210">
            <v>146046.92000000001</v>
          </cell>
          <cell r="F210">
            <v>641586.76</v>
          </cell>
          <cell r="G210">
            <v>302847.39</v>
          </cell>
          <cell r="H210">
            <v>53836.51</v>
          </cell>
          <cell r="I210">
            <v>557424.9</v>
          </cell>
          <cell r="J210">
            <v>2131400.16</v>
          </cell>
          <cell r="K210">
            <v>85687.849999999991</v>
          </cell>
          <cell r="L210">
            <v>425368.56000000006</v>
          </cell>
          <cell r="M210">
            <v>763699.15000000014</v>
          </cell>
          <cell r="N210">
            <v>339735.30000000005</v>
          </cell>
          <cell r="O210">
            <v>448429.50999999995</v>
          </cell>
          <cell r="P210">
            <v>1969027.03</v>
          </cell>
          <cell r="Q210">
            <v>7865090.040000001</v>
          </cell>
        </row>
        <row r="211">
          <cell r="C211">
            <v>7312</v>
          </cell>
          <cell r="D211" t="str">
            <v>Primici od otplate kredita datih javnim preduzećima</v>
          </cell>
          <cell r="E211">
            <v>0</v>
          </cell>
          <cell r="F211">
            <v>1353583.65</v>
          </cell>
          <cell r="G211">
            <v>255691.8</v>
          </cell>
          <cell r="H211">
            <v>366176.33</v>
          </cell>
          <cell r="I211">
            <v>474431.39</v>
          </cell>
          <cell r="J211">
            <v>291266</v>
          </cell>
          <cell r="K211">
            <v>190840</v>
          </cell>
          <cell r="L211">
            <v>132010.78999999998</v>
          </cell>
          <cell r="M211">
            <v>40127.800000000003</v>
          </cell>
          <cell r="N211">
            <v>357358.99</v>
          </cell>
          <cell r="O211">
            <v>360004.58999999997</v>
          </cell>
          <cell r="P211">
            <v>209831.8</v>
          </cell>
          <cell r="Q211">
            <v>4031323.1399999997</v>
          </cell>
        </row>
        <row r="212">
          <cell r="C212">
            <v>7313</v>
          </cell>
          <cell r="D212" t="str">
            <v>Primici od otplate kredita datih drugim institucijama</v>
          </cell>
          <cell r="E212">
            <v>0</v>
          </cell>
          <cell r="F212">
            <v>0</v>
          </cell>
          <cell r="G212">
            <v>505082.68</v>
          </cell>
          <cell r="H212">
            <v>568456.82000000007</v>
          </cell>
          <cell r="I212">
            <v>88703.23</v>
          </cell>
          <cell r="J212">
            <v>516574.08999999997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1678816.8199999998</v>
          </cell>
        </row>
        <row r="213">
          <cell r="C213">
            <v>7314</v>
          </cell>
          <cell r="D213" t="str">
            <v>Primici od otplate kredita datih fizičkim licima</v>
          </cell>
          <cell r="E213">
            <v>11381.849999999999</v>
          </cell>
          <cell r="F213">
            <v>21682.989999999998</v>
          </cell>
          <cell r="G213">
            <v>17354.159999999996</v>
          </cell>
          <cell r="H213">
            <v>15867.189999999999</v>
          </cell>
          <cell r="I213">
            <v>21653.790000000008</v>
          </cell>
          <cell r="J213">
            <v>40986.06</v>
          </cell>
          <cell r="K213">
            <v>46777.660000000011</v>
          </cell>
          <cell r="L213">
            <v>22145.710000000003</v>
          </cell>
          <cell r="M213">
            <v>16107.59</v>
          </cell>
          <cell r="N213">
            <v>17051.47</v>
          </cell>
          <cell r="O213">
            <v>20921.95</v>
          </cell>
          <cell r="P213">
            <v>29351.570000000003</v>
          </cell>
          <cell r="Q213">
            <v>281281.99</v>
          </cell>
        </row>
        <row r="214">
          <cell r="C214">
            <v>732</v>
          </cell>
          <cell r="D214" t="str">
            <v>Sredstva prenesena iz prethodne godine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C215">
            <v>74</v>
          </cell>
          <cell r="D215" t="str">
            <v>Donacije i transferi</v>
          </cell>
          <cell r="E215">
            <v>1415909.3000000003</v>
          </cell>
          <cell r="F215">
            <v>3060381.4899999984</v>
          </cell>
          <cell r="G215">
            <v>30264327.079999998</v>
          </cell>
          <cell r="H215">
            <v>3477343.4999999986</v>
          </cell>
          <cell r="I215">
            <v>1748546.7999999996</v>
          </cell>
          <cell r="J215">
            <v>4211455.9900000021</v>
          </cell>
          <cell r="K215">
            <v>2838749.5200000005</v>
          </cell>
          <cell r="L215">
            <v>1983420.4499999997</v>
          </cell>
          <cell r="M215">
            <v>4241868.9000000013</v>
          </cell>
          <cell r="N215">
            <v>2519848.8399999994</v>
          </cell>
          <cell r="O215">
            <v>1976608.3799999997</v>
          </cell>
          <cell r="P215">
            <v>13533408.049999997</v>
          </cell>
          <cell r="Q215">
            <v>71271868.299999997</v>
          </cell>
        </row>
        <row r="216">
          <cell r="C216">
            <v>741</v>
          </cell>
          <cell r="D216" t="str">
            <v>Donacije</v>
          </cell>
          <cell r="E216">
            <v>1415909.3000000003</v>
          </cell>
          <cell r="F216">
            <v>3060381.4899999984</v>
          </cell>
          <cell r="G216">
            <v>30264327.079999998</v>
          </cell>
          <cell r="H216">
            <v>3477343.4999999986</v>
          </cell>
          <cell r="I216">
            <v>1748546.7999999996</v>
          </cell>
          <cell r="J216">
            <v>4211455.9900000021</v>
          </cell>
          <cell r="K216">
            <v>2838749.5200000005</v>
          </cell>
          <cell r="L216">
            <v>1983420.4499999997</v>
          </cell>
          <cell r="M216">
            <v>4241868.9000000013</v>
          </cell>
          <cell r="N216">
            <v>2519848.8399999994</v>
          </cell>
          <cell r="O216">
            <v>1976608.3799999997</v>
          </cell>
          <cell r="P216">
            <v>13533408.049999997</v>
          </cell>
          <cell r="Q216">
            <v>71271868.299999997</v>
          </cell>
        </row>
        <row r="217">
          <cell r="C217">
            <v>7411</v>
          </cell>
          <cell r="D217" t="str">
            <v>Tekuće donacije</v>
          </cell>
          <cell r="E217">
            <v>1415909.3000000003</v>
          </cell>
          <cell r="F217">
            <v>3060381.4899999984</v>
          </cell>
          <cell r="G217">
            <v>30264327.079999998</v>
          </cell>
          <cell r="H217">
            <v>3477343.4999999986</v>
          </cell>
          <cell r="I217">
            <v>1748546.7999999996</v>
          </cell>
          <cell r="J217">
            <v>4211455.9900000021</v>
          </cell>
          <cell r="K217">
            <v>2838749.5200000005</v>
          </cell>
          <cell r="L217">
            <v>1983420.4499999997</v>
          </cell>
          <cell r="M217">
            <v>4241868.9000000013</v>
          </cell>
          <cell r="N217">
            <v>2519848.8399999994</v>
          </cell>
          <cell r="O217">
            <v>1976608.3799999997</v>
          </cell>
          <cell r="P217">
            <v>13533408.049999997</v>
          </cell>
          <cell r="Q217">
            <v>71271868.299999997</v>
          </cell>
        </row>
        <row r="218">
          <cell r="C218">
            <v>7412</v>
          </cell>
          <cell r="D218" t="str">
            <v>Kapitalne donacije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C219">
            <v>742</v>
          </cell>
          <cell r="D219" t="str">
            <v>Transferi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C220">
            <v>7421</v>
          </cell>
          <cell r="D220" t="str">
            <v>Transferi od budžeta države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C221">
            <v>7422</v>
          </cell>
          <cell r="D221" t="str">
            <v>Transferi od budžeta opštine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C222">
            <v>7423</v>
          </cell>
          <cell r="D222" t="str">
            <v>Transferi od fonda PIO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C223">
            <v>7424</v>
          </cell>
          <cell r="D223" t="str">
            <v>Transferi od fonda za zdravstveno osiguranje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C224">
            <v>7425</v>
          </cell>
          <cell r="D224" t="str">
            <v>Transferi od Zavoda za zapošljavanje Crne Gore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C225">
            <v>7426</v>
          </cell>
          <cell r="D225" t="str">
            <v>Transferi od Egalizacionih fondova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C226">
            <v>75</v>
          </cell>
          <cell r="D226" t="str">
            <v xml:space="preserve">Pozajmice i krediti </v>
          </cell>
          <cell r="E226">
            <v>552374.85</v>
          </cell>
          <cell r="F226">
            <v>1145846.25</v>
          </cell>
          <cell r="G226">
            <v>101672892.59999996</v>
          </cell>
          <cell r="H226">
            <v>3774255.58</v>
          </cell>
          <cell r="I226">
            <v>1498639.7499999998</v>
          </cell>
          <cell r="J226">
            <v>6593805.25</v>
          </cell>
          <cell r="K226">
            <v>944562.51000000013</v>
          </cell>
          <cell r="L226">
            <v>360304.63</v>
          </cell>
          <cell r="M226">
            <v>4619241.13</v>
          </cell>
          <cell r="N226">
            <v>4602266.9399999985</v>
          </cell>
          <cell r="O226">
            <v>3301590.3899999997</v>
          </cell>
          <cell r="P226">
            <v>189166612.58000001</v>
          </cell>
          <cell r="Q226">
            <v>318232392.45999992</v>
          </cell>
        </row>
        <row r="227">
          <cell r="C227">
            <v>751</v>
          </cell>
          <cell r="D227" t="str">
            <v>Pozajmice i krediti</v>
          </cell>
          <cell r="E227">
            <v>552374.85</v>
          </cell>
          <cell r="F227">
            <v>1145846.25</v>
          </cell>
          <cell r="G227">
            <v>101672892.59999996</v>
          </cell>
          <cell r="H227">
            <v>3774255.58</v>
          </cell>
          <cell r="I227">
            <v>1498639.7499999998</v>
          </cell>
          <cell r="J227">
            <v>6593805.25</v>
          </cell>
          <cell r="K227">
            <v>944562.51000000013</v>
          </cell>
          <cell r="L227">
            <v>360304.63</v>
          </cell>
          <cell r="M227">
            <v>4619241.13</v>
          </cell>
          <cell r="N227">
            <v>4602266.9399999985</v>
          </cell>
          <cell r="O227">
            <v>3301590.3899999997</v>
          </cell>
          <cell r="P227">
            <v>189166612.58000001</v>
          </cell>
          <cell r="Q227">
            <v>318232392.45999992</v>
          </cell>
        </row>
        <row r="228">
          <cell r="C228">
            <v>7511</v>
          </cell>
          <cell r="D228" t="str">
            <v>Pozajmice i krediti od domaćih izvora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159000000</v>
          </cell>
          <cell r="Q228">
            <v>159000000</v>
          </cell>
        </row>
        <row r="229">
          <cell r="C229">
            <v>7512</v>
          </cell>
          <cell r="D229" t="str">
            <v>Pozajmice i krediti od inostranih izvora</v>
          </cell>
          <cell r="E229">
            <v>552374.85</v>
          </cell>
          <cell r="F229">
            <v>1145846.25</v>
          </cell>
          <cell r="G229">
            <v>101672892.59999996</v>
          </cell>
          <cell r="H229">
            <v>3774255.58</v>
          </cell>
          <cell r="I229">
            <v>1498639.7499999998</v>
          </cell>
          <cell r="J229">
            <v>6593805.25</v>
          </cell>
          <cell r="K229">
            <v>944562.51000000013</v>
          </cell>
          <cell r="L229">
            <v>360304.63</v>
          </cell>
          <cell r="M229">
            <v>4619241.13</v>
          </cell>
          <cell r="N229">
            <v>4602266.9399999985</v>
          </cell>
          <cell r="O229">
            <v>3301590.3899999997</v>
          </cell>
          <cell r="P229">
            <v>30166612.580000002</v>
          </cell>
          <cell r="Q229">
            <v>159232392.45999995</v>
          </cell>
        </row>
      </sheetData>
      <sheetData sheetId="5">
        <row r="10">
          <cell r="C10">
            <v>4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36">
          <cell r="AI36">
            <v>26495124.715000007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2024-05</v>
      </c>
      <c r="O6" s="128" t="str">
        <f>+CONCATENATE(N6,"p")</f>
        <v>2024-05p</v>
      </c>
      <c r="P6" s="116"/>
      <c r="Q6" s="116"/>
      <c r="R6" s="128" t="str">
        <f>+IF(Master!B3-10&gt;=0,CONCATENATE(Master!B4-1,"-",Master!B3),CONCATENATE(Master!B4-1,"-0",Master!B3))</f>
        <v>2023-05</v>
      </c>
      <c r="S6" s="116"/>
      <c r="T6" s="116"/>
    </row>
    <row r="7" spans="1:20">
      <c r="A7" s="129"/>
      <c r="B7" s="559" t="s">
        <v>691</v>
      </c>
      <c r="C7" s="560"/>
      <c r="D7" s="560"/>
      <c r="E7" s="560"/>
      <c r="F7" s="560"/>
      <c r="G7" s="568" t="s">
        <v>690</v>
      </c>
      <c r="H7" s="569"/>
      <c r="I7" s="569"/>
      <c r="J7" s="569"/>
      <c r="K7" s="569"/>
      <c r="L7" s="569"/>
      <c r="M7" s="570"/>
      <c r="N7" s="571" t="str">
        <f>+Master!G243</f>
        <v>Decembar</v>
      </c>
      <c r="O7" s="569"/>
      <c r="P7" s="569"/>
      <c r="Q7" s="569"/>
      <c r="R7" s="569"/>
      <c r="S7" s="569"/>
      <c r="T7" s="572"/>
    </row>
    <row r="8" spans="1:20">
      <c r="A8" s="129"/>
      <c r="B8" s="561"/>
      <c r="C8" s="562"/>
      <c r="D8" s="562"/>
      <c r="E8" s="562"/>
      <c r="F8" s="563"/>
      <c r="G8" s="130" t="str">
        <f>+Master!G26</f>
        <v>Ostvarenje</v>
      </c>
      <c r="H8" s="130" t="str">
        <f>+Master!G25</f>
        <v>Plan</v>
      </c>
      <c r="I8" s="555" t="str">
        <f>+Master!G261</f>
        <v>Odstupanje</v>
      </c>
      <c r="J8" s="555"/>
      <c r="K8" s="130" t="str">
        <f>+CONCATENATE(Master!G246," ",Master!B4-1)</f>
        <v>Jan - Maj 2023</v>
      </c>
      <c r="L8" s="555" t="str">
        <f>+I8</f>
        <v>Odstupanje</v>
      </c>
      <c r="M8" s="567"/>
      <c r="N8" s="131" t="str">
        <f>+G8</f>
        <v>Ostvarenje</v>
      </c>
      <c r="O8" s="130" t="str">
        <f>+H8</f>
        <v>Plan</v>
      </c>
      <c r="P8" s="555" t="str">
        <f>+I8</f>
        <v>Odstupanje</v>
      </c>
      <c r="Q8" s="555"/>
      <c r="R8" s="130" t="str">
        <f>+CONCATENATE(Master!G245," ",Master!B4-1)</f>
        <v>Maj 2023</v>
      </c>
      <c r="S8" s="555" t="str">
        <f>+P8</f>
        <v>Odstupanje</v>
      </c>
      <c r="T8" s="556"/>
    </row>
    <row r="9" spans="1:20" ht="15.7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1" t="str">
        <f>+VLOOKUP($A10,Master!$D$30:$G$226,4,FALSE)</f>
        <v>Prihodi budžeta</v>
      </c>
      <c r="C10" s="602"/>
      <c r="D10" s="602"/>
      <c r="E10" s="602"/>
      <c r="F10" s="602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89" t="e">
        <f>+VLOOKUP($A18,Master!$D$30:$G$226,4,FALSE)</f>
        <v>#N/A</v>
      </c>
      <c r="C18" s="590"/>
      <c r="D18" s="590"/>
      <c r="E18" s="590"/>
      <c r="F18" s="590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89" t="str">
        <f>+VLOOKUP($A19,Master!$D$30:$G$226,4,FALSE)</f>
        <v>Ostali državni porezi</v>
      </c>
      <c r="C19" s="590"/>
      <c r="D19" s="590"/>
      <c r="E19" s="590"/>
      <c r="F19" s="590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99" t="str">
        <f>+VLOOKUP($A20,Master!$D$30:$G$226,4,FALSE)</f>
        <v>Doprinosi</v>
      </c>
      <c r="C20" s="600"/>
      <c r="D20" s="600"/>
      <c r="E20" s="600"/>
      <c r="F20" s="600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89" t="str">
        <f>+VLOOKUP($A21,Master!$D$30:$G$226,4,FALSE)</f>
        <v>Doprinosi za penzijsko i invalidsko osiguranje</v>
      </c>
      <c r="C21" s="590"/>
      <c r="D21" s="590"/>
      <c r="E21" s="590"/>
      <c r="F21" s="590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89" t="str">
        <f>+VLOOKUP($A22,Master!$D$30:$G$226,4,FALSE)</f>
        <v>Doprinosi za zdravstveno osiguranje</v>
      </c>
      <c r="C22" s="590"/>
      <c r="D22" s="590"/>
      <c r="E22" s="590"/>
      <c r="F22" s="590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89" t="str">
        <f>+VLOOKUP($A23,Master!$D$30:$G$226,4,FALSE)</f>
        <v>Doprinosi za osiguranje od nezaposlenosti</v>
      </c>
      <c r="C23" s="590"/>
      <c r="D23" s="590"/>
      <c r="E23" s="590"/>
      <c r="F23" s="590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89" t="str">
        <f>+VLOOKUP($A24,Master!$D$30:$G$226,4,FALSE)</f>
        <v>Ostali doprinosi</v>
      </c>
      <c r="C24" s="590"/>
      <c r="D24" s="590"/>
      <c r="E24" s="590"/>
      <c r="F24" s="590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1" t="str">
        <f>+VLOOKUP($A25,Master!$D$30:$G$226,4,FALSE)</f>
        <v>Takse</v>
      </c>
      <c r="C25" s="592"/>
      <c r="D25" s="592"/>
      <c r="E25" s="592"/>
      <c r="F25" s="592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1" t="str">
        <f>+VLOOKUP($A26,Master!$D$30:$G$226,4,FALSE)</f>
        <v>Naknade</v>
      </c>
      <c r="C26" s="592"/>
      <c r="D26" s="592"/>
      <c r="E26" s="592"/>
      <c r="F26" s="592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1" t="str">
        <f>+VLOOKUP($A27,Master!$D$30:$G$226,4,FALSE)</f>
        <v>Ostali prihodi</v>
      </c>
      <c r="C27" s="592"/>
      <c r="D27" s="592"/>
      <c r="E27" s="592"/>
      <c r="F27" s="592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1" t="str">
        <f>+VLOOKUP($A28,Master!$D$30:$G$226,4,FALSE)</f>
        <v>Primici od otplate kredita i sredstva prenesena iz prethodne godine</v>
      </c>
      <c r="C28" s="592"/>
      <c r="D28" s="592"/>
      <c r="E28" s="592"/>
      <c r="F28" s="592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93" t="str">
        <f>+VLOOKUP($A29,Master!$D$30:$G$226,4,FALSE)</f>
        <v>Donacije i transferi</v>
      </c>
      <c r="C29" s="594"/>
      <c r="D29" s="594"/>
      <c r="E29" s="594"/>
      <c r="F29" s="594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79" t="str">
        <f>+VLOOKUP($A30,Master!$D$30:$G$226,4,FALSE)</f>
        <v>Izdaci budžeta</v>
      </c>
      <c r="C30" s="580"/>
      <c r="D30" s="580"/>
      <c r="E30" s="580"/>
      <c r="F30" s="580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95" t="str">
        <f>+VLOOKUP($A31,Master!$D$30:$G$226,4,FALSE)</f>
        <v>Tekući izdaci</v>
      </c>
      <c r="C31" s="596"/>
      <c r="D31" s="596"/>
      <c r="E31" s="596"/>
      <c r="F31" s="596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97" t="str">
        <f>+VLOOKUP($A32,Master!$D$30:$G$226,4,FALSE)</f>
        <v>Tekuća budžetska potrošnja</v>
      </c>
      <c r="C32" s="598"/>
      <c r="D32" s="598"/>
      <c r="E32" s="598"/>
      <c r="F32" s="598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89" t="str">
        <f>+VLOOKUP($A33,Master!$D$30:$G$226,4,FALSE)</f>
        <v>Bruto zarade i doprinosi na teret poslodavca</v>
      </c>
      <c r="C33" s="590"/>
      <c r="D33" s="590"/>
      <c r="E33" s="590"/>
      <c r="F33" s="590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89" t="str">
        <f>+VLOOKUP($A34,Master!$D$30:$G$226,4,FALSE)</f>
        <v>Ostala lična primanja</v>
      </c>
      <c r="C34" s="590"/>
      <c r="D34" s="590"/>
      <c r="E34" s="590"/>
      <c r="F34" s="590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89" t="str">
        <f>+VLOOKUP($A35,Master!$D$30:$G$226,4,FALSE)</f>
        <v>Rashodi za materijal</v>
      </c>
      <c r="C35" s="590"/>
      <c r="D35" s="590"/>
      <c r="E35" s="590"/>
      <c r="F35" s="590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89" t="str">
        <f>+VLOOKUP($A36,Master!$D$30:$G$226,4,FALSE)</f>
        <v>Rashodi za usluge</v>
      </c>
      <c r="C36" s="590"/>
      <c r="D36" s="590"/>
      <c r="E36" s="590"/>
      <c r="F36" s="590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89" t="str">
        <f>+VLOOKUP($A37,Master!$D$30:$G$226,4,FALSE)</f>
        <v>Rashodi za tekuće održavanje</v>
      </c>
      <c r="C37" s="590"/>
      <c r="D37" s="590"/>
      <c r="E37" s="590"/>
      <c r="F37" s="590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89" t="str">
        <f>+VLOOKUP($A38,Master!$D$30:$G$226,4,FALSE)</f>
        <v>Kamate</v>
      </c>
      <c r="C38" s="590"/>
      <c r="D38" s="590"/>
      <c r="E38" s="590"/>
      <c r="F38" s="590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89" t="str">
        <f>+VLOOKUP($A39,Master!$D$30:$G$226,4,FALSE)</f>
        <v>Renta</v>
      </c>
      <c r="C39" s="590"/>
      <c r="D39" s="590"/>
      <c r="E39" s="590"/>
      <c r="F39" s="590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89" t="str">
        <f>+VLOOKUP($A40,Master!$D$30:$G$226,4,FALSE)</f>
        <v>Subvencije</v>
      </c>
      <c r="C40" s="590"/>
      <c r="D40" s="590"/>
      <c r="E40" s="590"/>
      <c r="F40" s="590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89" t="str">
        <f>+VLOOKUP($A41,Master!$D$30:$G$226,4,FALSE)</f>
        <v>Ostali izdaci</v>
      </c>
      <c r="C41" s="590"/>
      <c r="D41" s="590"/>
      <c r="E41" s="590"/>
      <c r="F41" s="590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89" t="e">
        <f>+VLOOKUP($A42,Master!$D$30:$G$226,4,FALSE)</f>
        <v>#N/A</v>
      </c>
      <c r="C42" s="590"/>
      <c r="D42" s="590"/>
      <c r="E42" s="590"/>
      <c r="F42" s="590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5" t="str">
        <f>+VLOOKUP($A43,Master!$D$30:$G$226,4,FALSE)</f>
        <v>Transferi za socijalnu zaštitu</v>
      </c>
      <c r="C43" s="586"/>
      <c r="D43" s="586"/>
      <c r="E43" s="586"/>
      <c r="F43" s="586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89" t="str">
        <f>+VLOOKUP($A44,Master!$D$30:$G$226,4,FALSE)</f>
        <v>Prava iz oblasti socijalne zaštite</v>
      </c>
      <c r="C44" s="590"/>
      <c r="D44" s="590"/>
      <c r="E44" s="590"/>
      <c r="F44" s="590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89" t="str">
        <f>+VLOOKUP($A45,Master!$D$30:$G$226,4,FALSE)</f>
        <v>Sredstva za tehnološke viškove</v>
      </c>
      <c r="C45" s="590"/>
      <c r="D45" s="590"/>
      <c r="E45" s="590"/>
      <c r="F45" s="590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89" t="str">
        <f>+VLOOKUP($A46,Master!$D$30:$G$226,4,FALSE)</f>
        <v>Prava iz oblasti penzijskog i invalidskog osiguranja</v>
      </c>
      <c r="C46" s="590"/>
      <c r="D46" s="590"/>
      <c r="E46" s="590"/>
      <c r="F46" s="590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89" t="str">
        <f>+VLOOKUP($A47,Master!$D$30:$G$226,4,FALSE)</f>
        <v>Ostala prava iz oblasti zdravstvene zaštite</v>
      </c>
      <c r="C47" s="590"/>
      <c r="D47" s="590"/>
      <c r="E47" s="590"/>
      <c r="F47" s="590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89" t="str">
        <f>+VLOOKUP($A48,Master!$D$30:$G$226,4,FALSE)</f>
        <v>Ostala prava iz zdravstvenog osiguranja</v>
      </c>
      <c r="C48" s="590"/>
      <c r="D48" s="590"/>
      <c r="E48" s="590"/>
      <c r="F48" s="590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87" t="str">
        <f>+VLOOKUP($A49,Master!$D$30:$G$226,4,FALSE)</f>
        <v xml:space="preserve">Transferi institucijama, pojedincima, nevladinom i javnom sektoru </v>
      </c>
      <c r="C49" s="588"/>
      <c r="D49" s="588"/>
      <c r="E49" s="588"/>
      <c r="F49" s="588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87" t="str">
        <f>+VLOOKUP($A50,Master!$D$30:$G$226,4,FALSE)</f>
        <v>Kapitalni izdaci</v>
      </c>
      <c r="C50" s="588"/>
      <c r="D50" s="588"/>
      <c r="E50" s="588"/>
      <c r="F50" s="588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57" t="str">
        <f>+VLOOKUP($A51,Master!$D$30:$G$226,4,FALSE)</f>
        <v>Pozajmice i krediti</v>
      </c>
      <c r="C51" s="558"/>
      <c r="D51" s="558"/>
      <c r="E51" s="558"/>
      <c r="F51" s="558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57" t="str">
        <f>+VLOOKUP($A52,Master!$D$30:$G$226,4,FALSE)</f>
        <v>Rezerve</v>
      </c>
      <c r="C52" s="558"/>
      <c r="D52" s="558"/>
      <c r="E52" s="558"/>
      <c r="F52" s="558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75" t="str">
        <f>+VLOOKUP($A53,Master!$D$30:$G$226,4,FALSE)</f>
        <v>Otplata garancija</v>
      </c>
      <c r="C53" s="576"/>
      <c r="D53" s="576"/>
      <c r="E53" s="576"/>
      <c r="F53" s="576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75" t="str">
        <f>+VLOOKUP($A54,Master!$D$30:$G$226,4,FALSE)</f>
        <v>Otplata obaveza iz prethodnog perioda</v>
      </c>
      <c r="C54" s="576"/>
      <c r="D54" s="576"/>
      <c r="E54" s="576"/>
      <c r="F54" s="576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75" t="str">
        <f>+VLOOKUP($A55,Master!$D$30:$G$228,4,FALSE)</f>
        <v>Neto povećanje obaveza</v>
      </c>
      <c r="C55" s="576"/>
      <c r="D55" s="576"/>
      <c r="E55" s="576"/>
      <c r="F55" s="576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1" t="str">
        <f>+VLOOKUP($A56,Master!$D$30:$G$226,4,FALSE)</f>
        <v>Suficit / deficit</v>
      </c>
      <c r="C56" s="582"/>
      <c r="D56" s="582"/>
      <c r="E56" s="582"/>
      <c r="F56" s="582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3" t="str">
        <f>+VLOOKUP($A57,Master!$D$30:$G$226,4,FALSE)</f>
        <v>Primarni suficit/deficit</v>
      </c>
      <c r="C57" s="584"/>
      <c r="D57" s="584"/>
      <c r="E57" s="584"/>
      <c r="F57" s="584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5" t="str">
        <f>+VLOOKUP($A58,Master!$D$30:$G$226,4,FALSE)</f>
        <v>Otplata dugova</v>
      </c>
      <c r="C58" s="586"/>
      <c r="D58" s="586"/>
      <c r="E58" s="586"/>
      <c r="F58" s="586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73" t="str">
        <f>+VLOOKUP($A59,Master!$D$30:$G$226,4,FALSE)</f>
        <v>Otplata hartija od vrijednosti i kredita rezidentima</v>
      </c>
      <c r="C59" s="574"/>
      <c r="D59" s="574"/>
      <c r="E59" s="574"/>
      <c r="F59" s="574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57" t="str">
        <f>+VLOOKUP($A60,Master!$D$30:$G$226,4,FALSE)</f>
        <v>Otplata hartija od vrijednosti i kredita nerezidentima</v>
      </c>
      <c r="C60" s="558"/>
      <c r="D60" s="558"/>
      <c r="E60" s="558"/>
      <c r="F60" s="558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77" t="str">
        <f>+VLOOKUP($A62,Master!$D$30:$G$226,4,FALSE)</f>
        <v>Nedostajuća sredstva</v>
      </c>
      <c r="C62" s="578"/>
      <c r="D62" s="578"/>
      <c r="E62" s="578"/>
      <c r="F62" s="578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79" t="str">
        <f>+VLOOKUP($A63,Master!$D$30:$G$226,4,FALSE)</f>
        <v>Finansiranje</v>
      </c>
      <c r="C63" s="580"/>
      <c r="D63" s="580"/>
      <c r="E63" s="580"/>
      <c r="F63" s="580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73" t="str">
        <f>+VLOOKUP($A64,Master!$D$30:$G$226,4,FALSE)</f>
        <v>Pozajmice i krediti od domaćih izvora</v>
      </c>
      <c r="C64" s="574"/>
      <c r="D64" s="574"/>
      <c r="E64" s="574"/>
      <c r="F64" s="574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57" t="str">
        <f>+VLOOKUP($A65,Master!$D$30:$G$226,4,FALSE)</f>
        <v>Pozajmice i krediti od inostranih izvora</v>
      </c>
      <c r="C65" s="558"/>
      <c r="D65" s="558"/>
      <c r="E65" s="558"/>
      <c r="F65" s="558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57" t="str">
        <f>+VLOOKUP($A66,Master!$D$30:$G$226,4,FALSE)</f>
        <v>Primici od prodaje imovine</v>
      </c>
      <c r="C66" s="558"/>
      <c r="D66" s="558"/>
      <c r="E66" s="558"/>
      <c r="F66" s="558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59" t="s">
        <v>553</v>
      </c>
      <c r="C7" s="560"/>
      <c r="D7" s="560"/>
      <c r="E7" s="560"/>
      <c r="F7" s="560"/>
      <c r="G7" s="568">
        <v>2018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">
        <v>419</v>
      </c>
      <c r="T7" s="221">
        <v>4663130000</v>
      </c>
    </row>
    <row r="8" spans="1:20" ht="16.5" customHeight="1">
      <c r="A8" s="129"/>
      <c r="B8" s="561"/>
      <c r="C8" s="562"/>
      <c r="D8" s="562"/>
      <c r="E8" s="562"/>
      <c r="F8" s="563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68" t="s">
        <v>806</v>
      </c>
      <c r="T8" s="572"/>
    </row>
    <row r="9" spans="1:20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1" t="s">
        <v>680</v>
      </c>
      <c r="C10" s="602"/>
      <c r="D10" s="602"/>
      <c r="E10" s="602"/>
      <c r="F10" s="602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03" t="s">
        <v>21</v>
      </c>
      <c r="C11" s="604"/>
      <c r="D11" s="604"/>
      <c r="E11" s="604"/>
      <c r="F11" s="604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89" t="s">
        <v>23</v>
      </c>
      <c r="C12" s="590"/>
      <c r="D12" s="590"/>
      <c r="E12" s="590"/>
      <c r="F12" s="590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89" t="s">
        <v>25</v>
      </c>
      <c r="C13" s="590"/>
      <c r="D13" s="590"/>
      <c r="E13" s="590"/>
      <c r="F13" s="590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89" t="s">
        <v>27</v>
      </c>
      <c r="C14" s="590"/>
      <c r="D14" s="590"/>
      <c r="E14" s="590"/>
      <c r="F14" s="590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89" t="s">
        <v>29</v>
      </c>
      <c r="C15" s="590"/>
      <c r="D15" s="590"/>
      <c r="E15" s="590"/>
      <c r="F15" s="590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89" t="s">
        <v>31</v>
      </c>
      <c r="C16" s="590"/>
      <c r="D16" s="590"/>
      <c r="E16" s="590"/>
      <c r="F16" s="590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89" t="s">
        <v>33</v>
      </c>
      <c r="C17" s="590"/>
      <c r="D17" s="590"/>
      <c r="E17" s="590"/>
      <c r="F17" s="590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89" t="s">
        <v>721</v>
      </c>
      <c r="C18" s="590"/>
      <c r="D18" s="590"/>
      <c r="E18" s="590"/>
      <c r="F18" s="590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99" t="s">
        <v>37</v>
      </c>
      <c r="C19" s="600"/>
      <c r="D19" s="600"/>
      <c r="E19" s="600"/>
      <c r="F19" s="600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89" t="s">
        <v>39</v>
      </c>
      <c r="C20" s="590"/>
      <c r="D20" s="590"/>
      <c r="E20" s="590"/>
      <c r="F20" s="590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89" t="s">
        <v>41</v>
      </c>
      <c r="C21" s="590"/>
      <c r="D21" s="590"/>
      <c r="E21" s="590"/>
      <c r="F21" s="590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89" t="s">
        <v>43</v>
      </c>
      <c r="C22" s="590"/>
      <c r="D22" s="590"/>
      <c r="E22" s="590"/>
      <c r="F22" s="590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89" t="s">
        <v>45</v>
      </c>
      <c r="C23" s="590"/>
      <c r="D23" s="590"/>
      <c r="E23" s="590"/>
      <c r="F23" s="590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1" t="s">
        <v>47</v>
      </c>
      <c r="C24" s="592"/>
      <c r="D24" s="592"/>
      <c r="E24" s="592"/>
      <c r="F24" s="592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1" t="s">
        <v>61</v>
      </c>
      <c r="C25" s="592"/>
      <c r="D25" s="592"/>
      <c r="E25" s="592"/>
      <c r="F25" s="592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1" t="s">
        <v>81</v>
      </c>
      <c r="C26" s="592"/>
      <c r="D26" s="592"/>
      <c r="E26" s="592"/>
      <c r="F26" s="592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1" t="s">
        <v>99</v>
      </c>
      <c r="C27" s="592"/>
      <c r="D27" s="592"/>
      <c r="E27" s="592"/>
      <c r="F27" s="592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93" t="s">
        <v>105</v>
      </c>
      <c r="C28" s="594"/>
      <c r="D28" s="594"/>
      <c r="E28" s="594"/>
      <c r="F28" s="594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79" t="s">
        <v>801</v>
      </c>
      <c r="C29" s="580"/>
      <c r="D29" s="580"/>
      <c r="E29" s="580"/>
      <c r="F29" s="580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95" t="s">
        <v>773</v>
      </c>
      <c r="C30" s="596"/>
      <c r="D30" s="596"/>
      <c r="E30" s="596"/>
      <c r="F30" s="596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97" t="s">
        <v>120</v>
      </c>
      <c r="C31" s="598"/>
      <c r="D31" s="598"/>
      <c r="E31" s="598"/>
      <c r="F31" s="598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89" t="s">
        <v>122</v>
      </c>
      <c r="C32" s="590"/>
      <c r="D32" s="590"/>
      <c r="E32" s="590"/>
      <c r="F32" s="590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89" t="s">
        <v>133</v>
      </c>
      <c r="C33" s="590"/>
      <c r="D33" s="590"/>
      <c r="E33" s="590"/>
      <c r="F33" s="590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89" t="s">
        <v>148</v>
      </c>
      <c r="C34" s="590"/>
      <c r="D34" s="590"/>
      <c r="E34" s="590"/>
      <c r="F34" s="590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89" t="s">
        <v>162</v>
      </c>
      <c r="C35" s="590"/>
      <c r="D35" s="590"/>
      <c r="E35" s="590"/>
      <c r="F35" s="590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89" t="s">
        <v>182</v>
      </c>
      <c r="C36" s="590"/>
      <c r="D36" s="590"/>
      <c r="E36" s="590"/>
      <c r="F36" s="590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89" t="s">
        <v>190</v>
      </c>
      <c r="C37" s="590"/>
      <c r="D37" s="590"/>
      <c r="E37" s="590"/>
      <c r="F37" s="590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89" t="s">
        <v>196</v>
      </c>
      <c r="C38" s="590"/>
      <c r="D38" s="590"/>
      <c r="E38" s="590"/>
      <c r="F38" s="590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89" t="s">
        <v>204</v>
      </c>
      <c r="C39" s="590"/>
      <c r="D39" s="590"/>
      <c r="E39" s="590"/>
      <c r="F39" s="590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89" t="s">
        <v>212</v>
      </c>
      <c r="C40" s="590"/>
      <c r="D40" s="590"/>
      <c r="E40" s="590"/>
      <c r="F40" s="590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89" t="s">
        <v>802</v>
      </c>
      <c r="C41" s="590"/>
      <c r="D41" s="590"/>
      <c r="E41" s="590"/>
      <c r="F41" s="590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5" t="s">
        <v>230</v>
      </c>
      <c r="C42" s="586"/>
      <c r="D42" s="586"/>
      <c r="E42" s="586"/>
      <c r="F42" s="586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89" t="s">
        <v>232</v>
      </c>
      <c r="C43" s="590"/>
      <c r="D43" s="590"/>
      <c r="E43" s="590"/>
      <c r="F43" s="590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89" t="s">
        <v>248</v>
      </c>
      <c r="C44" s="590"/>
      <c r="D44" s="590"/>
      <c r="E44" s="590"/>
      <c r="F44" s="590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89" t="s">
        <v>259</v>
      </c>
      <c r="C45" s="590"/>
      <c r="D45" s="590"/>
      <c r="E45" s="590"/>
      <c r="F45" s="590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89" t="s">
        <v>274</v>
      </c>
      <c r="C46" s="590"/>
      <c r="D46" s="590"/>
      <c r="E46" s="590"/>
      <c r="F46" s="590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68" t="s">
        <v>278</v>
      </c>
      <c r="C47" s="669"/>
      <c r="D47" s="669"/>
      <c r="E47" s="669"/>
      <c r="F47" s="669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87" t="s">
        <v>286</v>
      </c>
      <c r="C48" s="588"/>
      <c r="D48" s="588"/>
      <c r="E48" s="588"/>
      <c r="F48" s="588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87" t="s">
        <v>320</v>
      </c>
      <c r="C49" s="588"/>
      <c r="D49" s="588"/>
      <c r="E49" s="588"/>
      <c r="F49" s="588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1" t="s">
        <v>113</v>
      </c>
      <c r="C50" s="612"/>
      <c r="D50" s="612"/>
      <c r="E50" s="612"/>
      <c r="F50" s="612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57" t="s">
        <v>366</v>
      </c>
      <c r="C51" s="558"/>
      <c r="D51" s="558"/>
      <c r="E51" s="558"/>
      <c r="F51" s="558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75" t="s">
        <v>359</v>
      </c>
      <c r="C52" s="576"/>
      <c r="D52" s="576"/>
      <c r="E52" s="576"/>
      <c r="F52" s="576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18" t="s">
        <v>794</v>
      </c>
      <c r="C53" s="619"/>
      <c r="D53" s="619"/>
      <c r="E53" s="619"/>
      <c r="F53" s="619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0" t="s">
        <v>684</v>
      </c>
      <c r="C54" s="621"/>
      <c r="D54" s="621"/>
      <c r="E54" s="621"/>
      <c r="F54" s="621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1" t="s">
        <v>545</v>
      </c>
      <c r="C55" s="582"/>
      <c r="D55" s="582"/>
      <c r="E55" s="582"/>
      <c r="F55" s="582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3" t="s">
        <v>793</v>
      </c>
      <c r="C57" s="584"/>
      <c r="D57" s="584"/>
      <c r="E57" s="584"/>
      <c r="F57" s="584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05" t="s">
        <v>352</v>
      </c>
      <c r="C58" s="606"/>
      <c r="D58" s="606"/>
      <c r="E58" s="606"/>
      <c r="F58" s="606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73" t="s">
        <v>355</v>
      </c>
      <c r="C59" s="574"/>
      <c r="D59" s="574"/>
      <c r="E59" s="574"/>
      <c r="F59" s="574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57" t="s">
        <v>357</v>
      </c>
      <c r="C60" s="558"/>
      <c r="D60" s="558"/>
      <c r="E60" s="558"/>
      <c r="F60" s="558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66" t="s">
        <v>336</v>
      </c>
      <c r="C61" s="667"/>
      <c r="D61" s="667"/>
      <c r="E61" s="667"/>
      <c r="F61" s="667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77" t="s">
        <v>543</v>
      </c>
      <c r="C62" s="578"/>
      <c r="D62" s="578"/>
      <c r="E62" s="578"/>
      <c r="F62" s="578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79" t="s">
        <v>544</v>
      </c>
      <c r="C63" s="580"/>
      <c r="D63" s="580"/>
      <c r="E63" s="580"/>
      <c r="F63" s="580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73" t="s">
        <v>114</v>
      </c>
      <c r="C64" s="574"/>
      <c r="D64" s="574"/>
      <c r="E64" s="574"/>
      <c r="F64" s="574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57" t="s">
        <v>116</v>
      </c>
      <c r="C65" s="558"/>
      <c r="D65" s="558"/>
      <c r="E65" s="558"/>
      <c r="F65" s="558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57" t="s">
        <v>93</v>
      </c>
      <c r="C66" s="558"/>
      <c r="D66" s="558"/>
      <c r="E66" s="558"/>
      <c r="F66" s="558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28" t="s">
        <v>551</v>
      </c>
      <c r="C103" s="629"/>
      <c r="D103" s="629"/>
      <c r="E103" s="629"/>
      <c r="F103" s="629"/>
      <c r="G103" s="613">
        <v>2018</v>
      </c>
      <c r="H103" s="614"/>
      <c r="I103" s="614"/>
      <c r="J103" s="614"/>
      <c r="K103" s="614"/>
      <c r="L103" s="614"/>
      <c r="M103" s="614"/>
      <c r="N103" s="614"/>
      <c r="O103" s="614"/>
      <c r="P103" s="614"/>
      <c r="Q103" s="614"/>
      <c r="R103" s="615"/>
      <c r="S103" s="96" t="str">
        <f>+S7</f>
        <v>BDP</v>
      </c>
      <c r="T103" s="97">
        <f>+T7</f>
        <v>4663130000</v>
      </c>
    </row>
    <row r="104" spans="1:21" ht="15.75" customHeight="1">
      <c r="B104" s="630"/>
      <c r="C104" s="631"/>
      <c r="D104" s="631"/>
      <c r="E104" s="631"/>
      <c r="F104" s="632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13" t="s">
        <v>806</v>
      </c>
      <c r="T104" s="615">
        <f>+T8</f>
        <v>0</v>
      </c>
    </row>
    <row r="105" spans="1:21" ht="13.5" thickBot="1">
      <c r="B105" s="633"/>
      <c r="C105" s="634"/>
      <c r="D105" s="634"/>
      <c r="E105" s="634"/>
      <c r="F105" s="635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58" t="s">
        <v>680</v>
      </c>
      <c r="C106" s="659"/>
      <c r="D106" s="659"/>
      <c r="E106" s="659"/>
      <c r="F106" s="659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24" t="s">
        <v>21</v>
      </c>
      <c r="C107" s="625"/>
      <c r="D107" s="625"/>
      <c r="E107" s="625"/>
      <c r="F107" s="625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6" t="s">
        <v>23</v>
      </c>
      <c r="C108" s="627"/>
      <c r="D108" s="627"/>
      <c r="E108" s="627"/>
      <c r="F108" s="627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6" t="s">
        <v>25</v>
      </c>
      <c r="C109" s="627"/>
      <c r="D109" s="627"/>
      <c r="E109" s="627"/>
      <c r="F109" s="627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6" t="s">
        <v>27</v>
      </c>
      <c r="C110" s="627"/>
      <c r="D110" s="627"/>
      <c r="E110" s="627"/>
      <c r="F110" s="627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6" t="s">
        <v>29</v>
      </c>
      <c r="C111" s="627"/>
      <c r="D111" s="627"/>
      <c r="E111" s="627"/>
      <c r="F111" s="627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6" t="s">
        <v>31</v>
      </c>
      <c r="C112" s="627"/>
      <c r="D112" s="627"/>
      <c r="E112" s="627"/>
      <c r="F112" s="627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6" t="s">
        <v>33</v>
      </c>
      <c r="C113" s="627"/>
      <c r="D113" s="627"/>
      <c r="E113" s="627"/>
      <c r="F113" s="627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6" t="s">
        <v>721</v>
      </c>
      <c r="C114" s="627"/>
      <c r="D114" s="627"/>
      <c r="E114" s="627"/>
      <c r="F114" s="627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56" t="s">
        <v>37</v>
      </c>
      <c r="C115" s="657"/>
      <c r="D115" s="657"/>
      <c r="E115" s="657"/>
      <c r="F115" s="657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6" t="s">
        <v>39</v>
      </c>
      <c r="C116" s="627"/>
      <c r="D116" s="627"/>
      <c r="E116" s="627"/>
      <c r="F116" s="627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6" t="s">
        <v>41</v>
      </c>
      <c r="C117" s="627"/>
      <c r="D117" s="627"/>
      <c r="E117" s="627"/>
      <c r="F117" s="627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6" t="s">
        <v>43</v>
      </c>
      <c r="C118" s="627"/>
      <c r="D118" s="627"/>
      <c r="E118" s="627"/>
      <c r="F118" s="627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6" t="s">
        <v>45</v>
      </c>
      <c r="C119" s="627"/>
      <c r="D119" s="627"/>
      <c r="E119" s="627"/>
      <c r="F119" s="627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6" t="s">
        <v>47</v>
      </c>
      <c r="C120" s="637"/>
      <c r="D120" s="637"/>
      <c r="E120" s="637"/>
      <c r="F120" s="637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6" t="s">
        <v>61</v>
      </c>
      <c r="C121" s="637"/>
      <c r="D121" s="637"/>
      <c r="E121" s="637"/>
      <c r="F121" s="637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6" t="s">
        <v>81</v>
      </c>
      <c r="C122" s="637"/>
      <c r="D122" s="637"/>
      <c r="E122" s="637"/>
      <c r="F122" s="637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6" t="s">
        <v>99</v>
      </c>
      <c r="C123" s="637"/>
      <c r="D123" s="637"/>
      <c r="E123" s="637"/>
      <c r="F123" s="637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38" t="s">
        <v>105</v>
      </c>
      <c r="C124" s="639"/>
      <c r="D124" s="639"/>
      <c r="E124" s="639"/>
      <c r="F124" s="639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22" t="s">
        <v>808</v>
      </c>
      <c r="C125" s="623"/>
      <c r="D125" s="623"/>
      <c r="E125" s="623"/>
      <c r="F125" s="623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4" t="s">
        <v>773</v>
      </c>
      <c r="C126" s="665"/>
      <c r="D126" s="665"/>
      <c r="E126" s="665"/>
      <c r="F126" s="665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0" t="s">
        <v>120</v>
      </c>
      <c r="C127" s="641"/>
      <c r="D127" s="641"/>
      <c r="E127" s="641"/>
      <c r="F127" s="641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6" t="s">
        <v>122</v>
      </c>
      <c r="C128" s="627"/>
      <c r="D128" s="627"/>
      <c r="E128" s="627"/>
      <c r="F128" s="627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6" t="s">
        <v>133</v>
      </c>
      <c r="C129" s="627"/>
      <c r="D129" s="627"/>
      <c r="E129" s="627"/>
      <c r="F129" s="627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6" t="s">
        <v>148</v>
      </c>
      <c r="C130" s="627"/>
      <c r="D130" s="627"/>
      <c r="E130" s="627"/>
      <c r="F130" s="627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6" t="s">
        <v>162</v>
      </c>
      <c r="C131" s="627"/>
      <c r="D131" s="627"/>
      <c r="E131" s="627"/>
      <c r="F131" s="627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6" t="s">
        <v>182</v>
      </c>
      <c r="C132" s="627"/>
      <c r="D132" s="627"/>
      <c r="E132" s="627"/>
      <c r="F132" s="627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6" t="s">
        <v>190</v>
      </c>
      <c r="C133" s="627"/>
      <c r="D133" s="627"/>
      <c r="E133" s="627"/>
      <c r="F133" s="627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6" t="s">
        <v>196</v>
      </c>
      <c r="C134" s="627"/>
      <c r="D134" s="627"/>
      <c r="E134" s="627"/>
      <c r="F134" s="627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6" t="s">
        <v>204</v>
      </c>
      <c r="C135" s="627"/>
      <c r="D135" s="627"/>
      <c r="E135" s="627"/>
      <c r="F135" s="627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6" t="s">
        <v>212</v>
      </c>
      <c r="C136" s="627"/>
      <c r="D136" s="627"/>
      <c r="E136" s="627"/>
      <c r="F136" s="627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6" t="s">
        <v>802</v>
      </c>
      <c r="C137" s="627"/>
      <c r="D137" s="627"/>
      <c r="E137" s="627"/>
      <c r="F137" s="627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46" t="s">
        <v>230</v>
      </c>
      <c r="C138" s="647"/>
      <c r="D138" s="647"/>
      <c r="E138" s="647"/>
      <c r="F138" s="647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6" t="s">
        <v>232</v>
      </c>
      <c r="C139" s="627"/>
      <c r="D139" s="627"/>
      <c r="E139" s="627"/>
      <c r="F139" s="627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6" t="s">
        <v>248</v>
      </c>
      <c r="C140" s="627"/>
      <c r="D140" s="627"/>
      <c r="E140" s="627"/>
      <c r="F140" s="627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6" t="s">
        <v>259</v>
      </c>
      <c r="C141" s="627"/>
      <c r="D141" s="627"/>
      <c r="E141" s="627"/>
      <c r="F141" s="627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6" t="s">
        <v>274</v>
      </c>
      <c r="C142" s="627"/>
      <c r="D142" s="627"/>
      <c r="E142" s="627"/>
      <c r="F142" s="627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6" t="s">
        <v>278</v>
      </c>
      <c r="C143" s="627"/>
      <c r="D143" s="627"/>
      <c r="E143" s="627"/>
      <c r="F143" s="627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42" t="s">
        <v>286</v>
      </c>
      <c r="C144" s="643"/>
      <c r="D144" s="643"/>
      <c r="E144" s="643"/>
      <c r="F144" s="643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42" t="s">
        <v>809</v>
      </c>
      <c r="C145" s="643"/>
      <c r="D145" s="643"/>
      <c r="E145" s="643"/>
      <c r="F145" s="643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44" t="s">
        <v>113</v>
      </c>
      <c r="C146" s="645"/>
      <c r="D146" s="645"/>
      <c r="E146" s="645"/>
      <c r="F146" s="645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44" t="s">
        <v>366</v>
      </c>
      <c r="C147" s="645"/>
      <c r="D147" s="645"/>
      <c r="E147" s="645"/>
      <c r="F147" s="645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44" t="s">
        <v>359</v>
      </c>
      <c r="C148" s="645"/>
      <c r="D148" s="645"/>
      <c r="E148" s="645"/>
      <c r="F148" s="645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52" t="s">
        <v>545</v>
      </c>
      <c r="C150" s="653"/>
      <c r="D150" s="653"/>
      <c r="E150" s="653"/>
      <c r="F150" s="653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54" t="s">
        <v>810</v>
      </c>
      <c r="C151" s="655"/>
      <c r="D151" s="655"/>
      <c r="E151" s="655"/>
      <c r="F151" s="655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46" t="s">
        <v>352</v>
      </c>
      <c r="C152" s="647"/>
      <c r="D152" s="647"/>
      <c r="E152" s="647"/>
      <c r="F152" s="647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0" t="s">
        <v>355</v>
      </c>
      <c r="C153" s="651"/>
      <c r="D153" s="651"/>
      <c r="E153" s="651"/>
      <c r="F153" s="651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44" t="s">
        <v>357</v>
      </c>
      <c r="C154" s="645"/>
      <c r="D154" s="645"/>
      <c r="E154" s="645"/>
      <c r="F154" s="645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44" t="s">
        <v>365</v>
      </c>
      <c r="C155" s="645"/>
      <c r="D155" s="645"/>
      <c r="E155" s="645"/>
      <c r="F155" s="645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48" t="s">
        <v>543</v>
      </c>
      <c r="C157" s="649"/>
      <c r="D157" s="649"/>
      <c r="E157" s="649"/>
      <c r="F157" s="649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22" t="s">
        <v>544</v>
      </c>
      <c r="C158" s="623"/>
      <c r="D158" s="623"/>
      <c r="E158" s="623"/>
      <c r="F158" s="623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0" t="s">
        <v>114</v>
      </c>
      <c r="C159" s="651"/>
      <c r="D159" s="651"/>
      <c r="E159" s="651"/>
      <c r="F159" s="651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44" t="s">
        <v>116</v>
      </c>
      <c r="C160" s="645"/>
      <c r="D160" s="645"/>
      <c r="E160" s="645"/>
      <c r="F160" s="645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44" t="s">
        <v>93</v>
      </c>
      <c r="C161" s="645"/>
      <c r="D161" s="645"/>
      <c r="E161" s="645"/>
      <c r="F161" s="645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3" t="s">
        <v>554</v>
      </c>
      <c r="F6" s="670">
        <v>2006</v>
      </c>
      <c r="G6" s="671"/>
      <c r="H6" s="671"/>
      <c r="I6" s="671"/>
      <c r="J6" s="671"/>
      <c r="K6" s="671"/>
      <c r="L6" s="671"/>
      <c r="M6" s="671"/>
      <c r="N6" s="671"/>
      <c r="O6" s="671"/>
      <c r="P6" s="671"/>
      <c r="Q6" s="672"/>
      <c r="R6" s="670">
        <v>2007</v>
      </c>
      <c r="S6" s="671"/>
      <c r="T6" s="671"/>
      <c r="U6" s="671"/>
      <c r="V6" s="671"/>
      <c r="W6" s="671"/>
      <c r="X6" s="671"/>
      <c r="Y6" s="671"/>
      <c r="Z6" s="671"/>
      <c r="AA6" s="671"/>
      <c r="AB6" s="671"/>
      <c r="AC6" s="672"/>
      <c r="AD6" s="670">
        <v>2008</v>
      </c>
      <c r="AE6" s="671"/>
      <c r="AF6" s="671"/>
      <c r="AG6" s="671"/>
      <c r="AH6" s="671"/>
      <c r="AI6" s="671"/>
      <c r="AJ6" s="671"/>
      <c r="AK6" s="671"/>
      <c r="AL6" s="671"/>
      <c r="AM6" s="671"/>
      <c r="AN6" s="671"/>
      <c r="AO6" s="672"/>
      <c r="AP6" s="670">
        <v>2009</v>
      </c>
      <c r="AQ6" s="671"/>
      <c r="AR6" s="671"/>
      <c r="AS6" s="671"/>
      <c r="AT6" s="671"/>
      <c r="AU6" s="671"/>
      <c r="AV6" s="671"/>
      <c r="AW6" s="671"/>
      <c r="AX6" s="671"/>
      <c r="AY6" s="671"/>
      <c r="AZ6" s="671"/>
      <c r="BA6" s="672"/>
      <c r="BB6" s="670">
        <v>2010</v>
      </c>
      <c r="BC6" s="671"/>
      <c r="BD6" s="671"/>
      <c r="BE6" s="671"/>
      <c r="BF6" s="671"/>
      <c r="BG6" s="671"/>
      <c r="BH6" s="671"/>
      <c r="BI6" s="671"/>
      <c r="BJ6" s="671"/>
      <c r="BK6" s="671"/>
      <c r="BL6" s="671"/>
      <c r="BM6" s="672"/>
      <c r="BN6" s="670">
        <v>2011</v>
      </c>
      <c r="BO6" s="671"/>
      <c r="BP6" s="671"/>
      <c r="BQ6" s="671"/>
      <c r="BR6" s="671"/>
      <c r="BS6" s="671"/>
      <c r="BT6" s="671"/>
      <c r="BU6" s="671"/>
      <c r="BV6" s="671"/>
      <c r="BW6" s="671"/>
      <c r="BX6" s="671"/>
      <c r="BY6" s="672"/>
      <c r="BZ6" s="671">
        <v>2012</v>
      </c>
      <c r="CA6" s="671"/>
      <c r="CB6" s="671"/>
      <c r="CC6" s="671"/>
      <c r="CD6" s="671"/>
      <c r="CE6" s="671"/>
      <c r="CF6" s="671"/>
      <c r="CG6" s="671"/>
      <c r="CH6" s="671"/>
      <c r="CI6" s="671"/>
      <c r="CJ6" s="671"/>
      <c r="CK6" s="671"/>
      <c r="CL6" s="670">
        <v>2013</v>
      </c>
      <c r="CM6" s="671"/>
      <c r="CN6" s="671"/>
      <c r="CO6" s="671"/>
      <c r="CP6" s="671"/>
      <c r="CQ6" s="671"/>
      <c r="CR6" s="671"/>
      <c r="CS6" s="671"/>
      <c r="CT6" s="671"/>
      <c r="CU6" s="671"/>
      <c r="CV6" s="671"/>
      <c r="CW6" s="672"/>
      <c r="CX6" s="670">
        <v>2014</v>
      </c>
      <c r="CY6" s="671"/>
      <c r="CZ6" s="671"/>
      <c r="DA6" s="671"/>
      <c r="DB6" s="671"/>
      <c r="DC6" s="671"/>
      <c r="DD6" s="671"/>
      <c r="DE6" s="671"/>
      <c r="DF6" s="671"/>
      <c r="DG6" s="671"/>
      <c r="DH6" s="671"/>
      <c r="DI6" s="672"/>
      <c r="DJ6" s="670">
        <v>2015</v>
      </c>
      <c r="DK6" s="671"/>
      <c r="DL6" s="671"/>
      <c r="DM6" s="671"/>
      <c r="DN6" s="671"/>
      <c r="DO6" s="671"/>
      <c r="DP6" s="671"/>
      <c r="DQ6" s="671"/>
      <c r="DR6" s="671"/>
      <c r="DS6" s="671"/>
      <c r="DT6" s="671"/>
      <c r="DU6" s="672"/>
    </row>
    <row r="7" spans="1:321">
      <c r="E7" s="673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3" t="s">
        <v>675</v>
      </c>
      <c r="F214" s="670">
        <v>2006</v>
      </c>
      <c r="G214" s="671"/>
      <c r="H214" s="671"/>
      <c r="I214" s="671"/>
      <c r="J214" s="671"/>
      <c r="K214" s="671"/>
      <c r="L214" s="671"/>
      <c r="M214" s="671"/>
      <c r="N214" s="671"/>
      <c r="O214" s="671"/>
      <c r="P214" s="671"/>
      <c r="Q214" s="672"/>
      <c r="R214" s="670">
        <v>2007</v>
      </c>
      <c r="S214" s="671"/>
      <c r="T214" s="671"/>
      <c r="U214" s="671"/>
      <c r="V214" s="671"/>
      <c r="W214" s="671"/>
      <c r="X214" s="671"/>
      <c r="Y214" s="671"/>
      <c r="Z214" s="671"/>
      <c r="AA214" s="671"/>
      <c r="AB214" s="671"/>
      <c r="AC214" s="672"/>
      <c r="AD214" s="670">
        <v>2008</v>
      </c>
      <c r="AE214" s="671"/>
      <c r="AF214" s="671"/>
      <c r="AG214" s="671"/>
      <c r="AH214" s="671"/>
      <c r="AI214" s="671"/>
      <c r="AJ214" s="671"/>
      <c r="AK214" s="671"/>
      <c r="AL214" s="671"/>
      <c r="AM214" s="671"/>
      <c r="AN214" s="671"/>
      <c r="AO214" s="672"/>
      <c r="AP214" s="670">
        <v>2009</v>
      </c>
      <c r="AQ214" s="671"/>
      <c r="AR214" s="671"/>
      <c r="AS214" s="671"/>
      <c r="AT214" s="671"/>
      <c r="AU214" s="671"/>
      <c r="AV214" s="671"/>
      <c r="AW214" s="671"/>
      <c r="AX214" s="671"/>
      <c r="AY214" s="671"/>
      <c r="AZ214" s="671"/>
      <c r="BA214" s="672"/>
      <c r="BB214" s="670">
        <v>2010</v>
      </c>
      <c r="BC214" s="671"/>
      <c r="BD214" s="671"/>
      <c r="BE214" s="671"/>
      <c r="BF214" s="671"/>
      <c r="BG214" s="671"/>
      <c r="BH214" s="671"/>
      <c r="BI214" s="671"/>
      <c r="BJ214" s="671"/>
      <c r="BK214" s="671"/>
      <c r="BL214" s="671"/>
      <c r="BM214" s="672"/>
      <c r="BN214" s="670">
        <v>2011</v>
      </c>
      <c r="BO214" s="671"/>
      <c r="BP214" s="671"/>
      <c r="BQ214" s="671"/>
      <c r="BR214" s="671"/>
      <c r="BS214" s="671"/>
      <c r="BT214" s="671"/>
      <c r="BU214" s="671"/>
      <c r="BV214" s="671"/>
      <c r="BW214" s="671"/>
      <c r="BX214" s="671"/>
      <c r="BY214" s="672"/>
      <c r="BZ214" s="671">
        <v>2012</v>
      </c>
      <c r="CA214" s="671"/>
      <c r="CB214" s="671"/>
      <c r="CC214" s="671"/>
      <c r="CD214" s="671"/>
      <c r="CE214" s="671"/>
      <c r="CF214" s="671"/>
      <c r="CG214" s="671"/>
      <c r="CH214" s="671"/>
      <c r="CI214" s="671"/>
      <c r="CJ214" s="671"/>
      <c r="CK214" s="671"/>
      <c r="CL214" s="670">
        <v>2013</v>
      </c>
      <c r="CM214" s="671"/>
      <c r="CN214" s="671"/>
      <c r="CO214" s="671"/>
      <c r="CP214" s="671"/>
      <c r="CQ214" s="671"/>
      <c r="CR214" s="671"/>
      <c r="CS214" s="671"/>
      <c r="CT214" s="671"/>
      <c r="CU214" s="671"/>
      <c r="CV214" s="671"/>
      <c r="CW214" s="672"/>
      <c r="CX214" s="670">
        <v>2014</v>
      </c>
      <c r="CY214" s="671"/>
      <c r="CZ214" s="671"/>
      <c r="DA214" s="671"/>
      <c r="DB214" s="671"/>
      <c r="DC214" s="671"/>
      <c r="DD214" s="671"/>
      <c r="DE214" s="671"/>
      <c r="DF214" s="671"/>
      <c r="DG214" s="671"/>
      <c r="DH214" s="671"/>
      <c r="DI214" s="672"/>
      <c r="DJ214" s="670">
        <v>2015</v>
      </c>
      <c r="DK214" s="671"/>
      <c r="DL214" s="671"/>
      <c r="DM214" s="671"/>
      <c r="DN214" s="671"/>
      <c r="DO214" s="671"/>
      <c r="DP214" s="671"/>
      <c r="DQ214" s="671"/>
      <c r="DR214" s="671"/>
      <c r="DS214" s="671"/>
      <c r="DT214" s="671"/>
      <c r="DU214" s="672"/>
    </row>
    <row r="215" spans="1:187">
      <c r="E215" s="673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G286"/>
  <sheetViews>
    <sheetView zoomScaleNormal="100" workbookViewId="0">
      <pane ySplit="4" topLeftCell="A5" activePane="bottomLeft" state="frozen"/>
      <selection pane="bottomLeft" activeCell="D3" sqref="D3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5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2024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Maj</v>
      </c>
    </row>
    <row r="246" spans="4:7">
      <c r="D246" s="41"/>
      <c r="G246" s="44" t="str">
        <f>+CONCATENATE("Jan - ",LEFT(G245,3))</f>
        <v>Jan - Maj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Maj</v>
      </c>
      <c r="F254" s="6" t="str">
        <f>+CONCATENATE("Analytics for period ",G246)</f>
        <v>Analytics for period Jan - Maj</v>
      </c>
      <c r="G254" s="44" t="str">
        <f>+IF(ISBLANK(IF($B$2=1,E254,F254)),"",IF($B$2=1,E254,F254))</f>
        <v>Analitika za period Jan - Maj</v>
      </c>
    </row>
    <row r="255" spans="4:7">
      <c r="E255" s="5" t="str">
        <f>+CONCATENATE("Analitika za period ",G245)</f>
        <v>Analitika za period Maj</v>
      </c>
      <c r="F255" s="6" t="str">
        <f>+CONCATENATE("Analytics for period ",G245)</f>
        <v>Analytics for period Maj</v>
      </c>
      <c r="G255" s="44" t="str">
        <f>+IF(ISBLANK(IF($B$2=1,E255,F255)),"",IF($B$2=1,E255,F255))</f>
        <v>Analitika za period Maj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Maj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Maj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Maj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Maj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Maj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Maj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P28" sqref="P28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Maj</v>
      </c>
      <c r="G11" s="122" t="str">
        <f>+Master!G274</f>
        <v>Prihodi za period Januar - Maj</v>
      </c>
      <c r="J11" s="121"/>
    </row>
    <row r="12" spans="3:10">
      <c r="C12" s="120"/>
      <c r="D12" s="123">
        <f>+'Analitika 2024'!N10</f>
        <v>193250894.58999997</v>
      </c>
      <c r="E12" s="427">
        <f>+D12/'2024'!T7</f>
        <v>2.7473826356269545E-2</v>
      </c>
      <c r="G12" s="123">
        <f>+'Analitika 2024'!G10</f>
        <v>1089410037.8599999</v>
      </c>
      <c r="H12" s="427">
        <f>+G12/'2024'!T7</f>
        <v>0.15487774208984928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Maj</v>
      </c>
      <c r="G15" s="122" t="str">
        <f>+Master!G275</f>
        <v>Rashodi za period Januar - Maj</v>
      </c>
      <c r="J15" s="121"/>
    </row>
    <row r="16" spans="3:10">
      <c r="C16" s="120"/>
      <c r="D16" s="123">
        <f>+'Analitika 2024'!N29</f>
        <v>214809739.78000003</v>
      </c>
      <c r="E16" s="427">
        <f>+D16/'2024'!T7</f>
        <v>3.0538774492465174E-2</v>
      </c>
      <c r="G16" s="123">
        <f>+'Analitika 2024'!G29</f>
        <v>1056351994.25</v>
      </c>
      <c r="H16" s="427">
        <f>+G16/'2024'!T7</f>
        <v>0.15017799178987773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Maj</v>
      </c>
      <c r="G19" s="122" t="str">
        <f>+Master!G276</f>
        <v>Suficit/Deficit za period Januar - Maj</v>
      </c>
      <c r="J19" s="121"/>
    </row>
    <row r="20" spans="3:11">
      <c r="C20" s="120"/>
      <c r="D20" s="123">
        <f>+'Analitika 2024'!N53</f>
        <v>-21558845.190000057</v>
      </c>
      <c r="E20" s="427">
        <f>+D20/'2024'!T7</f>
        <v>-3.0649481361956295E-3</v>
      </c>
      <c r="G20" s="123">
        <f>+'Analitika 2024'!G53</f>
        <v>33058043.610000044</v>
      </c>
      <c r="H20" s="427">
        <f>+G20/'2024'!T7</f>
        <v>4.6997502999715727E-3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zlZBePTDuevJnarV7FpSN1S67jKce2tu5FCSoX4OGIuo5dqLnlc4Aa8xeKlczrqSe/ZqE94QxEUnKQv0FOoB8w==" saltValue="oHmg+WBzYntKVavg3d6qH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L10" sqref="L10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2024-05</v>
      </c>
      <c r="O6" s="128" t="str">
        <f>+CONCATENATE(N6,"p")</f>
        <v>2024-05p</v>
      </c>
      <c r="P6" s="116"/>
      <c r="Q6" s="116"/>
      <c r="R6" s="128" t="str">
        <f>+IF(Master!B3-10&gt;=0,CONCATENATE(Master!B4-1,"-",Master!B3),CONCATENATE(Master!B4-1,"-0",Master!B3))</f>
        <v>2023-05</v>
      </c>
      <c r="S6" s="116"/>
      <c r="T6" s="116"/>
    </row>
    <row r="7" spans="1:25" ht="14.25" customHeight="1">
      <c r="A7" s="129"/>
      <c r="B7" s="559" t="str">
        <f>+Master!G254</f>
        <v>Analitika za period Jan - Maj</v>
      </c>
      <c r="C7" s="560"/>
      <c r="D7" s="560"/>
      <c r="E7" s="560"/>
      <c r="F7" s="560"/>
      <c r="G7" s="568" t="str">
        <f>+Master!G246</f>
        <v>Jan - Maj</v>
      </c>
      <c r="H7" s="569"/>
      <c r="I7" s="569"/>
      <c r="J7" s="569"/>
      <c r="K7" s="569"/>
      <c r="L7" s="569"/>
      <c r="M7" s="572"/>
      <c r="N7" s="569" t="str">
        <f>+Master!G245</f>
        <v>Maj</v>
      </c>
      <c r="O7" s="569"/>
      <c r="P7" s="569"/>
      <c r="Q7" s="569"/>
      <c r="R7" s="569"/>
      <c r="S7" s="569"/>
      <c r="T7" s="572"/>
    </row>
    <row r="8" spans="1:25" ht="29.25" customHeight="1">
      <c r="A8" s="129"/>
      <c r="B8" s="561"/>
      <c r="C8" s="562"/>
      <c r="D8" s="562"/>
      <c r="E8" s="562"/>
      <c r="F8" s="563"/>
      <c r="G8" s="487" t="str">
        <f>+Master!G26</f>
        <v>Ostvarenje</v>
      </c>
      <c r="H8" s="330" t="str">
        <f>+Master!G25</f>
        <v>Plan</v>
      </c>
      <c r="I8" s="555" t="str">
        <f>+Master!G261</f>
        <v>Odstupanje</v>
      </c>
      <c r="J8" s="555"/>
      <c r="K8" s="130" t="str">
        <f>+CONCATENATE(Master!G246," ",Master!B4-1)</f>
        <v>Jan - Maj 2023</v>
      </c>
      <c r="L8" s="555" t="str">
        <f>+I8</f>
        <v>Odstupanje</v>
      </c>
      <c r="M8" s="556"/>
      <c r="N8" s="487" t="str">
        <f>+G8</f>
        <v>Ostvarenje</v>
      </c>
      <c r="O8" s="130" t="str">
        <f>+H8</f>
        <v>Plan</v>
      </c>
      <c r="P8" s="555" t="str">
        <f>+I8</f>
        <v>Odstupanje</v>
      </c>
      <c r="Q8" s="555"/>
      <c r="R8" s="130" t="str">
        <f>+CONCATENATE(Master!G245," ",Master!B4-1)</f>
        <v>Maj 2023</v>
      </c>
      <c r="S8" s="555" t="str">
        <f>+P8</f>
        <v>Odstupanje</v>
      </c>
      <c r="T8" s="556"/>
    </row>
    <row r="9" spans="1:25" ht="15.75" thickBot="1">
      <c r="A9" s="129"/>
      <c r="B9" s="564"/>
      <c r="C9" s="565"/>
      <c r="D9" s="565"/>
      <c r="E9" s="565"/>
      <c r="F9" s="566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136">
        <f>'2024'!S10</f>
        <v>1089410037.8599999</v>
      </c>
      <c r="H10" s="136">
        <f>SUM('2024'!G86:K86)</f>
        <v>1011845443.127836</v>
      </c>
      <c r="I10" s="137">
        <f>+G10-H10</f>
        <v>77564594.732163906</v>
      </c>
      <c r="J10" s="139">
        <f>IF(+IF(ISERROR(G10/H10),"…",G10/H10-1)&gt;200%,"...",IF(ISERROR(G10/H10),"…",G10/H10-1))</f>
        <v>7.6656563765701957E-2</v>
      </c>
      <c r="K10" s="136">
        <f>SUM('2023'!G10:K10)</f>
        <v>984008912.12999988</v>
      </c>
      <c r="L10" s="137">
        <f>+G10-K10</f>
        <v>105401125.73000002</v>
      </c>
      <c r="M10" s="141">
        <f>IF(+IF(ISERROR(G10/K10),"…",G10/K10-1)&gt;200%,"...",IF(ISERROR(G10/K10),"…",G10/K10-1))</f>
        <v>0.10711399503673924</v>
      </c>
      <c r="N10" s="136">
        <f>'2024'!K10</f>
        <v>193250894.58999997</v>
      </c>
      <c r="O10" s="136">
        <f>'2024'!K86</f>
        <v>202370960.75834674</v>
      </c>
      <c r="P10" s="137">
        <f>+N10-O10</f>
        <v>-9120066.1683467627</v>
      </c>
      <c r="Q10" s="139">
        <f>IF(+IF(ISERROR(N10/O10),"…",N10/O10-1)&gt;200%,"...",IF(ISERROR(N10/O10),"…",N10/O10-1))</f>
        <v>-4.5066081290374149E-2</v>
      </c>
      <c r="R10" s="136">
        <f>'2023'!K10</f>
        <v>186627846.51000002</v>
      </c>
      <c r="S10" s="137">
        <f>+N10-R10</f>
        <v>6623048.0799999535</v>
      </c>
      <c r="T10" s="141">
        <f>IF(+IF(ISERROR(N10/R10),"…",N10/R10-1)&gt;200%,"...",IF(ISERROR(N10/R10),"…",N10/R10-1))</f>
        <v>3.5487994979597426E-2</v>
      </c>
      <c r="W10" s="470"/>
      <c r="Y10" s="470"/>
    </row>
    <row r="11" spans="1:25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262">
        <f>'2024'!S11</f>
        <v>806310567.75999999</v>
      </c>
      <c r="H11" s="262">
        <f>SUM('2024'!G87:K87)</f>
        <v>746823314.65122378</v>
      </c>
      <c r="I11" s="143">
        <f t="shared" ref="I11:I57" si="0">+G11-H11</f>
        <v>59487253.108776212</v>
      </c>
      <c r="J11" s="145">
        <f t="shared" ref="J11:J66" si="1">IF(+IF(ISERROR(G11/H11-1),"…",G11/H11-1)&gt;200%,"...",IF(ISERROR(G11/H11-1),"…",G11/H11-1))</f>
        <v>7.9653717206937369E-2</v>
      </c>
      <c r="K11" s="262">
        <f>SUM('2023'!G11:K11)</f>
        <v>668692453.67999995</v>
      </c>
      <c r="L11" s="143">
        <f>+G11-K11</f>
        <v>137618114.08000004</v>
      </c>
      <c r="M11" s="147">
        <f t="shared" ref="M11:M66" si="2">IF(+IF(ISERROR(G11/K11),"…",G11/K11-1)&gt;200%,"...",IF(ISERROR(G11/K11),"…",G11/K11-1))</f>
        <v>0.20580180518360791</v>
      </c>
      <c r="N11" s="262">
        <f>'2024'!K11</f>
        <v>140725508.57999998</v>
      </c>
      <c r="O11" s="262">
        <f>'2024'!K87</f>
        <v>141387167.73744527</v>
      </c>
      <c r="P11" s="143">
        <f>+N11-O11</f>
        <v>-661659.15744528174</v>
      </c>
      <c r="Q11" s="145">
        <f t="shared" ref="Q11:Q66" si="3">IF(+IF(ISERROR(N11/O11),"…",N11/O11-1)&gt;200%,"...",IF(ISERROR(N11/O11),"…",N11/O11-1))</f>
        <v>-4.6797681008362568E-3</v>
      </c>
      <c r="R11" s="262">
        <f>'2023'!K11</f>
        <v>130851714.41000001</v>
      </c>
      <c r="S11" s="143">
        <f t="shared" ref="S11:S57" si="4">+N11-R11</f>
        <v>9873794.169999972</v>
      </c>
      <c r="T11" s="147">
        <f t="shared" ref="T11:T66" si="5">IF(+IF(ISERROR(N11/R11),"…",N11/R11-1)&gt;200%,"...",IF(ISERROR(N11/R11),"…",N11/R11-1))</f>
        <v>7.5457889218495389E-2</v>
      </c>
      <c r="W11" s="470"/>
      <c r="Y11" s="470"/>
    </row>
    <row r="12" spans="1:25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f>'2024'!S12</f>
        <v>32055338.419999994</v>
      </c>
      <c r="H12" s="148">
        <f>SUM('2024'!G88:K88)</f>
        <v>24563985.664432816</v>
      </c>
      <c r="I12" s="149">
        <f t="shared" si="0"/>
        <v>7491352.7555671781</v>
      </c>
      <c r="J12" s="151">
        <f t="shared" si="1"/>
        <v>0.30497301447355141</v>
      </c>
      <c r="K12" s="148">
        <f>SUM('2023'!G12:K12)</f>
        <v>20196875.960000001</v>
      </c>
      <c r="L12" s="149">
        <f>+G12-K12</f>
        <v>11858462.459999993</v>
      </c>
      <c r="M12" s="153">
        <f t="shared" si="2"/>
        <v>0.5871434019541304</v>
      </c>
      <c r="N12" s="148">
        <f>'2024'!K12</f>
        <v>7999182.8500000024</v>
      </c>
      <c r="O12" s="148">
        <f>'2024'!K88</f>
        <v>6354534.9348088503</v>
      </c>
      <c r="P12" s="149">
        <f t="shared" ref="P12:P57" si="6">+N12-O12</f>
        <v>1644647.9151911521</v>
      </c>
      <c r="Q12" s="151">
        <f t="shared" si="3"/>
        <v>0.2588148357139568</v>
      </c>
      <c r="R12" s="148">
        <f>'2023'!K12</f>
        <v>5224793.55</v>
      </c>
      <c r="S12" s="149">
        <f t="shared" si="4"/>
        <v>2774389.3000000026</v>
      </c>
      <c r="T12" s="153">
        <f t="shared" si="5"/>
        <v>0.53100457911872945</v>
      </c>
      <c r="W12" s="470"/>
      <c r="Y12" s="470"/>
    </row>
    <row r="13" spans="1:25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f>'2024'!S13</f>
        <v>185737706.34</v>
      </c>
      <c r="H13" s="148">
        <f>SUM('2024'!G89:K89)</f>
        <v>136129281.99634731</v>
      </c>
      <c r="I13" s="149">
        <f t="shared" si="0"/>
        <v>49608424.343652695</v>
      </c>
      <c r="J13" s="151">
        <f t="shared" si="1"/>
        <v>0.36442140600568074</v>
      </c>
      <c r="K13" s="148">
        <f>SUM('2023'!G13:K13)</f>
        <v>126915773.33</v>
      </c>
      <c r="L13" s="149">
        <f t="shared" ref="L13:L57" si="7">+G13-K13</f>
        <v>58821933.010000005</v>
      </c>
      <c r="M13" s="153">
        <f t="shared" si="2"/>
        <v>0.46347220260049293</v>
      </c>
      <c r="N13" s="148">
        <f>'2024'!K13</f>
        <v>6533790.1499999994</v>
      </c>
      <c r="O13" s="148">
        <f>'2024'!K89</f>
        <v>7598554.4799611485</v>
      </c>
      <c r="P13" s="149">
        <f t="shared" si="6"/>
        <v>-1064764.329961149</v>
      </c>
      <c r="Q13" s="151">
        <f t="shared" si="3"/>
        <v>-0.14012722193005755</v>
      </c>
      <c r="R13" s="148">
        <f>'2023'!K13</f>
        <v>6981694.2800000003</v>
      </c>
      <c r="S13" s="149">
        <f t="shared" si="4"/>
        <v>-447904.13000000082</v>
      </c>
      <c r="T13" s="153">
        <f t="shared" si="5"/>
        <v>-6.4154073787373145E-2</v>
      </c>
      <c r="W13" s="470"/>
      <c r="Y13" s="470"/>
    </row>
    <row r="14" spans="1:25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f>'2024'!S14</f>
        <v>0</v>
      </c>
      <c r="H14" s="148">
        <f>SUM('2024'!G90:K90)</f>
        <v>0</v>
      </c>
      <c r="I14" s="149">
        <f t="shared" si="0"/>
        <v>0</v>
      </c>
      <c r="J14" s="151" t="str">
        <f t="shared" si="1"/>
        <v>...</v>
      </c>
      <c r="K14" s="148">
        <f>SUM('2023'!G14:K14)</f>
        <v>0</v>
      </c>
      <c r="L14" s="149">
        <f t="shared" si="7"/>
        <v>0</v>
      </c>
      <c r="M14" s="153" t="str">
        <f t="shared" si="2"/>
        <v>...</v>
      </c>
      <c r="N14" s="148">
        <f>'2024'!K14</f>
        <v>0</v>
      </c>
      <c r="O14" s="148">
        <f>'2024'!K90</f>
        <v>0</v>
      </c>
      <c r="P14" s="149">
        <f t="shared" si="6"/>
        <v>0</v>
      </c>
      <c r="Q14" s="151" t="str">
        <f t="shared" si="3"/>
        <v>...</v>
      </c>
      <c r="R14" s="148">
        <f>'2023'!K14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f>'2024'!S15</f>
        <v>435076277.85000002</v>
      </c>
      <c r="H15" s="148">
        <f>SUM('2024'!G91:K91)</f>
        <v>436938717.69575667</v>
      </c>
      <c r="I15" s="149">
        <f t="shared" si="0"/>
        <v>-1862439.84575665</v>
      </c>
      <c r="J15" s="151">
        <f t="shared" si="1"/>
        <v>-4.2624738214512847E-3</v>
      </c>
      <c r="K15" s="148">
        <f>SUM('2023'!G15:K15)</f>
        <v>388462816.61000001</v>
      </c>
      <c r="L15" s="149">
        <f t="shared" si="7"/>
        <v>46613461.24000001</v>
      </c>
      <c r="M15" s="153">
        <f t="shared" si="2"/>
        <v>0.11999465392024367</v>
      </c>
      <c r="N15" s="148">
        <f>'2024'!K15</f>
        <v>88184792.75</v>
      </c>
      <c r="O15" s="148">
        <f>'2024'!K91</f>
        <v>93750264.273905918</v>
      </c>
      <c r="P15" s="149">
        <f t="shared" si="6"/>
        <v>-5565471.523905918</v>
      </c>
      <c r="Q15" s="151">
        <f t="shared" si="3"/>
        <v>-5.9364862243433625E-2</v>
      </c>
      <c r="R15" s="148">
        <f>'2023'!K15</f>
        <v>87195794</v>
      </c>
      <c r="S15" s="149">
        <f t="shared" si="4"/>
        <v>988998.75</v>
      </c>
      <c r="T15" s="153">
        <f t="shared" si="5"/>
        <v>1.134227586711356E-2</v>
      </c>
      <c r="W15" s="470"/>
      <c r="Y15" s="470"/>
    </row>
    <row r="16" spans="1:25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f>'2024'!S16</f>
        <v>125574411.83999997</v>
      </c>
      <c r="H16" s="148">
        <f>SUM('2024'!G92:K92)</f>
        <v>122559813.47849476</v>
      </c>
      <c r="I16" s="149">
        <f t="shared" si="0"/>
        <v>3014598.3615052104</v>
      </c>
      <c r="J16" s="151">
        <f t="shared" si="1"/>
        <v>2.4596956179556928E-2</v>
      </c>
      <c r="K16" s="148">
        <f>SUM('2023'!G16:K16)</f>
        <v>108260602.88999999</v>
      </c>
      <c r="L16" s="149">
        <f t="shared" si="7"/>
        <v>17313808.949999988</v>
      </c>
      <c r="M16" s="153">
        <f t="shared" si="2"/>
        <v>0.15992714328029356</v>
      </c>
      <c r="N16" s="148">
        <f>'2024'!K16</f>
        <v>31723753.749999993</v>
      </c>
      <c r="O16" s="148">
        <f>'2024'!K92</f>
        <v>27199796.80399929</v>
      </c>
      <c r="P16" s="149">
        <f t="shared" si="6"/>
        <v>4523956.9460007027</v>
      </c>
      <c r="Q16" s="151">
        <f t="shared" si="3"/>
        <v>0.16632318905174781</v>
      </c>
      <c r="R16" s="148">
        <f>'2023'!K16</f>
        <v>25793019.07</v>
      </c>
      <c r="S16" s="149">
        <f t="shared" si="4"/>
        <v>5930734.6799999923</v>
      </c>
      <c r="T16" s="153">
        <f t="shared" si="5"/>
        <v>0.22993565289524653</v>
      </c>
      <c r="W16" s="470"/>
      <c r="Y16" s="470"/>
    </row>
    <row r="17" spans="1:25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f>'2024'!S17</f>
        <v>22126535.430000007</v>
      </c>
      <c r="H17" s="148">
        <f>SUM('2024'!G93:K93)</f>
        <v>21315913.138276197</v>
      </c>
      <c r="I17" s="149">
        <f t="shared" si="0"/>
        <v>810622.29172381014</v>
      </c>
      <c r="J17" s="151">
        <f t="shared" si="1"/>
        <v>3.8028973305779035E-2</v>
      </c>
      <c r="K17" s="148">
        <f>SUM('2023'!G17:K17)</f>
        <v>19755471.07</v>
      </c>
      <c r="L17" s="149">
        <f t="shared" si="7"/>
        <v>2371064.3600000069</v>
      </c>
      <c r="M17" s="153">
        <f t="shared" si="2"/>
        <v>0.12002064398254841</v>
      </c>
      <c r="N17" s="148">
        <f>'2024'!K17</f>
        <v>5010618.790000001</v>
      </c>
      <c r="O17" s="148">
        <f>'2024'!K93</f>
        <v>5315794.5622604089</v>
      </c>
      <c r="P17" s="149">
        <f t="shared" si="6"/>
        <v>-305175.77226040792</v>
      </c>
      <c r="Q17" s="151">
        <f>IF(+IF(ISERROR(N17/O17),"…",N17/O17-1)&gt;200%,"...",IF(ISERROR(N17/O17),"…",N17/O17-1))</f>
        <v>-5.740924873715203E-2</v>
      </c>
      <c r="R17" s="148">
        <f>'2023'!K17</f>
        <v>4535373.51</v>
      </c>
      <c r="S17" s="149">
        <f t="shared" si="4"/>
        <v>475245.28000000119</v>
      </c>
      <c r="T17" s="153">
        <f t="shared" si="5"/>
        <v>0.10478635970160721</v>
      </c>
      <c r="W17" s="470"/>
      <c r="Y17" s="470"/>
    </row>
    <row r="18" spans="1:25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f>'2024'!S18</f>
        <v>5740297.8799999999</v>
      </c>
      <c r="H18" s="148">
        <f>SUM('2024'!G94:K94)</f>
        <v>5315602.6779160434</v>
      </c>
      <c r="I18" s="149">
        <f t="shared" si="0"/>
        <v>424695.20208395645</v>
      </c>
      <c r="J18" s="151">
        <f t="shared" si="1"/>
        <v>7.9895964355721105E-2</v>
      </c>
      <c r="K18" s="148">
        <f>SUM('2023'!G18:K18)</f>
        <v>5100913.82</v>
      </c>
      <c r="L18" s="149">
        <f t="shared" si="7"/>
        <v>639384.05999999959</v>
      </c>
      <c r="M18" s="153">
        <f t="shared" si="2"/>
        <v>0.1253469638112803</v>
      </c>
      <c r="N18" s="148">
        <f>'2024'!K18</f>
        <v>1273370.2899999998</v>
      </c>
      <c r="O18" s="148">
        <f>'2024'!K94</f>
        <v>1168222.682509661</v>
      </c>
      <c r="P18" s="149">
        <f t="shared" si="6"/>
        <v>105147.60749033885</v>
      </c>
      <c r="Q18" s="151">
        <f t="shared" si="3"/>
        <v>9.0006476560147819E-2</v>
      </c>
      <c r="R18" s="148">
        <f>'2023'!K18</f>
        <v>1121040</v>
      </c>
      <c r="S18" s="149">
        <f t="shared" si="4"/>
        <v>152330.2899999998</v>
      </c>
      <c r="T18" s="153">
        <f t="shared" si="5"/>
        <v>0.13588301041889661</v>
      </c>
      <c r="W18" s="470"/>
      <c r="Y18" s="470"/>
    </row>
    <row r="19" spans="1:25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154">
        <f>'2024'!S19</f>
        <v>217388191.4300001</v>
      </c>
      <c r="H19" s="154">
        <f>SUM('2024'!G95:K95)</f>
        <v>203230775.10721675</v>
      </c>
      <c r="I19" s="155">
        <f t="shared" si="0"/>
        <v>14157416.322783351</v>
      </c>
      <c r="J19" s="157">
        <f t="shared" si="1"/>
        <v>6.9661773987303111E-2</v>
      </c>
      <c r="K19" s="154">
        <f>SUM('2023'!G19:K19)</f>
        <v>193355967.12</v>
      </c>
      <c r="L19" s="155">
        <f t="shared" si="7"/>
        <v>24032224.310000092</v>
      </c>
      <c r="M19" s="159">
        <f t="shared" si="2"/>
        <v>0.12429005770008272</v>
      </c>
      <c r="N19" s="154">
        <f>'2024'!K19</f>
        <v>44239433.410000004</v>
      </c>
      <c r="O19" s="154">
        <f>'2024'!K95</f>
        <v>48321180.060848266</v>
      </c>
      <c r="P19" s="155">
        <f t="shared" si="6"/>
        <v>-4081746.650848262</v>
      </c>
      <c r="Q19" s="157">
        <f t="shared" si="3"/>
        <v>-8.4471170731102552E-2</v>
      </c>
      <c r="R19" s="154">
        <f>'2023'!K19</f>
        <v>45975315.240000002</v>
      </c>
      <c r="S19" s="155">
        <f t="shared" si="4"/>
        <v>-1735881.8299999982</v>
      </c>
      <c r="T19" s="159">
        <f t="shared" si="5"/>
        <v>-3.7756822784974053E-2</v>
      </c>
      <c r="W19" s="470"/>
      <c r="Y19" s="470"/>
    </row>
    <row r="20" spans="1:25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f>'2024'!S20</f>
        <v>199532806.2100001</v>
      </c>
      <c r="H20" s="148">
        <f>SUM('2024'!G96:K96)</f>
        <v>187875555.67180875</v>
      </c>
      <c r="I20" s="149">
        <f t="shared" si="0"/>
        <v>11657250.538191348</v>
      </c>
      <c r="J20" s="151">
        <f t="shared" si="1"/>
        <v>6.2047723539697008E-2</v>
      </c>
      <c r="K20" s="148">
        <f>SUM('2023'!G20:K20)</f>
        <v>176709360.75</v>
      </c>
      <c r="L20" s="149">
        <f t="shared" si="7"/>
        <v>22823445.460000098</v>
      </c>
      <c r="M20" s="153">
        <f t="shared" si="2"/>
        <v>0.12915810098079428</v>
      </c>
      <c r="N20" s="148">
        <f>'2024'!K20</f>
        <v>40659761.590000004</v>
      </c>
      <c r="O20" s="148">
        <f>'2024'!K96</f>
        <v>44651588.880563311</v>
      </c>
      <c r="P20" s="149">
        <f t="shared" si="6"/>
        <v>-3991827.2905633077</v>
      </c>
      <c r="Q20" s="151">
        <f t="shared" si="3"/>
        <v>-8.9399445588395077E-2</v>
      </c>
      <c r="R20" s="148">
        <f>'2023'!K20</f>
        <v>41997766.549999997</v>
      </c>
      <c r="S20" s="149">
        <f t="shared" si="4"/>
        <v>-1338004.9599999934</v>
      </c>
      <c r="T20" s="153">
        <f t="shared" si="5"/>
        <v>-3.1858955128174382E-2</v>
      </c>
      <c r="W20" s="470"/>
      <c r="Y20" s="470"/>
    </row>
    <row r="21" spans="1:25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f>'2024'!S21</f>
        <v>1937881.04</v>
      </c>
      <c r="H21" s="148">
        <f>SUM('2024'!G97:K97)</f>
        <v>1069586.7063374585</v>
      </c>
      <c r="I21" s="149">
        <f t="shared" si="0"/>
        <v>868294.33366254158</v>
      </c>
      <c r="J21" s="151">
        <f t="shared" si="1"/>
        <v>0.81180359527448309</v>
      </c>
      <c r="K21" s="148">
        <f>SUM('2023'!G21:K21)</f>
        <v>2506591.7199999997</v>
      </c>
      <c r="L21" s="149">
        <f t="shared" si="7"/>
        <v>-568710.6799999997</v>
      </c>
      <c r="M21" s="153">
        <f t="shared" si="2"/>
        <v>-0.22688604428965387</v>
      </c>
      <c r="N21" s="148">
        <f>'2024'!K21</f>
        <v>296984.01999999996</v>
      </c>
      <c r="O21" s="148">
        <f>'2024'!K97</f>
        <v>255605.92274265984</v>
      </c>
      <c r="P21" s="149">
        <f t="shared" si="6"/>
        <v>41378.097257340123</v>
      </c>
      <c r="Q21" s="151">
        <f t="shared" si="3"/>
        <v>0.16188238837876612</v>
      </c>
      <c r="R21" s="148">
        <f>'2023'!K21</f>
        <v>599016.13</v>
      </c>
      <c r="S21" s="149">
        <f t="shared" si="4"/>
        <v>-302032.11000000004</v>
      </c>
      <c r="T21" s="153">
        <f t="shared" si="5"/>
        <v>-0.50421365114158112</v>
      </c>
      <c r="W21" s="470"/>
      <c r="Y21" s="470"/>
    </row>
    <row r="22" spans="1:25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f>'2024'!S22</f>
        <v>9285596.3200000003</v>
      </c>
      <c r="H22" s="148">
        <f>SUM('2024'!G98:K98)</f>
        <v>8002586.5033534616</v>
      </c>
      <c r="I22" s="149">
        <f t="shared" si="0"/>
        <v>1283009.8166465387</v>
      </c>
      <c r="J22" s="151">
        <f t="shared" si="1"/>
        <v>0.16032439213358041</v>
      </c>
      <c r="K22" s="148">
        <f>SUM('2023'!G22:K22)</f>
        <v>8076800.8699999992</v>
      </c>
      <c r="L22" s="149">
        <f t="shared" si="7"/>
        <v>1208795.4500000011</v>
      </c>
      <c r="M22" s="153">
        <f t="shared" si="2"/>
        <v>0.14966265350058094</v>
      </c>
      <c r="N22" s="148">
        <f>'2024'!K22</f>
        <v>1910648.6899999997</v>
      </c>
      <c r="O22" s="148">
        <f>'2024'!K98</f>
        <v>1897711.3195239312</v>
      </c>
      <c r="P22" s="149">
        <f t="shared" si="6"/>
        <v>12937.370476068463</v>
      </c>
      <c r="Q22" s="151">
        <f t="shared" si="3"/>
        <v>6.8173543272713744E-3</v>
      </c>
      <c r="R22" s="148">
        <f>'2023'!K22</f>
        <v>1915310.31</v>
      </c>
      <c r="S22" s="149">
        <f t="shared" si="4"/>
        <v>-4661.6200000003446</v>
      </c>
      <c r="T22" s="153">
        <f t="shared" si="5"/>
        <v>-2.4338719296093103E-3</v>
      </c>
      <c r="W22" s="470"/>
      <c r="Y22" s="470"/>
    </row>
    <row r="23" spans="1:25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f>'2024'!S23</f>
        <v>6631907.8600000003</v>
      </c>
      <c r="H23" s="148">
        <f>SUM('2024'!G99:K99)</f>
        <v>6283046.2257171161</v>
      </c>
      <c r="I23" s="149">
        <f t="shared" si="0"/>
        <v>348861.63428288419</v>
      </c>
      <c r="J23" s="151">
        <f t="shared" si="1"/>
        <v>5.5524282609120457E-2</v>
      </c>
      <c r="K23" s="148">
        <f>SUM('2023'!G23:K23)</f>
        <v>6063213.7800000003</v>
      </c>
      <c r="L23" s="149">
        <f t="shared" si="7"/>
        <v>568694.08000000007</v>
      </c>
      <c r="M23" s="153">
        <f t="shared" si="2"/>
        <v>9.3794166037140858E-2</v>
      </c>
      <c r="N23" s="148">
        <f>'2024'!K23</f>
        <v>1372039.1099999996</v>
      </c>
      <c r="O23" s="148">
        <f>'2024'!K99</f>
        <v>1516273.9380183634</v>
      </c>
      <c r="P23" s="149">
        <f t="shared" si="6"/>
        <v>-144234.8280183638</v>
      </c>
      <c r="Q23" s="151">
        <f t="shared" si="3"/>
        <v>-9.5124518335299002E-2</v>
      </c>
      <c r="R23" s="148">
        <f>'2023'!K23</f>
        <v>1463222.25</v>
      </c>
      <c r="S23" s="149">
        <f t="shared" si="4"/>
        <v>-91183.140000000363</v>
      </c>
      <c r="T23" s="153">
        <f t="shared" si="5"/>
        <v>-6.231667130540175E-2</v>
      </c>
      <c r="W23" s="470"/>
      <c r="Y23" s="470"/>
    </row>
    <row r="24" spans="1:25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f>'2024'!S24</f>
        <v>5473477.0199999996</v>
      </c>
      <c r="H24" s="160">
        <f>SUM('2024'!G100:K100)</f>
        <v>5170438.6294312589</v>
      </c>
      <c r="I24" s="161">
        <f t="shared" si="0"/>
        <v>303038.39056874067</v>
      </c>
      <c r="J24" s="163">
        <f t="shared" si="1"/>
        <v>5.8609803207755107E-2</v>
      </c>
      <c r="K24" s="160">
        <f>SUM('2023'!G24:K24)</f>
        <v>5192092.33</v>
      </c>
      <c r="L24" s="161">
        <f t="shared" si="7"/>
        <v>281384.68999999948</v>
      </c>
      <c r="M24" s="165">
        <f t="shared" si="2"/>
        <v>5.4194854812992022E-2</v>
      </c>
      <c r="N24" s="160">
        <f>'2024'!K24</f>
        <v>1204264.57</v>
      </c>
      <c r="O24" s="160">
        <f>'2024'!K100</f>
        <v>1352524.7555279485</v>
      </c>
      <c r="P24" s="161">
        <f t="shared" si="6"/>
        <v>-148260.18552794843</v>
      </c>
      <c r="Q24" s="163">
        <f t="shared" si="3"/>
        <v>-0.10961735444914356</v>
      </c>
      <c r="R24" s="160">
        <f>'2023'!K24</f>
        <v>1360645.21</v>
      </c>
      <c r="S24" s="161">
        <f t="shared" si="4"/>
        <v>-156380.6399999999</v>
      </c>
      <c r="T24" s="165">
        <f t="shared" si="5"/>
        <v>-0.11493123912882475</v>
      </c>
      <c r="W24" s="470"/>
      <c r="Y24" s="470"/>
    </row>
    <row r="25" spans="1:25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f>'2024'!S25</f>
        <v>18866255.080000006</v>
      </c>
      <c r="H25" s="160">
        <f>SUM('2024'!G101:K101)</f>
        <v>18558461.255258832</v>
      </c>
      <c r="I25" s="161">
        <f t="shared" si="0"/>
        <v>307793.82474117354</v>
      </c>
      <c r="J25" s="163">
        <f t="shared" si="1"/>
        <v>1.6585094017638635E-2</v>
      </c>
      <c r="K25" s="160">
        <f>SUM('2023'!G25:K25)</f>
        <v>26841278.210000001</v>
      </c>
      <c r="L25" s="161">
        <f t="shared" si="7"/>
        <v>-7975023.1299999952</v>
      </c>
      <c r="M25" s="165">
        <f t="shared" si="2"/>
        <v>-0.29711785957454206</v>
      </c>
      <c r="N25" s="160">
        <f>'2024'!K25</f>
        <v>3457943.4000000004</v>
      </c>
      <c r="O25" s="160">
        <f>'2024'!K101</f>
        <v>4975153.702935664</v>
      </c>
      <c r="P25" s="161">
        <f t="shared" si="6"/>
        <v>-1517210.3029356636</v>
      </c>
      <c r="Q25" s="163">
        <f t="shared" si="3"/>
        <v>-0.30495747338226176</v>
      </c>
      <c r="R25" s="160">
        <f>'2023'!K25</f>
        <v>4607961.24</v>
      </c>
      <c r="S25" s="161">
        <f t="shared" si="4"/>
        <v>-1150017.8399999999</v>
      </c>
      <c r="T25" s="165">
        <f t="shared" si="5"/>
        <v>-0.24957194301399976</v>
      </c>
      <c r="W25" s="470"/>
      <c r="Y25" s="470"/>
    </row>
    <row r="26" spans="1:25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f>'2024'!S26</f>
        <v>30157903.390000001</v>
      </c>
      <c r="H26" s="160">
        <f>SUM('2024'!G102:K102)</f>
        <v>27308744.086927697</v>
      </c>
      <c r="I26" s="161">
        <f t="shared" si="0"/>
        <v>2849159.3030723035</v>
      </c>
      <c r="J26" s="163">
        <f t="shared" si="1"/>
        <v>0.10433139268517855</v>
      </c>
      <c r="K26" s="160">
        <f>SUM('2023'!G26:K26)</f>
        <v>49961698.919999994</v>
      </c>
      <c r="L26" s="161">
        <f t="shared" si="7"/>
        <v>-19803795.529999994</v>
      </c>
      <c r="M26" s="165">
        <f t="shared" si="2"/>
        <v>-0.39637954589395286</v>
      </c>
      <c r="N26" s="160">
        <f>'2024'!K26</f>
        <v>2024814.9499999983</v>
      </c>
      <c r="O26" s="160">
        <f>'2024'!K102</f>
        <v>4181225.1038118028</v>
      </c>
      <c r="P26" s="161">
        <f t="shared" si="6"/>
        <v>-2156410.1538118045</v>
      </c>
      <c r="Q26" s="163">
        <f t="shared" si="3"/>
        <v>-0.51573644094069915</v>
      </c>
      <c r="R26" s="160">
        <f>'2023'!K26</f>
        <v>2083663.61</v>
      </c>
      <c r="S26" s="161">
        <f t="shared" si="4"/>
        <v>-58848.660000001779</v>
      </c>
      <c r="T26" s="165">
        <f t="shared" si="5"/>
        <v>-2.8242879377253116E-2</v>
      </c>
      <c r="W26" s="470"/>
      <c r="Y26" s="470"/>
    </row>
    <row r="27" spans="1:25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f>'2024'!S27</f>
        <v>0</v>
      </c>
      <c r="H27" s="160">
        <f>SUM('2024'!G103:K103)</f>
        <v>0</v>
      </c>
      <c r="I27" s="161">
        <f t="shared" si="0"/>
        <v>0</v>
      </c>
      <c r="J27" s="163" t="str">
        <f t="shared" si="1"/>
        <v>...</v>
      </c>
      <c r="K27" s="160">
        <f>SUM('2023'!G27:K27)</f>
        <v>0</v>
      </c>
      <c r="L27" s="161">
        <f t="shared" si="7"/>
        <v>0</v>
      </c>
      <c r="M27" s="165" t="str">
        <f t="shared" si="2"/>
        <v>...</v>
      </c>
      <c r="N27" s="160">
        <f>'2024'!K27</f>
        <v>0</v>
      </c>
      <c r="O27" s="160">
        <f>'2024'!K103</f>
        <v>0</v>
      </c>
      <c r="P27" s="161">
        <f t="shared" si="6"/>
        <v>0</v>
      </c>
      <c r="Q27" s="163" t="str">
        <f t="shared" si="3"/>
        <v>...</v>
      </c>
      <c r="R27" s="160">
        <f>'2023'!K27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f>'2024'!S28</f>
        <v>11213643.18</v>
      </c>
      <c r="H28" s="160">
        <f>SUM('2024'!G104:K104)</f>
        <v>10753709.397777781</v>
      </c>
      <c r="I28" s="161">
        <f t="shared" si="0"/>
        <v>459933.78222221881</v>
      </c>
      <c r="J28" s="163">
        <f t="shared" si="1"/>
        <v>4.2769779729891377E-2</v>
      </c>
      <c r="K28" s="160">
        <f>SUM('2023'!G28:K28)</f>
        <v>39965421.869999997</v>
      </c>
      <c r="L28" s="161">
        <f t="shared" si="7"/>
        <v>-28751778.689999998</v>
      </c>
      <c r="M28" s="165">
        <f t="shared" si="2"/>
        <v>-0.71941636906834439</v>
      </c>
      <c r="N28" s="160">
        <f>'2024'!K28</f>
        <v>1598929.68</v>
      </c>
      <c r="O28" s="160">
        <f>'2024'!K104</f>
        <v>2153709.39777778</v>
      </c>
      <c r="P28" s="161">
        <f t="shared" si="6"/>
        <v>-554779.71777778002</v>
      </c>
      <c r="Q28" s="163">
        <f t="shared" si="3"/>
        <v>-0.25759265309897783</v>
      </c>
      <c r="R28" s="160">
        <f>'2023'!K28</f>
        <v>1748546.8</v>
      </c>
      <c r="S28" s="161">
        <f t="shared" si="4"/>
        <v>-149617.12000000011</v>
      </c>
      <c r="T28" s="165">
        <f t="shared" si="5"/>
        <v>-8.5566551607311969E-2</v>
      </c>
      <c r="W28" s="470"/>
      <c r="Y28" s="470"/>
    </row>
    <row r="29" spans="1:25" ht="15.7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'2024'!S29</f>
        <v>1056351994.25</v>
      </c>
      <c r="H29" s="136">
        <f>SUM('2024'!G105:K105)</f>
        <v>1153207375.2249999</v>
      </c>
      <c r="I29" s="137">
        <f t="shared" si="0"/>
        <v>-96855380.974999905</v>
      </c>
      <c r="J29" s="139">
        <f t="shared" si="1"/>
        <v>-8.3987826522617159E-2</v>
      </c>
      <c r="K29" s="136">
        <f>SUM('2023'!G29:K29)</f>
        <v>875035804.79999995</v>
      </c>
      <c r="L29" s="137">
        <f t="shared" si="7"/>
        <v>181316189.45000005</v>
      </c>
      <c r="M29" s="141">
        <f t="shared" si="2"/>
        <v>0.20721002324178284</v>
      </c>
      <c r="N29" s="136">
        <f>'2024'!K29</f>
        <v>214809739.78000003</v>
      </c>
      <c r="O29" s="136">
        <f>'2024'!K105</f>
        <v>241962982.43500003</v>
      </c>
      <c r="P29" s="137">
        <f t="shared" si="6"/>
        <v>-27153242.655000001</v>
      </c>
      <c r="Q29" s="139">
        <f t="shared" si="3"/>
        <v>-0.11222064789308972</v>
      </c>
      <c r="R29" s="136">
        <f>'2023'!K29</f>
        <v>189878174.31999999</v>
      </c>
      <c r="S29" s="137">
        <f t="shared" si="4"/>
        <v>24931565.460000038</v>
      </c>
      <c r="T29" s="141">
        <f t="shared" si="5"/>
        <v>0.13130295543069148</v>
      </c>
      <c r="W29" s="470"/>
      <c r="Y29" s="470"/>
    </row>
    <row r="30" spans="1:25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294">
        <f>'2024'!S30</f>
        <v>427651437.68999994</v>
      </c>
      <c r="H30" s="294">
        <f>SUM('2024'!G106:K106)</f>
        <v>474944778.07500005</v>
      </c>
      <c r="I30" s="173">
        <f t="shared" si="0"/>
        <v>-47293340.38500011</v>
      </c>
      <c r="J30" s="175">
        <f t="shared" si="1"/>
        <v>-9.9576503560445229E-2</v>
      </c>
      <c r="K30" s="294">
        <f>SUM('2023'!G30:K30)</f>
        <v>395727630.94999999</v>
      </c>
      <c r="L30" s="173">
        <f t="shared" si="7"/>
        <v>31923806.73999995</v>
      </c>
      <c r="M30" s="177">
        <f t="shared" si="2"/>
        <v>8.0671159260126357E-2</v>
      </c>
      <c r="N30" s="294">
        <f>'2024'!K30</f>
        <v>86454064.080000028</v>
      </c>
      <c r="O30" s="294">
        <f>'2024'!K106</f>
        <v>97851421.115000039</v>
      </c>
      <c r="P30" s="173">
        <f t="shared" si="6"/>
        <v>-11397357.035000011</v>
      </c>
      <c r="Q30" s="175">
        <f t="shared" si="3"/>
        <v>-0.1164761523657919</v>
      </c>
      <c r="R30" s="294">
        <f>'2023'!K30</f>
        <v>92282783.609999999</v>
      </c>
      <c r="S30" s="173">
        <f t="shared" si="4"/>
        <v>-5828719.5299999714</v>
      </c>
      <c r="T30" s="177">
        <f t="shared" si="5"/>
        <v>-6.3161505342458679E-2</v>
      </c>
      <c r="W30" s="470"/>
      <c r="Y30" s="470"/>
    </row>
    <row r="31" spans="1:25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f>'2024'!S31</f>
        <v>278220893.18000001</v>
      </c>
      <c r="H31" s="148">
        <f>SUM('2024'!G107:K107)</f>
        <v>282570974.83500004</v>
      </c>
      <c r="I31" s="149">
        <f t="shared" si="0"/>
        <v>-4350081.655000031</v>
      </c>
      <c r="J31" s="151">
        <f t="shared" si="1"/>
        <v>-1.5394651405864157E-2</v>
      </c>
      <c r="K31" s="148">
        <f>SUM('2023'!G31:K31)</f>
        <v>260954856.91999999</v>
      </c>
      <c r="L31" s="149">
        <f t="shared" si="7"/>
        <v>17266036.26000002</v>
      </c>
      <c r="M31" s="153">
        <f t="shared" si="2"/>
        <v>6.6164839634669903E-2</v>
      </c>
      <c r="N31" s="148">
        <f>'2024'!K31</f>
        <v>59775945.540000021</v>
      </c>
      <c r="O31" s="148">
        <f>'2024'!K107</f>
        <v>56540382.745000005</v>
      </c>
      <c r="P31" s="149">
        <f>+N31-O31</f>
        <v>3235562.7950000167</v>
      </c>
      <c r="Q31" s="151">
        <f>IF(+IF(ISERROR(N31/O31),"…",N31/O31-1)&gt;200%,"...",IF(ISERROR(N31/O31),"…",N31/O31-1))</f>
        <v>5.7225696712959406E-2</v>
      </c>
      <c r="R31" s="148">
        <f>'2023'!K31</f>
        <v>54201006.710000001</v>
      </c>
      <c r="S31" s="149">
        <f t="shared" si="4"/>
        <v>5574938.8300000206</v>
      </c>
      <c r="T31" s="153">
        <f t="shared" si="5"/>
        <v>0.10285673954043828</v>
      </c>
      <c r="W31" s="470"/>
      <c r="Y31" s="470"/>
    </row>
    <row r="32" spans="1:25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f>'2024'!S32</f>
        <v>7394571.7399999993</v>
      </c>
      <c r="H32" s="148">
        <f>SUM('2024'!G108:K108)</f>
        <v>8970829.5500000045</v>
      </c>
      <c r="I32" s="149">
        <f t="shared" si="0"/>
        <v>-1576257.8100000052</v>
      </c>
      <c r="J32" s="151">
        <f t="shared" si="1"/>
        <v>-0.17570925868277187</v>
      </c>
      <c r="K32" s="148">
        <f>SUM('2023'!G32:K32)</f>
        <v>6231513.4199999981</v>
      </c>
      <c r="L32" s="149">
        <f t="shared" si="7"/>
        <v>1163058.3200000012</v>
      </c>
      <c r="M32" s="153">
        <f t="shared" si="2"/>
        <v>0.18664138895491655</v>
      </c>
      <c r="N32" s="148">
        <f>'2024'!K32</f>
        <v>1510365</v>
      </c>
      <c r="O32" s="148">
        <f>'2024'!K108</f>
        <v>1703169.2100000009</v>
      </c>
      <c r="P32" s="149">
        <f t="shared" si="6"/>
        <v>-192804.21000000089</v>
      </c>
      <c r="Q32" s="151">
        <f t="shared" si="3"/>
        <v>-0.11320320310393628</v>
      </c>
      <c r="R32" s="148">
        <f>'2023'!K32</f>
        <v>1372359.7699999993</v>
      </c>
      <c r="S32" s="149">
        <f t="shared" si="4"/>
        <v>138005.23000000068</v>
      </c>
      <c r="T32" s="153">
        <f t="shared" si="5"/>
        <v>0.10056053304448054</v>
      </c>
      <c r="W32" s="470"/>
      <c r="Y32" s="470"/>
    </row>
    <row r="33" spans="1:25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f>'2024'!S33</f>
        <v>12448807.73</v>
      </c>
      <c r="H33" s="148">
        <f>SUM('2024'!G109:K109)</f>
        <v>18811137.43</v>
      </c>
      <c r="I33" s="149">
        <f t="shared" si="0"/>
        <v>-6362329.6999999993</v>
      </c>
      <c r="J33" s="151">
        <f t="shared" si="1"/>
        <v>-0.33822142460420057</v>
      </c>
      <c r="K33" s="148">
        <f>SUM('2023'!G33:K33)</f>
        <v>13179573.189999999</v>
      </c>
      <c r="L33" s="149">
        <f t="shared" si="7"/>
        <v>-730765.45999999903</v>
      </c>
      <c r="M33" s="153">
        <f t="shared" si="2"/>
        <v>-5.5446822857243006E-2</v>
      </c>
      <c r="N33" s="148">
        <f>'2024'!K33</f>
        <v>2243018</v>
      </c>
      <c r="O33" s="148">
        <f>'2024'!K109</f>
        <v>3656056.06</v>
      </c>
      <c r="P33" s="149">
        <f t="shared" si="6"/>
        <v>-1413038.06</v>
      </c>
      <c r="Q33" s="151">
        <f t="shared" si="3"/>
        <v>-0.38649244891502021</v>
      </c>
      <c r="R33" s="148">
        <f>'2023'!K33</f>
        <v>3182782.03</v>
      </c>
      <c r="S33" s="149">
        <f t="shared" si="4"/>
        <v>-939764.0299999998</v>
      </c>
      <c r="T33" s="153">
        <f t="shared" si="5"/>
        <v>-0.29526496666816981</v>
      </c>
      <c r="W33" s="470"/>
      <c r="Y33" s="470"/>
    </row>
    <row r="34" spans="1:25">
      <c r="A34" s="135">
        <v>414</v>
      </c>
      <c r="B34" s="589" t="str">
        <f>+VLOOKUP($A34,Master!$D$30:$G$226,4,FALSE)</f>
        <v>Rashodi za usluge</v>
      </c>
      <c r="C34" s="590"/>
      <c r="D34" s="590"/>
      <c r="E34" s="590"/>
      <c r="F34" s="590"/>
      <c r="G34" s="148">
        <f>'2024'!S34</f>
        <v>21067680.530000001</v>
      </c>
      <c r="H34" s="148">
        <f>SUM('2024'!G110:K110)</f>
        <v>26975179.140000004</v>
      </c>
      <c r="I34" s="149">
        <f t="shared" si="0"/>
        <v>-5907498.6100000031</v>
      </c>
      <c r="J34" s="151">
        <f t="shared" si="1"/>
        <v>-0.21899756733181797</v>
      </c>
      <c r="K34" s="148">
        <f>SUM('2023'!G34:K34)</f>
        <v>21849327.170000002</v>
      </c>
      <c r="L34" s="149">
        <f t="shared" si="7"/>
        <v>-781646.6400000006</v>
      </c>
      <c r="M34" s="153">
        <f t="shared" si="2"/>
        <v>-3.5774403207858629E-2</v>
      </c>
      <c r="N34" s="148">
        <f>'2024'!K34</f>
        <v>4188874.66</v>
      </c>
      <c r="O34" s="148">
        <f>'2024'!K110</f>
        <v>5703795.0300000012</v>
      </c>
      <c r="P34" s="149">
        <f t="shared" si="6"/>
        <v>-1514920.370000001</v>
      </c>
      <c r="Q34" s="151">
        <f t="shared" si="3"/>
        <v>-0.26559866931263143</v>
      </c>
      <c r="R34" s="148">
        <f>'2023'!K34</f>
        <v>5116679.2600000007</v>
      </c>
      <c r="S34" s="149">
        <f t="shared" si="4"/>
        <v>-927804.60000000056</v>
      </c>
      <c r="T34" s="153">
        <f t="shared" si="5"/>
        <v>-0.18132944295593789</v>
      </c>
      <c r="W34" s="470"/>
      <c r="Y34" s="470"/>
    </row>
    <row r="35" spans="1:25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f>'2024'!S35</f>
        <v>7060828.4399999995</v>
      </c>
      <c r="H35" s="148">
        <f>SUM('2024'!G111:K111)</f>
        <v>12522822.210000001</v>
      </c>
      <c r="I35" s="149">
        <f t="shared" si="0"/>
        <v>-5461993.7700000014</v>
      </c>
      <c r="J35" s="151">
        <f t="shared" si="1"/>
        <v>-0.43616316501230601</v>
      </c>
      <c r="K35" s="148">
        <f>SUM('2023'!G35:K35)</f>
        <v>6795202.8500000015</v>
      </c>
      <c r="L35" s="149">
        <f t="shared" si="7"/>
        <v>265625.58999999799</v>
      </c>
      <c r="M35" s="153">
        <f t="shared" si="2"/>
        <v>3.9090163437872638E-2</v>
      </c>
      <c r="N35" s="148">
        <f>'2024'!K35</f>
        <v>504578.94999999995</v>
      </c>
      <c r="O35" s="148">
        <f>'2024'!K111</f>
        <v>2536527.75</v>
      </c>
      <c r="P35" s="149">
        <f t="shared" si="6"/>
        <v>-2031948.8</v>
      </c>
      <c r="Q35" s="151">
        <f t="shared" si="3"/>
        <v>-0.8010749340313742</v>
      </c>
      <c r="R35" s="148">
        <f>'2023'!K35</f>
        <v>1740589.3100000003</v>
      </c>
      <c r="S35" s="149">
        <f t="shared" si="4"/>
        <v>-1236010.3600000003</v>
      </c>
      <c r="T35" s="153">
        <f t="shared" si="5"/>
        <v>-0.71011027868486687</v>
      </c>
      <c r="W35" s="470"/>
      <c r="Y35" s="470"/>
    </row>
    <row r="36" spans="1:25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f>'2024'!S36</f>
        <v>54571953.589999989</v>
      </c>
      <c r="H36" s="148">
        <f>SUM('2024'!G112:K112)</f>
        <v>59397034.18</v>
      </c>
      <c r="I36" s="149">
        <f t="shared" si="0"/>
        <v>-4825080.590000011</v>
      </c>
      <c r="J36" s="151">
        <f t="shared" si="1"/>
        <v>-8.1234368964918757E-2</v>
      </c>
      <c r="K36" s="148">
        <f>SUM('2023'!G36:K36)</f>
        <v>45948983.109999999</v>
      </c>
      <c r="L36" s="149">
        <f t="shared" si="7"/>
        <v>8622970.4799999893</v>
      </c>
      <c r="M36" s="153">
        <f t="shared" si="2"/>
        <v>0.18766401117859233</v>
      </c>
      <c r="N36" s="148">
        <f>'2024'!K36</f>
        <v>8072726.5900000008</v>
      </c>
      <c r="O36" s="148">
        <f>'2024'!K112</f>
        <v>14697879.240000002</v>
      </c>
      <c r="P36" s="149">
        <f t="shared" si="6"/>
        <v>-6625152.6500000013</v>
      </c>
      <c r="Q36" s="151">
        <f t="shared" si="3"/>
        <v>-0.45075568670953381</v>
      </c>
      <c r="R36" s="148">
        <f>'2023'!K36</f>
        <v>14675383.51</v>
      </c>
      <c r="S36" s="149">
        <f t="shared" si="4"/>
        <v>-6602656.919999999</v>
      </c>
      <c r="T36" s="153">
        <f t="shared" si="5"/>
        <v>-0.44991375629133379</v>
      </c>
      <c r="W36" s="470"/>
      <c r="Y36" s="470"/>
    </row>
    <row r="37" spans="1:25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f>'2024'!S37</f>
        <v>4364618.5900000008</v>
      </c>
      <c r="H37" s="148">
        <f>SUM('2024'!G113:K113)</f>
        <v>5890764.6099999994</v>
      </c>
      <c r="I37" s="149">
        <f t="shared" si="0"/>
        <v>-1526146.0199999986</v>
      </c>
      <c r="J37" s="151">
        <f t="shared" si="1"/>
        <v>-0.2590743513005519</v>
      </c>
      <c r="K37" s="148">
        <f>SUM('2023'!G37:K37)</f>
        <v>3725091.4300000006</v>
      </c>
      <c r="L37" s="149">
        <f t="shared" si="7"/>
        <v>639527.16000000015</v>
      </c>
      <c r="M37" s="153">
        <f t="shared" si="2"/>
        <v>0.17168092972150228</v>
      </c>
      <c r="N37" s="148">
        <f>'2024'!K37</f>
        <v>707637.62000000023</v>
      </c>
      <c r="O37" s="148">
        <f>'2024'!K113</f>
        <v>1202203.7899999998</v>
      </c>
      <c r="P37" s="149">
        <f t="shared" si="6"/>
        <v>-494566.16999999958</v>
      </c>
      <c r="Q37" s="151">
        <f t="shared" si="3"/>
        <v>-0.4113829735971799</v>
      </c>
      <c r="R37" s="148">
        <f>'2023'!K37</f>
        <v>781961.4600000002</v>
      </c>
      <c r="S37" s="149">
        <f t="shared" si="4"/>
        <v>-74323.839999999967</v>
      </c>
      <c r="T37" s="153">
        <f t="shared" si="5"/>
        <v>-9.5047957990154641E-2</v>
      </c>
      <c r="W37" s="470"/>
      <c r="Y37" s="470"/>
    </row>
    <row r="38" spans="1:25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f>'2024'!S38</f>
        <v>19467380.03999998</v>
      </c>
      <c r="H38" s="148">
        <f>SUM('2024'!G114:K114)</f>
        <v>23533410.450000003</v>
      </c>
      <c r="I38" s="149">
        <f t="shared" si="0"/>
        <v>-4066030.4100000225</v>
      </c>
      <c r="J38" s="151">
        <f t="shared" si="1"/>
        <v>-0.17277693000081173</v>
      </c>
      <c r="K38" s="148">
        <f>SUM('2023'!G38:K38)</f>
        <v>19195842.809999999</v>
      </c>
      <c r="L38" s="149">
        <f t="shared" si="7"/>
        <v>271537.22999998182</v>
      </c>
      <c r="M38" s="153">
        <f t="shared" si="2"/>
        <v>1.4145626878051099E-2</v>
      </c>
      <c r="N38" s="148">
        <f>'2024'!K38</f>
        <v>4091213.4399999962</v>
      </c>
      <c r="O38" s="148">
        <f>'2024'!K114</f>
        <v>6362355.2300000004</v>
      </c>
      <c r="P38" s="149">
        <f t="shared" si="6"/>
        <v>-2271141.7900000042</v>
      </c>
      <c r="Q38" s="151">
        <f t="shared" si="3"/>
        <v>-0.35696557452357214</v>
      </c>
      <c r="R38" s="148">
        <f>'2023'!K38</f>
        <v>5567662.9800000004</v>
      </c>
      <c r="S38" s="149">
        <f t="shared" si="4"/>
        <v>-1476449.5400000042</v>
      </c>
      <c r="T38" s="153">
        <f t="shared" si="5"/>
        <v>-0.26518299424797509</v>
      </c>
      <c r="W38" s="470"/>
      <c r="Y38" s="470"/>
    </row>
    <row r="39" spans="1:25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148">
        <f>'2024'!S39</f>
        <v>23054703.850000001</v>
      </c>
      <c r="H39" s="148">
        <f>SUM('2024'!G115:K115)</f>
        <v>36272625.670000002</v>
      </c>
      <c r="I39" s="149">
        <f t="shared" si="0"/>
        <v>-13217921.82</v>
      </c>
      <c r="J39" s="151">
        <f t="shared" si="1"/>
        <v>-0.36440488042563035</v>
      </c>
      <c r="K39" s="148">
        <f>SUM('2023'!G39:K39)</f>
        <v>17847240.049999997</v>
      </c>
      <c r="L39" s="149">
        <f t="shared" si="7"/>
        <v>5207463.8000000045</v>
      </c>
      <c r="M39" s="153">
        <f t="shared" si="2"/>
        <v>0.2917797813785783</v>
      </c>
      <c r="N39" s="148">
        <f>'2024'!K39</f>
        <v>5359704.28</v>
      </c>
      <c r="O39" s="148">
        <f>'2024'!K115</f>
        <v>5449052.0600000005</v>
      </c>
      <c r="P39" s="149">
        <f t="shared" si="6"/>
        <v>-89347.780000000261</v>
      </c>
      <c r="Q39" s="151">
        <f t="shared" si="3"/>
        <v>-1.6396940057863962E-2</v>
      </c>
      <c r="R39" s="148">
        <f>'2023'!K39</f>
        <v>5644358.5800000001</v>
      </c>
      <c r="S39" s="149">
        <f t="shared" si="4"/>
        <v>-284654.29999999981</v>
      </c>
      <c r="T39" s="153">
        <f t="shared" si="5"/>
        <v>-5.0431647097800014E-2</v>
      </c>
      <c r="W39" s="470"/>
      <c r="Y39" s="470"/>
    </row>
    <row r="40" spans="1:25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'2024'!S40</f>
        <v>399195332.19999999</v>
      </c>
      <c r="H40" s="178">
        <f>SUM('2024'!G116:K116)</f>
        <v>410777771.36000001</v>
      </c>
      <c r="I40" s="179">
        <f t="shared" si="0"/>
        <v>-11582439.160000026</v>
      </c>
      <c r="J40" s="181">
        <f t="shared" si="1"/>
        <v>-2.8196363015586146E-2</v>
      </c>
      <c r="K40" s="178">
        <f>SUM('2023'!G40:K40)</f>
        <v>323252900.29999995</v>
      </c>
      <c r="L40" s="179">
        <f t="shared" si="7"/>
        <v>75942431.900000036</v>
      </c>
      <c r="M40" s="183">
        <f t="shared" si="2"/>
        <v>0.23493194285192942</v>
      </c>
      <c r="N40" s="178">
        <f>'2024'!K40</f>
        <v>82067527.389999986</v>
      </c>
      <c r="O40" s="178">
        <f>'2024'!K116</f>
        <v>83769996.049999997</v>
      </c>
      <c r="P40" s="179">
        <f t="shared" si="6"/>
        <v>-1702468.6600000113</v>
      </c>
      <c r="Q40" s="181">
        <f t="shared" si="3"/>
        <v>-2.0323131673348205E-2</v>
      </c>
      <c r="R40" s="178">
        <f>'2023'!K40</f>
        <v>64802740.460000001</v>
      </c>
      <c r="S40" s="179">
        <f t="shared" si="4"/>
        <v>17264786.929999985</v>
      </c>
      <c r="T40" s="183">
        <f t="shared" si="5"/>
        <v>0.26642062985988701</v>
      </c>
      <c r="W40" s="470"/>
      <c r="Y40" s="470"/>
    </row>
    <row r="41" spans="1:25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f>'2024'!S41</f>
        <v>86248400.859999985</v>
      </c>
      <c r="H41" s="148">
        <f>SUM('2024'!G117:K117)</f>
        <v>89021938.739999995</v>
      </c>
      <c r="I41" s="149">
        <f t="shared" si="0"/>
        <v>-2773537.8800000101</v>
      </c>
      <c r="J41" s="151">
        <f t="shared" si="1"/>
        <v>-3.1155667010358878E-2</v>
      </c>
      <c r="K41" s="148">
        <f>SUM('2023'!G41:K41)</f>
        <v>85685050.479999989</v>
      </c>
      <c r="L41" s="149">
        <f t="shared" si="7"/>
        <v>563350.37999999523</v>
      </c>
      <c r="M41" s="153">
        <f t="shared" si="2"/>
        <v>6.5746635713483936E-3</v>
      </c>
      <c r="N41" s="148">
        <f>'2024'!K41</f>
        <v>17001906.07</v>
      </c>
      <c r="O41" s="148">
        <f>'2024'!K117</f>
        <v>17577294.469999999</v>
      </c>
      <c r="P41" s="149">
        <f t="shared" si="6"/>
        <v>-575388.39999999851</v>
      </c>
      <c r="Q41" s="151">
        <f t="shared" si="3"/>
        <v>-3.2734753404856543E-2</v>
      </c>
      <c r="R41" s="148">
        <f>'2023'!K41</f>
        <v>16251190.1</v>
      </c>
      <c r="S41" s="149">
        <f t="shared" si="4"/>
        <v>750715.97000000067</v>
      </c>
      <c r="T41" s="153">
        <f t="shared" si="5"/>
        <v>4.6194522701448193E-2</v>
      </c>
      <c r="W41" s="470"/>
      <c r="Y41" s="470"/>
    </row>
    <row r="42" spans="1:25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f>'2024'!S42</f>
        <v>7727960.2699999996</v>
      </c>
      <c r="H42" s="148">
        <f>SUM('2024'!G118:K118)</f>
        <v>10460958.300000001</v>
      </c>
      <c r="I42" s="149">
        <f t="shared" si="0"/>
        <v>-2732998.0300000012</v>
      </c>
      <c r="J42" s="151">
        <f t="shared" si="1"/>
        <v>-0.26125694717662729</v>
      </c>
      <c r="K42" s="148">
        <f>SUM('2023'!G42:K42)</f>
        <v>8488645.4699999988</v>
      </c>
      <c r="L42" s="149">
        <f t="shared" si="7"/>
        <v>-760685.19999999925</v>
      </c>
      <c r="M42" s="153">
        <f t="shared" si="2"/>
        <v>-8.9612082715477048E-2</v>
      </c>
      <c r="N42" s="148">
        <f>'2024'!K42</f>
        <v>1876474.2999999998</v>
      </c>
      <c r="O42" s="148">
        <f>'2024'!K118</f>
        <v>2092191.6600000001</v>
      </c>
      <c r="P42" s="149">
        <f t="shared" si="6"/>
        <v>-215717.36000000034</v>
      </c>
      <c r="Q42" s="151">
        <f t="shared" si="3"/>
        <v>-0.10310592672948538</v>
      </c>
      <c r="R42" s="148">
        <f>'2023'!K42</f>
        <v>2059702.3699999999</v>
      </c>
      <c r="S42" s="149">
        <f t="shared" si="4"/>
        <v>-183228.07000000007</v>
      </c>
      <c r="T42" s="153">
        <f t="shared" si="5"/>
        <v>-8.8958517827019912E-2</v>
      </c>
      <c r="W42" s="470"/>
      <c r="Y42" s="470"/>
    </row>
    <row r="43" spans="1:25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f>'2024'!S43</f>
        <v>293591806.16999996</v>
      </c>
      <c r="H43" s="148">
        <f>SUM('2024'!G119:K119)</f>
        <v>296019874.32000005</v>
      </c>
      <c r="I43" s="149">
        <f t="shared" si="0"/>
        <v>-2428068.1500000954</v>
      </c>
      <c r="J43" s="151">
        <f t="shared" si="1"/>
        <v>-8.2023822068626462E-3</v>
      </c>
      <c r="K43" s="148">
        <f>SUM('2023'!G43:K43)</f>
        <v>216356896.24000001</v>
      </c>
      <c r="L43" s="149">
        <f t="shared" si="7"/>
        <v>77234909.929999948</v>
      </c>
      <c r="M43" s="153">
        <f t="shared" si="2"/>
        <v>0.35697919166082381</v>
      </c>
      <c r="N43" s="148">
        <f>'2024'!K43</f>
        <v>60972657.609999985</v>
      </c>
      <c r="O43" s="148">
        <f>'2024'!K119</f>
        <v>61045509.920000002</v>
      </c>
      <c r="P43" s="149">
        <f t="shared" si="6"/>
        <v>-72852.310000017285</v>
      </c>
      <c r="Q43" s="151">
        <f t="shared" si="3"/>
        <v>-1.1934098035299989E-3</v>
      </c>
      <c r="R43" s="148">
        <f>'2023'!K43</f>
        <v>43423554.060000002</v>
      </c>
      <c r="S43" s="149">
        <f t="shared" si="4"/>
        <v>17549103.549999982</v>
      </c>
      <c r="T43" s="153">
        <f t="shared" si="5"/>
        <v>0.40413789082652496</v>
      </c>
      <c r="W43" s="470"/>
      <c r="Y43" s="470"/>
    </row>
    <row r="44" spans="1:25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f>'2024'!S44</f>
        <v>5415595.4099999992</v>
      </c>
      <c r="H44" s="148">
        <f>SUM('2024'!G120:K120)</f>
        <v>8775000</v>
      </c>
      <c r="I44" s="149">
        <f t="shared" si="0"/>
        <v>-3359404.5900000008</v>
      </c>
      <c r="J44" s="151">
        <f t="shared" si="1"/>
        <v>-0.38283812991453003</v>
      </c>
      <c r="K44" s="148">
        <f>SUM('2023'!G44:K44)</f>
        <v>8222875.9000000013</v>
      </c>
      <c r="L44" s="149">
        <f t="shared" si="7"/>
        <v>-2807280.4900000021</v>
      </c>
      <c r="M44" s="153">
        <f t="shared" si="2"/>
        <v>-0.34139886386951335</v>
      </c>
      <c r="N44" s="148">
        <f>'2024'!K44</f>
        <v>1046920.1199999999</v>
      </c>
      <c r="O44" s="148">
        <f>'2024'!K120</f>
        <v>1755000</v>
      </c>
      <c r="P44" s="149">
        <f t="shared" si="6"/>
        <v>-708079.88000000012</v>
      </c>
      <c r="Q44" s="151">
        <f t="shared" si="3"/>
        <v>-0.40346431908831915</v>
      </c>
      <c r="R44" s="148">
        <f>'2023'!K44</f>
        <v>1743976.95</v>
      </c>
      <c r="S44" s="149">
        <f t="shared" si="4"/>
        <v>-697056.83000000007</v>
      </c>
      <c r="T44" s="153">
        <f t="shared" si="5"/>
        <v>-0.39969383196263009</v>
      </c>
      <c r="W44" s="470"/>
      <c r="Y44" s="470"/>
    </row>
    <row r="45" spans="1:25">
      <c r="A45" s="135">
        <v>425</v>
      </c>
      <c r="B45" s="589" t="str">
        <f>+VLOOKUP($A45,Master!$D$30:$G$226,4,FALSE)</f>
        <v>Ostala prava iz zdravstvenog osiguranja</v>
      </c>
      <c r="C45" s="590"/>
      <c r="D45" s="590"/>
      <c r="E45" s="590"/>
      <c r="F45" s="590"/>
      <c r="G45" s="148">
        <f>'2024'!S45</f>
        <v>6211569.4899999993</v>
      </c>
      <c r="H45" s="148">
        <f>SUM('2024'!G121:K121)</f>
        <v>6500000</v>
      </c>
      <c r="I45" s="149">
        <f t="shared" si="0"/>
        <v>-288430.51000000071</v>
      </c>
      <c r="J45" s="151">
        <f t="shared" si="1"/>
        <v>-4.4373924615384697E-2</v>
      </c>
      <c r="K45" s="148">
        <f>SUM('2023'!G45:K45)</f>
        <v>4499432.21</v>
      </c>
      <c r="L45" s="149">
        <f t="shared" si="7"/>
        <v>1712137.2799999993</v>
      </c>
      <c r="M45" s="153">
        <f t="shared" si="2"/>
        <v>0.38052296380747097</v>
      </c>
      <c r="N45" s="148">
        <f>'2024'!K45</f>
        <v>1169569.2899999991</v>
      </c>
      <c r="O45" s="148">
        <f>'2024'!K121</f>
        <v>1300000</v>
      </c>
      <c r="P45" s="149">
        <f t="shared" si="6"/>
        <v>-130430.71000000089</v>
      </c>
      <c r="Q45" s="151">
        <f t="shared" si="3"/>
        <v>-0.10033131538461604</v>
      </c>
      <c r="R45" s="148">
        <f>'2023'!K45</f>
        <v>1324316.98</v>
      </c>
      <c r="S45" s="149">
        <f t="shared" si="4"/>
        <v>-154747.69000000088</v>
      </c>
      <c r="T45" s="153">
        <f t="shared" si="5"/>
        <v>-0.11685094455256539</v>
      </c>
      <c r="W45" s="470"/>
      <c r="Y45" s="470"/>
    </row>
    <row r="46" spans="1:25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f>'2024'!S46</f>
        <v>143543523.48000002</v>
      </c>
      <c r="H46" s="160">
        <f>SUM('2024'!G122:K122)</f>
        <v>167231674.85000002</v>
      </c>
      <c r="I46" s="161">
        <f t="shared" si="0"/>
        <v>-23688151.370000005</v>
      </c>
      <c r="J46" s="163">
        <f t="shared" si="1"/>
        <v>-0.14164871213092445</v>
      </c>
      <c r="K46" s="160">
        <f>SUM('2023'!G46:K46)</f>
        <v>112625687.33</v>
      </c>
      <c r="L46" s="161">
        <f t="shared" si="7"/>
        <v>30917836.150000021</v>
      </c>
      <c r="M46" s="165">
        <f t="shared" si="2"/>
        <v>0.27451851245452485</v>
      </c>
      <c r="N46" s="160">
        <f>'2024'!K46</f>
        <v>24579654.549999997</v>
      </c>
      <c r="O46" s="160">
        <f>'2024'!K122</f>
        <v>37678023.580000006</v>
      </c>
      <c r="P46" s="161">
        <f t="shared" si="6"/>
        <v>-13098369.030000009</v>
      </c>
      <c r="Q46" s="163">
        <f t="shared" si="3"/>
        <v>-0.34763949340890576</v>
      </c>
      <c r="R46" s="160">
        <f>'2023'!K46</f>
        <v>22605169.219999999</v>
      </c>
      <c r="S46" s="161">
        <f t="shared" si="4"/>
        <v>1974485.3299999982</v>
      </c>
      <c r="T46" s="165">
        <f t="shared" si="5"/>
        <v>8.734662902912782E-2</v>
      </c>
      <c r="W46" s="470"/>
      <c r="Y46" s="470"/>
    </row>
    <row r="47" spans="1:25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f>'2024'!S47</f>
        <v>62342697.020000011</v>
      </c>
      <c r="H47" s="160">
        <f>SUM('2024'!G123:K123)</f>
        <v>69283489.300000012</v>
      </c>
      <c r="I47" s="161">
        <f t="shared" si="0"/>
        <v>-6940792.2800000012</v>
      </c>
      <c r="J47" s="163">
        <f t="shared" si="1"/>
        <v>-0.10017960050981434</v>
      </c>
      <c r="K47" s="160">
        <f>SUM('2023'!G47:K47)</f>
        <v>30086787.77</v>
      </c>
      <c r="L47" s="161">
        <f t="shared" si="7"/>
        <v>32255909.250000011</v>
      </c>
      <c r="M47" s="165">
        <f t="shared" si="2"/>
        <v>1.0720954824616697</v>
      </c>
      <c r="N47" s="160">
        <f>'2024'!K47</f>
        <v>11786212.940000001</v>
      </c>
      <c r="O47" s="160">
        <f>'2024'!K123</f>
        <v>17164187.290000007</v>
      </c>
      <c r="P47" s="161">
        <f t="shared" si="6"/>
        <v>-5377974.3500000052</v>
      </c>
      <c r="Q47" s="163">
        <f t="shared" si="3"/>
        <v>-0.31332531270695563</v>
      </c>
      <c r="R47" s="160">
        <f>'2023'!K47</f>
        <v>8044220.4300000006</v>
      </c>
      <c r="S47" s="161">
        <f t="shared" si="4"/>
        <v>3741992.5100000007</v>
      </c>
      <c r="T47" s="165">
        <f t="shared" si="5"/>
        <v>0.46517776863058935</v>
      </c>
      <c r="W47" s="470"/>
      <c r="Y47" s="470"/>
    </row>
    <row r="48" spans="1:25">
      <c r="A48" s="135">
        <v>451</v>
      </c>
      <c r="B48" s="557" t="str">
        <f>+VLOOKUP($A48,Master!$D$30:$G$226,4,FALSE)</f>
        <v>Pozajmice i krediti</v>
      </c>
      <c r="C48" s="558"/>
      <c r="D48" s="558"/>
      <c r="E48" s="558"/>
      <c r="F48" s="558"/>
      <c r="G48" s="148">
        <f>'2024'!S48</f>
        <v>0</v>
      </c>
      <c r="H48" s="148">
        <f>SUM('2024'!G124:K124)</f>
        <v>0</v>
      </c>
      <c r="I48" s="149">
        <f>G48-H48</f>
        <v>0</v>
      </c>
      <c r="J48" s="266" t="str">
        <f t="shared" si="1"/>
        <v>...</v>
      </c>
      <c r="K48" s="148">
        <f>SUM('2023'!G48:K48)</f>
        <v>0</v>
      </c>
      <c r="L48" s="263">
        <f t="shared" si="7"/>
        <v>0</v>
      </c>
      <c r="M48" s="475" t="str">
        <f t="shared" si="2"/>
        <v>...</v>
      </c>
      <c r="N48" s="148">
        <f>'2024'!K48</f>
        <v>0</v>
      </c>
      <c r="O48" s="148">
        <f>'2024'!K124</f>
        <v>0</v>
      </c>
      <c r="P48" s="149">
        <f t="shared" si="6"/>
        <v>0</v>
      </c>
      <c r="Q48" s="266" t="str">
        <f t="shared" si="3"/>
        <v>...</v>
      </c>
      <c r="R48" s="148">
        <f>'2023'!K48</f>
        <v>0</v>
      </c>
      <c r="S48" s="263">
        <f>+N48-R48-S58</f>
        <v>-1376805.77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57" t="str">
        <f>+VLOOKUP($A49,Master!$D$30:$G$226,4,FALSE)</f>
        <v>Rezerve</v>
      </c>
      <c r="C49" s="558"/>
      <c r="D49" s="558"/>
      <c r="E49" s="558"/>
      <c r="F49" s="558"/>
      <c r="G49" s="148">
        <f>'2024'!S49</f>
        <v>11141746.35</v>
      </c>
      <c r="H49" s="148">
        <f>SUM('2024'!G125:K125)</f>
        <v>20524439.719999999</v>
      </c>
      <c r="I49" s="149">
        <f t="shared" ref="I49:I50" si="8">G49-H49</f>
        <v>-9382693.3699999992</v>
      </c>
      <c r="J49" s="267">
        <f t="shared" si="1"/>
        <v>-0.45714735690724129</v>
      </c>
      <c r="K49" s="148">
        <f>SUM('2023'!G49:K49)</f>
        <v>6158653.2299999995</v>
      </c>
      <c r="L49" s="264">
        <f t="shared" si="7"/>
        <v>4983093.12</v>
      </c>
      <c r="M49" s="476">
        <f t="shared" si="2"/>
        <v>0.80912058755417227</v>
      </c>
      <c r="N49" s="148">
        <f>'2024'!K49</f>
        <v>8144950</v>
      </c>
      <c r="O49" s="148">
        <f>'2024'!K125</f>
        <v>3559533.49</v>
      </c>
      <c r="P49" s="149">
        <f t="shared" si="6"/>
        <v>4585416.51</v>
      </c>
      <c r="Q49" s="267">
        <f t="shared" si="3"/>
        <v>1.2882071549213037</v>
      </c>
      <c r="R49" s="148">
        <f>'2023'!K49</f>
        <v>1068089.2</v>
      </c>
      <c r="S49" s="264">
        <f t="shared" si="4"/>
        <v>7076860.7999999998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f>'2024'!S50</f>
        <v>2301161.16</v>
      </c>
      <c r="H50" s="148">
        <f>SUM('2024'!G126:K126)</f>
        <v>2</v>
      </c>
      <c r="I50" s="149">
        <f t="shared" si="8"/>
        <v>2301159.16</v>
      </c>
      <c r="J50" s="268" t="str">
        <f t="shared" si="1"/>
        <v>...</v>
      </c>
      <c r="K50" s="148">
        <f>SUM('2023'!G50:K50)</f>
        <v>1168915.48</v>
      </c>
      <c r="L50" s="264">
        <f t="shared" si="7"/>
        <v>1132245.6800000002</v>
      </c>
      <c r="M50" s="477">
        <f t="shared" si="2"/>
        <v>0.96862921175447192</v>
      </c>
      <c r="N50" s="148">
        <f>'2024'!K50</f>
        <v>0</v>
      </c>
      <c r="O50" s="148">
        <f>'2024'!K126</f>
        <v>0</v>
      </c>
      <c r="P50" s="149">
        <f t="shared" si="6"/>
        <v>0</v>
      </c>
      <c r="Q50" s="268" t="str">
        <f t="shared" si="3"/>
        <v>...</v>
      </c>
      <c r="R50" s="148">
        <f>'2023'!K50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75" t="str">
        <f>+VLOOKUP($A51,Master!$D$30:$G$226,4,FALSE)</f>
        <v>Otplata obaveza iz prethodnog perioda</v>
      </c>
      <c r="C51" s="576"/>
      <c r="D51" s="576"/>
      <c r="E51" s="576"/>
      <c r="F51" s="576"/>
      <c r="G51" s="295">
        <f>'2024'!S51</f>
        <v>10176096.35</v>
      </c>
      <c r="H51" s="295">
        <f>SUM('2024'!G127:K127)</f>
        <v>10445219.920000002</v>
      </c>
      <c r="I51" s="265">
        <f>G51-H51</f>
        <v>-269123.57000000216</v>
      </c>
      <c r="J51" s="269">
        <f t="shared" si="1"/>
        <v>-2.5765237310580447E-2</v>
      </c>
      <c r="K51" s="295">
        <f>SUM('2023'!G51:K51)</f>
        <v>6015229.7400000002</v>
      </c>
      <c r="L51" s="271">
        <f t="shared" si="7"/>
        <v>4160866.6099999994</v>
      </c>
      <c r="M51" s="478">
        <f t="shared" si="2"/>
        <v>0.69172197735543173</v>
      </c>
      <c r="N51" s="295">
        <f>'2024'!K51</f>
        <v>1777330.8200000003</v>
      </c>
      <c r="O51" s="295">
        <f>'2024'!K127</f>
        <v>1939820.9100000001</v>
      </c>
      <c r="P51" s="265">
        <f>N51-O51</f>
        <v>-162490.08999999985</v>
      </c>
      <c r="Q51" s="269">
        <f t="shared" si="3"/>
        <v>-8.3765511116178137E-2</v>
      </c>
      <c r="R51" s="295">
        <f>'2023'!K51</f>
        <v>1075171.3999999999</v>
      </c>
      <c r="S51" s="271">
        <f>+N51-R51</f>
        <v>702159.42000000039</v>
      </c>
      <c r="T51" s="478">
        <f t="shared" si="5"/>
        <v>0.65306742720277011</v>
      </c>
      <c r="W51" s="470"/>
      <c r="Y51" s="470"/>
    </row>
    <row r="52" spans="1:25" ht="15.75" thickBot="1">
      <c r="A52" s="129">
        <v>1005</v>
      </c>
      <c r="B52" s="575" t="str">
        <f>+VLOOKUP($A52,Master!$D$30:$G$228,4,FALSE)</f>
        <v>Neto povećanje obaveza</v>
      </c>
      <c r="C52" s="576"/>
      <c r="D52" s="576"/>
      <c r="E52" s="576"/>
      <c r="F52" s="576"/>
      <c r="G52" s="148">
        <f>'2024'!S52</f>
        <v>0</v>
      </c>
      <c r="H52" s="148">
        <f>SUM('2024'!G128:K128)</f>
        <v>0</v>
      </c>
      <c r="I52" s="265">
        <f>G52-H52</f>
        <v>0</v>
      </c>
      <c r="J52" s="269" t="str">
        <f t="shared" si="1"/>
        <v>...</v>
      </c>
      <c r="K52" s="148">
        <f>SUM('2023'!G52:K52)</f>
        <v>0</v>
      </c>
      <c r="L52" s="271">
        <f t="shared" si="7"/>
        <v>0</v>
      </c>
      <c r="M52" s="478" t="str">
        <f t="shared" si="2"/>
        <v>...</v>
      </c>
      <c r="N52" s="148">
        <f>'2024'!K52</f>
        <v>0</v>
      </c>
      <c r="O52" s="148">
        <f>'2024'!K128</f>
        <v>0</v>
      </c>
      <c r="P52" s="265">
        <f>N52-O52</f>
        <v>0</v>
      </c>
      <c r="Q52" s="269" t="str">
        <f t="shared" si="3"/>
        <v>...</v>
      </c>
      <c r="R52" s="148">
        <f>'2023'!K52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>'2024'!S53</f>
        <v>33058043.610000044</v>
      </c>
      <c r="H53" s="136">
        <f>SUM('2024'!G129:K129)</f>
        <v>-141361932.09716398</v>
      </c>
      <c r="I53" s="299">
        <f>+G53-H53</f>
        <v>174419975.70716402</v>
      </c>
      <c r="J53" s="270">
        <f t="shared" si="1"/>
        <v>-1.23385393167432</v>
      </c>
      <c r="K53" s="136">
        <f>SUM('2023'!G53:K53)</f>
        <v>108973107.33000013</v>
      </c>
      <c r="L53" s="272">
        <f t="shared" si="7"/>
        <v>-75915063.720000088</v>
      </c>
      <c r="M53" s="479">
        <f t="shared" si="2"/>
        <v>-0.69664035081709363</v>
      </c>
      <c r="N53" s="136">
        <f>'2024'!K53</f>
        <v>-21558845.190000057</v>
      </c>
      <c r="O53" s="136">
        <f>'2024'!K129</f>
        <v>-39592021.676653296</v>
      </c>
      <c r="P53" s="299">
        <f>N53-O53</f>
        <v>18033176.486653239</v>
      </c>
      <c r="Q53" s="270">
        <f t="shared" si="3"/>
        <v>-0.45547501044350758</v>
      </c>
      <c r="R53" s="136">
        <f>'2023'!K53</f>
        <v>-3250327.8099999726</v>
      </c>
      <c r="S53" s="272">
        <f t="shared" si="4"/>
        <v>-18308517.380000085</v>
      </c>
      <c r="T53" s="479" t="str">
        <f t="shared" si="5"/>
        <v>...</v>
      </c>
      <c r="W53" s="470"/>
      <c r="Y53" s="470"/>
    </row>
    <row r="54" spans="1:25" ht="15.7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36">
        <f>'2024'!S54</f>
        <v>87629997.200000048</v>
      </c>
      <c r="H54" s="136">
        <f>SUM('2024'!G130:K130)</f>
        <v>-81964897.917163968</v>
      </c>
      <c r="I54" s="191">
        <f t="shared" si="0"/>
        <v>169594895.11716402</v>
      </c>
      <c r="J54" s="193">
        <f t="shared" si="1"/>
        <v>-2.0691161634650164</v>
      </c>
      <c r="K54" s="136">
        <f>SUM('2023'!G54:K54)</f>
        <v>154922090.44000015</v>
      </c>
      <c r="L54" s="191">
        <f t="shared" si="7"/>
        <v>-67292093.240000099</v>
      </c>
      <c r="M54" s="195">
        <f t="shared" si="2"/>
        <v>-0.43436086518637373</v>
      </c>
      <c r="N54" s="136">
        <f>'2024'!K54</f>
        <v>-13486118.600000057</v>
      </c>
      <c r="O54" s="136">
        <f>'2024'!K130</f>
        <v>-24894142.436653294</v>
      </c>
      <c r="P54" s="191">
        <f t="shared" si="6"/>
        <v>11408023.836653236</v>
      </c>
      <c r="Q54" s="193">
        <f t="shared" si="3"/>
        <v>-0.45826137074946782</v>
      </c>
      <c r="R54" s="136">
        <f>'2023'!K54</f>
        <v>11425055.700000027</v>
      </c>
      <c r="S54" s="191">
        <f t="shared" si="4"/>
        <v>-24911174.300000086</v>
      </c>
      <c r="T54" s="195">
        <f t="shared" si="5"/>
        <v>-2.1803984990637746</v>
      </c>
      <c r="W54" s="470"/>
      <c r="Y54" s="470"/>
    </row>
    <row r="55" spans="1:25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460">
        <f>'2024'!S55</f>
        <v>257595690.5</v>
      </c>
      <c r="H55" s="460">
        <f>SUM('2024'!G131:K131)</f>
        <v>267668287.04000002</v>
      </c>
      <c r="I55" s="461">
        <f t="shared" si="0"/>
        <v>-10072596.540000021</v>
      </c>
      <c r="J55" s="462">
        <f t="shared" si="1"/>
        <v>-3.7630892517703352E-2</v>
      </c>
      <c r="K55" s="460">
        <f>SUM('2023'!G55:K55)</f>
        <v>143615199.38999999</v>
      </c>
      <c r="L55" s="461">
        <f t="shared" si="7"/>
        <v>113980491.11000001</v>
      </c>
      <c r="M55" s="480">
        <f t="shared" si="2"/>
        <v>0.79365200615344156</v>
      </c>
      <c r="N55" s="460">
        <f>'2024'!K55</f>
        <v>39194399.359999999</v>
      </c>
      <c r="O55" s="460">
        <f>'2024'!K131</f>
        <v>55363179.799999997</v>
      </c>
      <c r="P55" s="461">
        <f t="shared" si="6"/>
        <v>-16168780.439999998</v>
      </c>
      <c r="Q55" s="462">
        <f t="shared" si="3"/>
        <v>-0.29204934576391506</v>
      </c>
      <c r="R55" s="460">
        <f>'2023'!K55</f>
        <v>91927760.939999998</v>
      </c>
      <c r="S55" s="461">
        <f t="shared" si="4"/>
        <v>-52733361.579999998</v>
      </c>
      <c r="T55" s="480">
        <f t="shared" si="5"/>
        <v>-0.57363913839279035</v>
      </c>
      <c r="W55" s="470"/>
      <c r="Y55" s="470"/>
    </row>
    <row r="56" spans="1:25">
      <c r="A56" s="129">
        <v>4611</v>
      </c>
      <c r="B56" s="557" t="str">
        <f>+VLOOKUP($A56,Master!$D$30:$G$226,4,FALSE)</f>
        <v>Otplata hartija od vrijednosti i kredita rezidentima</v>
      </c>
      <c r="C56" s="558"/>
      <c r="D56" s="558"/>
      <c r="E56" s="558"/>
      <c r="F56" s="558"/>
      <c r="G56" s="148">
        <f>'2024'!S56</f>
        <v>134429535.44</v>
      </c>
      <c r="H56" s="148">
        <f>SUM('2024'!G132:K132)</f>
        <v>133779696.06999999</v>
      </c>
      <c r="I56" s="197">
        <f t="shared" si="0"/>
        <v>649839.37000000477</v>
      </c>
      <c r="J56" s="199">
        <f t="shared" si="1"/>
        <v>4.857533610032938E-3</v>
      </c>
      <c r="K56" s="148">
        <f>SUM('2023'!G56:K56)</f>
        <v>52661334.420000002</v>
      </c>
      <c r="L56" s="197">
        <f t="shared" si="7"/>
        <v>81768201.019999996</v>
      </c>
      <c r="M56" s="201">
        <f t="shared" si="2"/>
        <v>1.5527179840878782</v>
      </c>
      <c r="N56" s="148">
        <f>'2024'!K56</f>
        <v>9858911.2700000014</v>
      </c>
      <c r="O56" s="148">
        <f>'2024'!K132</f>
        <v>9862224.459999999</v>
      </c>
      <c r="P56" s="197">
        <f t="shared" si="6"/>
        <v>-3313.1899999976158</v>
      </c>
      <c r="Q56" s="199">
        <f t="shared" si="3"/>
        <v>-3.3594753530863386E-4</v>
      </c>
      <c r="R56" s="148">
        <f>'2023'!K56</f>
        <v>44621033.690000005</v>
      </c>
      <c r="S56" s="197">
        <f t="shared" si="4"/>
        <v>-34762122.420000002</v>
      </c>
      <c r="T56" s="201">
        <f t="shared" si="5"/>
        <v>-0.77905237833588159</v>
      </c>
      <c r="W56" s="470"/>
      <c r="Y56" s="470"/>
    </row>
    <row r="57" spans="1:25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48">
        <f>'2024'!S57</f>
        <v>123166155.06</v>
      </c>
      <c r="H57" s="148">
        <f>SUM('2024'!G133:K133)</f>
        <v>133888590.97</v>
      </c>
      <c r="I57" s="197">
        <f t="shared" si="0"/>
        <v>-10722435.909999996</v>
      </c>
      <c r="J57" s="199">
        <f t="shared" si="1"/>
        <v>-8.0084761758397627E-2</v>
      </c>
      <c r="K57" s="148">
        <f>SUM('2023'!G57:K57)</f>
        <v>90953864.969999999</v>
      </c>
      <c r="L57" s="197">
        <f t="shared" si="7"/>
        <v>32212290.090000004</v>
      </c>
      <c r="M57" s="201">
        <f t="shared" si="2"/>
        <v>0.35416076161936405</v>
      </c>
      <c r="N57" s="148">
        <f>'2024'!K57</f>
        <v>29335488.09</v>
      </c>
      <c r="O57" s="148">
        <f>'2024'!K133</f>
        <v>45500955.339999996</v>
      </c>
      <c r="P57" s="197">
        <f t="shared" si="6"/>
        <v>-16165467.249999996</v>
      </c>
      <c r="Q57" s="199">
        <f t="shared" si="3"/>
        <v>-0.35527753492658865</v>
      </c>
      <c r="R57" s="148">
        <f>'2023'!K57</f>
        <v>47306727.25</v>
      </c>
      <c r="S57" s="197">
        <f t="shared" si="4"/>
        <v>-17971239.16</v>
      </c>
      <c r="T57" s="201">
        <f t="shared" si="5"/>
        <v>-0.37988760171525071</v>
      </c>
      <c r="W57" s="470"/>
      <c r="Y57" s="470"/>
    </row>
    <row r="58" spans="1:25" ht="15.75" thickBot="1">
      <c r="A58" s="129">
        <v>4418</v>
      </c>
      <c r="B58" s="585" t="str">
        <f>+VLOOKUP($A58,Master!$D$30:$G$226,4,FALSE)</f>
        <v>Izdaci za kupovinu hartija od vrijednosti</v>
      </c>
      <c r="C58" s="586"/>
      <c r="D58" s="586"/>
      <c r="E58" s="586"/>
      <c r="F58" s="586"/>
      <c r="G58" s="313">
        <f>'2024'!S58</f>
        <v>2905762.95</v>
      </c>
      <c r="H58" s="313">
        <f>SUM('2024'!G134:K134)</f>
        <v>1200000.7999999998</v>
      </c>
      <c r="I58" s="314">
        <f t="shared" ref="I58:I66" si="9">+G58-H58</f>
        <v>1705762.1500000004</v>
      </c>
      <c r="J58" s="315">
        <f t="shared" si="1"/>
        <v>1.4214675106883266</v>
      </c>
      <c r="K58" s="313">
        <f>SUM('2023'!G58:K58)</f>
        <v>614939.4</v>
      </c>
      <c r="L58" s="314">
        <f t="shared" ref="L58:L66" si="10">+G58-K58</f>
        <v>2290823.5500000003</v>
      </c>
      <c r="M58" s="481" t="str">
        <f t="shared" si="2"/>
        <v>...</v>
      </c>
      <c r="N58" s="313">
        <f>'2024'!K58</f>
        <v>1495372.19</v>
      </c>
      <c r="O58" s="313">
        <f>'2024'!K134</f>
        <v>0.16</v>
      </c>
      <c r="P58" s="314">
        <f t="shared" ref="P58:P66" si="11">+N58-O58</f>
        <v>1495372.03</v>
      </c>
      <c r="Q58" s="315" t="str">
        <f t="shared" si="3"/>
        <v>...</v>
      </c>
      <c r="R58" s="313">
        <f>'2023'!K58</f>
        <v>118566.42</v>
      </c>
      <c r="S58" s="314">
        <f t="shared" ref="S58:S66" si="12">+N58-R58</f>
        <v>1376805.77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313">
        <f>'2024'!S59</f>
        <v>3775013.28</v>
      </c>
      <c r="H59" s="313">
        <f>SUM('2024'!G135:K135)</f>
        <v>2127773.02</v>
      </c>
      <c r="I59" s="314">
        <f t="shared" si="9"/>
        <v>1647240.2599999998</v>
      </c>
      <c r="J59" s="315">
        <f t="shared" si="1"/>
        <v>0.77416164436561941</v>
      </c>
      <c r="K59" s="313">
        <f>SUM('2023'!G59:K59)</f>
        <v>5769508.3899999997</v>
      </c>
      <c r="L59" s="314">
        <f t="shared" si="10"/>
        <v>-1994495.1099999999</v>
      </c>
      <c r="M59" s="481">
        <f t="shared" si="2"/>
        <v>-0.34569585052635654</v>
      </c>
      <c r="N59" s="313">
        <f>'2024'!K59</f>
        <v>667226.13</v>
      </c>
      <c r="O59" s="313">
        <f>'2024'!K135</f>
        <v>524490.84</v>
      </c>
      <c r="P59" s="314">
        <f t="shared" si="11"/>
        <v>142735.29000000004</v>
      </c>
      <c r="Q59" s="315">
        <f t="shared" si="3"/>
        <v>0.27214067265693354</v>
      </c>
      <c r="R59" s="313">
        <f>'2023'!K59</f>
        <v>510581.47</v>
      </c>
      <c r="S59" s="314">
        <f t="shared" si="12"/>
        <v>156644.66000000003</v>
      </c>
      <c r="T59" s="481">
        <f t="shared" si="5"/>
        <v>0.30679660192133507</v>
      </c>
      <c r="W59" s="470"/>
      <c r="Y59" s="470"/>
    </row>
    <row r="60" spans="1:25" ht="15.7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98">
        <f>'2024'!S60</f>
        <v>-231218423.11999995</v>
      </c>
      <c r="H60" s="298">
        <f>SUM('2024'!G136:K136)</f>
        <v>-412357992.95716399</v>
      </c>
      <c r="I60" s="300">
        <f t="shared" si="9"/>
        <v>181139569.83716404</v>
      </c>
      <c r="J60" s="301">
        <f t="shared" si="1"/>
        <v>-0.43927745534444129</v>
      </c>
      <c r="K60" s="298">
        <f>SUM('2023'!G60:K60)</f>
        <v>-41026539.849999875</v>
      </c>
      <c r="L60" s="300">
        <f>+G60-K60</f>
        <v>-190191883.27000007</v>
      </c>
      <c r="M60" s="482" t="str">
        <f t="shared" si="2"/>
        <v>...</v>
      </c>
      <c r="N60" s="298">
        <f>'2024'!K60</f>
        <v>-62915842.870000057</v>
      </c>
      <c r="O60" s="298">
        <f>'2024'!K136</f>
        <v>-95479692.476653293</v>
      </c>
      <c r="P60" s="300">
        <f t="shared" si="11"/>
        <v>32563849.606653236</v>
      </c>
      <c r="Q60" s="301">
        <f t="shared" si="3"/>
        <v>-0.34105524182135116</v>
      </c>
      <c r="R60" s="298">
        <f>'2023'!K60</f>
        <v>-95807236.639999971</v>
      </c>
      <c r="S60" s="300">
        <f t="shared" si="12"/>
        <v>32891393.769999914</v>
      </c>
      <c r="T60" s="482">
        <f t="shared" si="5"/>
        <v>-0.34330803103726726</v>
      </c>
      <c r="W60" s="470"/>
      <c r="Y60" s="470"/>
    </row>
    <row r="61" spans="1:25" ht="15.7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'2024'!S61</f>
        <v>231218423.11999997</v>
      </c>
      <c r="H61" s="136">
        <f>SUM('2024'!G137:K137)</f>
        <v>412357992.95716399</v>
      </c>
      <c r="I61" s="299">
        <f t="shared" si="9"/>
        <v>-181139569.83716401</v>
      </c>
      <c r="J61" s="302">
        <f t="shared" si="1"/>
        <v>-0.43927745534444118</v>
      </c>
      <c r="K61" s="136">
        <f>SUM('2023'!G61:K61)</f>
        <v>41026539.849999882</v>
      </c>
      <c r="L61" s="299">
        <f t="shared" si="10"/>
        <v>190191883.2700001</v>
      </c>
      <c r="M61" s="483" t="str">
        <f t="shared" si="2"/>
        <v>...</v>
      </c>
      <c r="N61" s="136">
        <f>'2024'!K61</f>
        <v>62915842.870000057</v>
      </c>
      <c r="O61" s="136">
        <f>'2024'!K137</f>
        <v>95479692.476653293</v>
      </c>
      <c r="P61" s="300">
        <f t="shared" si="11"/>
        <v>-32563849.606653236</v>
      </c>
      <c r="Q61" s="302">
        <f t="shared" si="3"/>
        <v>-0.34105524182135116</v>
      </c>
      <c r="R61" s="136">
        <f>'2023'!K61</f>
        <v>95807236.639999971</v>
      </c>
      <c r="S61" s="299">
        <f t="shared" si="12"/>
        <v>-32891393.769999914</v>
      </c>
      <c r="T61" s="483">
        <f t="shared" si="5"/>
        <v>-0.34330803103726726</v>
      </c>
      <c r="W61" s="470"/>
      <c r="Y61" s="470"/>
    </row>
    <row r="62" spans="1:25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148">
        <f>'2024'!S62</f>
        <v>0</v>
      </c>
      <c r="H62" s="148">
        <f>SUM('2024'!G138:K138)</f>
        <v>0</v>
      </c>
      <c r="I62" s="197">
        <f t="shared" si="9"/>
        <v>0</v>
      </c>
      <c r="J62" s="199" t="str">
        <f t="shared" si="1"/>
        <v>...</v>
      </c>
      <c r="K62" s="148">
        <f>SUM('2023'!G62:K62)</f>
        <v>0</v>
      </c>
      <c r="L62" s="197">
        <f t="shared" si="10"/>
        <v>0</v>
      </c>
      <c r="M62" s="201" t="str">
        <f t="shared" si="2"/>
        <v>...</v>
      </c>
      <c r="N62" s="148">
        <f>'2024'!K62</f>
        <v>0</v>
      </c>
      <c r="O62" s="148">
        <f>'2024'!K138</f>
        <v>0</v>
      </c>
      <c r="P62" s="197">
        <f t="shared" si="11"/>
        <v>0</v>
      </c>
      <c r="Q62" s="199" t="str">
        <f t="shared" si="3"/>
        <v>...</v>
      </c>
      <c r="R62" s="148">
        <f>'2023'!K62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57" t="str">
        <f>+VLOOKUP($A63,Master!$D$30:$G$226,4,FALSE)</f>
        <v>Pozajmice i krediti od inostranih izvora</v>
      </c>
      <c r="C63" s="558"/>
      <c r="D63" s="558"/>
      <c r="E63" s="558"/>
      <c r="F63" s="558"/>
      <c r="G63" s="148">
        <f>'2024'!S63</f>
        <v>698528359.3599999</v>
      </c>
      <c r="H63" s="148">
        <f>SUM('2024'!G139:K139)</f>
        <v>687000000</v>
      </c>
      <c r="I63" s="197">
        <f t="shared" si="9"/>
        <v>11528359.359999895</v>
      </c>
      <c r="J63" s="199">
        <f t="shared" si="1"/>
        <v>1.6780726870451179E-2</v>
      </c>
      <c r="K63" s="148">
        <f>SUM('2023'!G63:K63)</f>
        <v>108644009.02999999</v>
      </c>
      <c r="L63" s="197">
        <f t="shared" si="10"/>
        <v>589884350.32999992</v>
      </c>
      <c r="M63" s="201" t="str">
        <f t="shared" si="2"/>
        <v>...</v>
      </c>
      <c r="N63" s="148">
        <f>'2024'!K63</f>
        <v>266766.86</v>
      </c>
      <c r="O63" s="148">
        <f>'2024'!K139</f>
        <v>0</v>
      </c>
      <c r="P63" s="197">
        <f t="shared" si="11"/>
        <v>266766.86</v>
      </c>
      <c r="Q63" s="199" t="str">
        <f t="shared" si="3"/>
        <v>...</v>
      </c>
      <c r="R63" s="148">
        <f>'2023'!K63</f>
        <v>1498639.75</v>
      </c>
      <c r="S63" s="197">
        <f t="shared" si="12"/>
        <v>-1231872.8900000001</v>
      </c>
      <c r="T63" s="201">
        <f t="shared" si="5"/>
        <v>-0.82199400489677388</v>
      </c>
      <c r="W63" s="470"/>
      <c r="Y63" s="470"/>
    </row>
    <row r="64" spans="1:25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148">
        <f>'2024'!S64</f>
        <v>676755.23</v>
      </c>
      <c r="H64" s="148">
        <f>SUM('2024'!G140:K140)</f>
        <v>2500000</v>
      </c>
      <c r="I64" s="197">
        <f t="shared" si="9"/>
        <v>-1823244.77</v>
      </c>
      <c r="J64" s="199">
        <f t="shared" si="1"/>
        <v>-0.72929790799999994</v>
      </c>
      <c r="K64" s="148">
        <f>SUM('2023'!G64:K64)</f>
        <v>1699534.9300000002</v>
      </c>
      <c r="L64" s="197">
        <f t="shared" si="10"/>
        <v>-1022779.7000000002</v>
      </c>
      <c r="M64" s="201">
        <f t="shared" si="2"/>
        <v>-0.60179975235931171</v>
      </c>
      <c r="N64" s="148">
        <f>'2024'!K64</f>
        <v>292415.26</v>
      </c>
      <c r="O64" s="148">
        <f>'2024'!K140</f>
        <v>500000</v>
      </c>
      <c r="P64" s="197">
        <f t="shared" si="11"/>
        <v>-207584.74</v>
      </c>
      <c r="Q64" s="199">
        <f t="shared" si="3"/>
        <v>-0.41516947999999998</v>
      </c>
      <c r="R64" s="148">
        <f>'2023'!K64</f>
        <v>634641.06000000006</v>
      </c>
      <c r="S64" s="197">
        <f t="shared" si="12"/>
        <v>-342225.80000000005</v>
      </c>
      <c r="T64" s="201">
        <f t="shared" si="5"/>
        <v>-0.53924308017511513</v>
      </c>
      <c r="W64" s="470"/>
      <c r="Y64" s="470"/>
    </row>
    <row r="65" spans="1:25">
      <c r="A65" s="129">
        <v>73</v>
      </c>
      <c r="B65" s="557" t="str">
        <f>+VLOOKUP($A65,Master!$D$30:$G$226,4,FALSE)</f>
        <v>Primici od otplate kredita i sredstva prenesena iz prethodne godine</v>
      </c>
      <c r="C65" s="558"/>
      <c r="D65" s="558"/>
      <c r="E65" s="558"/>
      <c r="F65" s="558"/>
      <c r="G65" s="148">
        <f>'2024'!S65</f>
        <v>5150812.25</v>
      </c>
      <c r="H65" s="148">
        <f>SUM('2024'!G141:K141)</f>
        <v>2195533.0610282104</v>
      </c>
      <c r="I65" s="197">
        <f t="shared" si="9"/>
        <v>2955279.1889717896</v>
      </c>
      <c r="J65" s="199">
        <f t="shared" si="1"/>
        <v>1.3460417615336548</v>
      </c>
      <c r="K65" s="148">
        <f>SUM('2023'!G65:K65)</f>
        <v>5402808.3599999994</v>
      </c>
      <c r="L65" s="197">
        <f t="shared" si="10"/>
        <v>-251996.1099999994</v>
      </c>
      <c r="M65" s="201">
        <f t="shared" si="2"/>
        <v>-4.6641689508305939E-2</v>
      </c>
      <c r="N65" s="148">
        <f>'2024'!K65</f>
        <v>1453164</v>
      </c>
      <c r="O65" s="148">
        <f>'2024'!K141</f>
        <v>953218.81017704192</v>
      </c>
      <c r="P65" s="197">
        <f t="shared" si="11"/>
        <v>499945.18982295808</v>
      </c>
      <c r="Q65" s="199">
        <f t="shared" si="3"/>
        <v>0.52448103676227587</v>
      </c>
      <c r="R65" s="148">
        <f>'2023'!K65</f>
        <v>1142213.31</v>
      </c>
      <c r="S65" s="197">
        <f t="shared" si="12"/>
        <v>310950.68999999994</v>
      </c>
      <c r="T65" s="201">
        <f t="shared" si="5"/>
        <v>0.27223521848121335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'2024'!S66</f>
        <v>-473137503.71999997</v>
      </c>
      <c r="H66" s="296">
        <f>SUM('2024'!G142:K142)</f>
        <v>-279337540.10386425</v>
      </c>
      <c r="I66" s="211">
        <f t="shared" si="9"/>
        <v>-193799963.61613572</v>
      </c>
      <c r="J66" s="213">
        <f t="shared" si="1"/>
        <v>0.6937841707350767</v>
      </c>
      <c r="K66" s="296">
        <f>SUM('2023'!G66:K66)</f>
        <v>-74719812.470000103</v>
      </c>
      <c r="L66" s="211">
        <f t="shared" si="10"/>
        <v>-398417691.24999988</v>
      </c>
      <c r="M66" s="215" t="str">
        <f t="shared" si="2"/>
        <v>...</v>
      </c>
      <c r="N66" s="296">
        <f>'2024'!K66</f>
        <v>60903496.75000006</v>
      </c>
      <c r="O66" s="296">
        <f>'2024'!K142</f>
        <v>94026473.66647625</v>
      </c>
      <c r="P66" s="211">
        <f t="shared" si="11"/>
        <v>-33122976.91647619</v>
      </c>
      <c r="Q66" s="213">
        <f t="shared" si="3"/>
        <v>-0.35227288257100398</v>
      </c>
      <c r="R66" s="296">
        <f>'2023'!K66</f>
        <v>92531742.519999966</v>
      </c>
      <c r="S66" s="211">
        <f t="shared" si="12"/>
        <v>-31628245.769999906</v>
      </c>
      <c r="T66" s="215">
        <f t="shared" si="5"/>
        <v>-0.34180968507281406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OJt2Qi8nrTSU0ms0k6hTR1zSDkY4zmHN+rX7qjEbz4W0a/WYnDR3SwWSg5azBmgv+we8qELy5Vqq8JkdF3smNQ==" saltValue="oMx7Q1M/9ixoqcxcr1Q9iA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K47" sqref="K4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2024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7034000000</v>
      </c>
    </row>
    <row r="8" spans="1:24" ht="16.5" customHeight="1">
      <c r="A8" s="129"/>
      <c r="B8" s="561"/>
      <c r="C8" s="562"/>
      <c r="D8" s="562"/>
      <c r="E8" s="562"/>
      <c r="F8" s="563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4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513">
        <f>G11+G19+G24+G25+G26+G27+G28</f>
        <v>153787966.31999999</v>
      </c>
      <c r="H10" s="513">
        <f t="shared" ref="H10:L10" si="2">+H11+H19+SUM(H24:H28)</f>
        <v>180248893.34</v>
      </c>
      <c r="I10" s="513">
        <f t="shared" si="2"/>
        <v>244549139.40000004</v>
      </c>
      <c r="J10" s="513">
        <f t="shared" si="2"/>
        <v>317573144.21000004</v>
      </c>
      <c r="K10" s="513">
        <f t="shared" si="2"/>
        <v>193250894.58999997</v>
      </c>
      <c r="L10" s="513">
        <f t="shared" si="2"/>
        <v>0</v>
      </c>
      <c r="M10" s="513">
        <f t="shared" ref="M10:R10" si="3">+M11+M19+SUM(M24:M28)</f>
        <v>0</v>
      </c>
      <c r="N10" s="513">
        <f t="shared" si="3"/>
        <v>0</v>
      </c>
      <c r="O10" s="513">
        <f t="shared" si="3"/>
        <v>0</v>
      </c>
      <c r="P10" s="513">
        <f t="shared" si="3"/>
        <v>0</v>
      </c>
      <c r="Q10" s="513">
        <f t="shared" si="3"/>
        <v>0</v>
      </c>
      <c r="R10" s="513">
        <f t="shared" si="3"/>
        <v>0</v>
      </c>
      <c r="S10" s="514">
        <f>+SUM(G10:R10)</f>
        <v>1089410037.8599999</v>
      </c>
      <c r="T10" s="515">
        <f>+S10/$T$7*100</f>
        <v>15.487774208984927</v>
      </c>
      <c r="V10" s="493"/>
    </row>
    <row r="11" spans="1:24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0</v>
      </c>
      <c r="M11" s="516">
        <f t="shared" ref="M11:R11" si="5">+SUM(M12:M18)</f>
        <v>0</v>
      </c>
      <c r="N11" s="516">
        <f t="shared" si="5"/>
        <v>0</v>
      </c>
      <c r="O11" s="516">
        <f t="shared" si="5"/>
        <v>0</v>
      </c>
      <c r="P11" s="516">
        <f t="shared" si="5"/>
        <v>0</v>
      </c>
      <c r="Q11" s="516">
        <f t="shared" si="5"/>
        <v>0</v>
      </c>
      <c r="R11" s="517">
        <f t="shared" si="5"/>
        <v>0</v>
      </c>
      <c r="S11" s="518">
        <f>+SUM(G11:R11)</f>
        <v>806310567.75999999</v>
      </c>
      <c r="T11" s="519">
        <f t="shared" ref="T11:T66" si="6">+S11/$T$7*100</f>
        <v>11.463044750639749</v>
      </c>
      <c r="V11" s="276"/>
    </row>
    <row r="12" spans="1:24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499">
        <f>VLOOKUP($A12,'[2]EKON prihodi mjes 2024'!$C$7:$Q$302,3,FALSE)</f>
        <v>1998079.1499999992</v>
      </c>
      <c r="H12" s="499">
        <f>VLOOKUP($A12,'[2]EKON prihodi mjes 2024'!$C$7:$Q$302,4,FALSE)</f>
        <v>6162755.9099999974</v>
      </c>
      <c r="I12" s="499">
        <f>VLOOKUP($A12,'[2]EKON prihodi mjes 2024'!$C$7:$Q$302,5,FALSE)</f>
        <v>6774640.8399999999</v>
      </c>
      <c r="J12" s="499">
        <f>VLOOKUP($A12,'[2]EKON prihodi mjes 2024'!$C$7:$Q$302,6,FALSE)</f>
        <v>9120679.6699999962</v>
      </c>
      <c r="K12" s="499">
        <f>VLOOKUP($A12,'[2]EKON prihodi mjes 2024'!$C$7:$Q$302,7,FALSE)</f>
        <v>7999182.8500000024</v>
      </c>
      <c r="L12" s="148"/>
      <c r="M12" s="148"/>
      <c r="N12" s="148"/>
      <c r="O12" s="148"/>
      <c r="P12" s="148"/>
      <c r="Q12" s="148"/>
      <c r="R12" s="148"/>
      <c r="S12" s="227">
        <f>+SUM(G12:R12)</f>
        <v>32055338.419999994</v>
      </c>
      <c r="T12" s="436">
        <f t="shared" si="6"/>
        <v>0.45571990929769685</v>
      </c>
    </row>
    <row r="13" spans="1:24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499">
        <f>VLOOKUP($A13,'[2]EKON prihodi mjes 2024'!$C$7:$Q$302,3,FALSE)</f>
        <v>1951464.9</v>
      </c>
      <c r="H13" s="499">
        <f>VLOOKUP($A13,'[2]EKON prihodi mjes 2024'!$C$7:$Q$302,4,FALSE)</f>
        <v>5771727.9400000023</v>
      </c>
      <c r="I13" s="499">
        <f>VLOOKUP($A13,'[2]EKON prihodi mjes 2024'!$C$7:$Q$302,5,FALSE)</f>
        <v>71210822.510000005</v>
      </c>
      <c r="J13" s="499">
        <f>VLOOKUP($A13,'[2]EKON prihodi mjes 2024'!$C$7:$Q$302,6,FALSE)</f>
        <v>100269900.83999997</v>
      </c>
      <c r="K13" s="499">
        <f>VLOOKUP($A13,'[2]EKON prihodi mjes 2024'!$C$7:$Q$302,7,FALSE)</f>
        <v>6533790.1499999994</v>
      </c>
      <c r="L13" s="148"/>
      <c r="M13" s="148"/>
      <c r="N13" s="148"/>
      <c r="O13" s="148"/>
      <c r="P13" s="148"/>
      <c r="Q13" s="148"/>
      <c r="R13" s="148"/>
      <c r="S13" s="227">
        <f t="shared" ref="S13:S65" si="7">+SUM(G13:R13)</f>
        <v>185737706.34</v>
      </c>
      <c r="T13" s="436">
        <f t="shared" si="6"/>
        <v>2.6405701782769406</v>
      </c>
      <c r="V13" s="276"/>
      <c r="W13" s="276"/>
      <c r="X13" s="494"/>
    </row>
    <row r="14" spans="1:24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499">
        <f>VLOOKUP($A14,'[2]EKON prihodi mjes 2024'!$C$7:$Q$302,3,FALSE)</f>
        <v>0</v>
      </c>
      <c r="H14" s="499">
        <f>VLOOKUP($A14,'[2]EKON prihodi mjes 2024'!$C$7:$Q$302,4,FALSE)</f>
        <v>0</v>
      </c>
      <c r="I14" s="499">
        <f>VLOOKUP($A14,'[2]EKON prihodi mjes 2024'!$C$7:$Q$302,5,FALSE)</f>
        <v>0</v>
      </c>
      <c r="J14" s="499">
        <f>VLOOKUP($A14,'[2]EKON prihodi mjes 2024'!$C$7:$Q$302,6,FALSE)</f>
        <v>0</v>
      </c>
      <c r="K14" s="499">
        <f>VLOOKUP($A14,'[2]EKON prihodi mjes 2024'!$C$7:$Q$302,7,FALSE)</f>
        <v>0</v>
      </c>
      <c r="L14" s="148"/>
      <c r="M14" s="148"/>
      <c r="N14" s="148"/>
      <c r="O14" s="148"/>
      <c r="P14" s="148"/>
      <c r="Q14" s="148"/>
      <c r="R14" s="148"/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499">
        <f>VLOOKUP($A15,'[2]EKON prihodi mjes 2024'!$C$7:$Q$302,3,FALSE)</f>
        <v>91572726.909999996</v>
      </c>
      <c r="H15" s="499">
        <f>VLOOKUP($A15,'[2]EKON prihodi mjes 2024'!$C$7:$Q$302,4,FALSE)</f>
        <v>81980319.979999989</v>
      </c>
      <c r="I15" s="499">
        <f>VLOOKUP($A15,'[2]EKON prihodi mjes 2024'!$C$7:$Q$302,5,FALSE)</f>
        <v>78800496.590000004</v>
      </c>
      <c r="J15" s="499">
        <f>VLOOKUP($A15,'[2]EKON prihodi mjes 2024'!$C$7:$Q$302,6,FALSE)</f>
        <v>94537941.62000002</v>
      </c>
      <c r="K15" s="499">
        <f>VLOOKUP($A15,'[2]EKON prihodi mjes 2024'!$C$7:$Q$302,7,FALSE)</f>
        <v>88184792.75</v>
      </c>
      <c r="L15" s="148"/>
      <c r="M15" s="148"/>
      <c r="N15" s="148"/>
      <c r="O15" s="148"/>
      <c r="P15" s="148"/>
      <c r="Q15" s="148"/>
      <c r="R15" s="148"/>
      <c r="S15" s="227">
        <f t="shared" si="7"/>
        <v>435076277.85000002</v>
      </c>
      <c r="T15" s="436">
        <f t="shared" si="6"/>
        <v>6.1853323549900487</v>
      </c>
      <c r="V15" s="276"/>
      <c r="W15" s="276"/>
      <c r="X15" s="494"/>
    </row>
    <row r="16" spans="1:24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499">
        <f>VLOOKUP($A16,'[2]EKON prihodi mjes 2024'!$C$7:$Q$302,3,FALSE)</f>
        <v>22556344.95999999</v>
      </c>
      <c r="H16" s="499">
        <f>VLOOKUP($A16,'[2]EKON prihodi mjes 2024'!$C$7:$Q$302,4,FALSE)</f>
        <v>22366846.550000004</v>
      </c>
      <c r="I16" s="499">
        <f>VLOOKUP($A16,'[2]EKON prihodi mjes 2024'!$C$7:$Q$302,5,FALSE)</f>
        <v>21994790.36999999</v>
      </c>
      <c r="J16" s="499">
        <f>VLOOKUP($A16,'[2]EKON prihodi mjes 2024'!$C$7:$Q$302,6,FALSE)</f>
        <v>26932676.209999997</v>
      </c>
      <c r="K16" s="499">
        <f>VLOOKUP($A16,'[2]EKON prihodi mjes 2024'!$C$7:$Q$302,7,FALSE)</f>
        <v>31723753.749999993</v>
      </c>
      <c r="L16" s="148"/>
      <c r="M16" s="148"/>
      <c r="N16" s="148"/>
      <c r="O16" s="148"/>
      <c r="P16" s="148"/>
      <c r="Q16" s="148"/>
      <c r="R16" s="148"/>
      <c r="S16" s="227">
        <f t="shared" si="7"/>
        <v>125574411.83999997</v>
      </c>
      <c r="T16" s="436">
        <f t="shared" si="6"/>
        <v>1.7852489599090131</v>
      </c>
      <c r="V16" s="276"/>
      <c r="W16" s="276"/>
      <c r="X16" s="494"/>
    </row>
    <row r="17" spans="1:24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499">
        <f>VLOOKUP($A17,'[2]EKON prihodi mjes 2024'!$C$7:$Q$302,3,FALSE)</f>
        <v>2997811.1100000008</v>
      </c>
      <c r="H17" s="499">
        <f>VLOOKUP($A17,'[2]EKON prihodi mjes 2024'!$C$7:$Q$302,4,FALSE)</f>
        <v>3849203.2799999993</v>
      </c>
      <c r="I17" s="499">
        <f>VLOOKUP($A17,'[2]EKON prihodi mjes 2024'!$C$7:$Q$302,5,FALSE)</f>
        <v>4636318.0900000017</v>
      </c>
      <c r="J17" s="499">
        <f>VLOOKUP($A17,'[2]EKON prihodi mjes 2024'!$C$7:$Q$302,6,FALSE)</f>
        <v>5632584.1600000011</v>
      </c>
      <c r="K17" s="499">
        <f>VLOOKUP($A17,'[2]EKON prihodi mjes 2024'!$C$7:$Q$302,7,FALSE)</f>
        <v>5010618.790000001</v>
      </c>
      <c r="L17" s="148"/>
      <c r="M17" s="148"/>
      <c r="N17" s="148"/>
      <c r="O17" s="148"/>
      <c r="P17" s="148"/>
      <c r="Q17" s="148"/>
      <c r="R17" s="148"/>
      <c r="S17" s="227">
        <f t="shared" si="7"/>
        <v>22126535.430000007</v>
      </c>
      <c r="T17" s="436">
        <f t="shared" si="6"/>
        <v>0.31456547384134215</v>
      </c>
      <c r="V17" s="276"/>
      <c r="W17" s="276"/>
      <c r="X17" s="494"/>
    </row>
    <row r="18" spans="1:24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499">
        <f>VLOOKUP($A18,'[2]EKON prihodi mjes 2024'!$C$7:$Q$302,3,FALSE)</f>
        <v>935525.02999999968</v>
      </c>
      <c r="H18" s="499">
        <f>VLOOKUP($A18,'[2]EKON prihodi mjes 2024'!$C$7:$Q$302,4,FALSE)</f>
        <v>1177745.5100000002</v>
      </c>
      <c r="I18" s="499">
        <f>VLOOKUP($A18,'[2]EKON prihodi mjes 2024'!$C$7:$Q$302,5,FALSE)</f>
        <v>1140306.55</v>
      </c>
      <c r="J18" s="499">
        <f>VLOOKUP($A18,'[2]EKON prihodi mjes 2024'!$C$7:$Q$302,6,FALSE)</f>
        <v>1213350.5000000002</v>
      </c>
      <c r="K18" s="499">
        <f>VLOOKUP($A18,'[2]EKON prihodi mjes 2024'!$C$7:$Q$302,7,FALSE)</f>
        <v>1273370.2899999998</v>
      </c>
      <c r="L18" s="148"/>
      <c r="M18" s="148"/>
      <c r="N18" s="148"/>
      <c r="O18" s="148"/>
      <c r="P18" s="148"/>
      <c r="Q18" s="148"/>
      <c r="R18" s="148"/>
      <c r="S18" s="227">
        <f t="shared" si="7"/>
        <v>5740297.8799999999</v>
      </c>
      <c r="T18" s="436">
        <f t="shared" si="6"/>
        <v>8.1607874324708549E-2</v>
      </c>
      <c r="V18" s="276"/>
      <c r="W18" s="276"/>
      <c r="X18" s="494"/>
    </row>
    <row r="19" spans="1:24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0</v>
      </c>
      <c r="M19" s="520">
        <f t="shared" ref="M19:R19" si="10">SUM(M20:M23)</f>
        <v>0</v>
      </c>
      <c r="N19" s="520">
        <f t="shared" si="10"/>
        <v>0</v>
      </c>
      <c r="O19" s="520">
        <f t="shared" si="10"/>
        <v>0</v>
      </c>
      <c r="P19" s="520">
        <f t="shared" si="10"/>
        <v>0</v>
      </c>
      <c r="Q19" s="520">
        <f t="shared" si="10"/>
        <v>0</v>
      </c>
      <c r="R19" s="520">
        <f t="shared" si="10"/>
        <v>0</v>
      </c>
      <c r="S19" s="521">
        <f t="shared" si="7"/>
        <v>217388191.4300001</v>
      </c>
      <c r="T19" s="522">
        <f t="shared" si="6"/>
        <v>3.0905344246516933</v>
      </c>
      <c r="V19" s="276"/>
      <c r="W19" s="276"/>
      <c r="X19" s="494"/>
    </row>
    <row r="20" spans="1:24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499">
        <f>VLOOKUP($A20,'[2]EKON prihodi mjes 2024'!$C$7:$Q$302,3,FALSE)</f>
        <v>12277377.310000004</v>
      </c>
      <c r="H20" s="499">
        <f>VLOOKUP($A20,'[2]EKON prihodi mjes 2024'!$C$7:$Q$302,4,FALSE)</f>
        <v>47091163.350000009</v>
      </c>
      <c r="I20" s="499">
        <f>VLOOKUP($A20,'[2]EKON prihodi mjes 2024'!$C$7:$Q$302,5,FALSE)</f>
        <v>45892077.740000017</v>
      </c>
      <c r="J20" s="499">
        <f>VLOOKUP($A20,'[2]EKON prihodi mjes 2024'!$C$7:$Q$302,6,FALSE)</f>
        <v>53612426.220000051</v>
      </c>
      <c r="K20" s="499">
        <f>VLOOKUP($A20,'[2]EKON prihodi mjes 2024'!$C$7:$Q$302,7,FALSE)</f>
        <v>40659761.590000004</v>
      </c>
      <c r="L20" s="148"/>
      <c r="M20" s="148"/>
      <c r="N20" s="148"/>
      <c r="O20" s="148"/>
      <c r="P20" s="148"/>
      <c r="Q20" s="148"/>
      <c r="R20" s="148"/>
      <c r="S20" s="227">
        <f>+SUM(G20:R20)</f>
        <v>199532806.2100001</v>
      </c>
      <c r="T20" s="436">
        <f t="shared" si="6"/>
        <v>2.8366904493886849</v>
      </c>
      <c r="V20" s="276"/>
      <c r="W20" s="276"/>
      <c r="X20" s="494"/>
    </row>
    <row r="21" spans="1:24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499">
        <f>VLOOKUP($A21,'[2]EKON prihodi mjes 2024'!$C$7:$Q$302,3,FALSE)</f>
        <v>307850.36</v>
      </c>
      <c r="H21" s="499">
        <f>VLOOKUP($A21,'[2]EKON prihodi mjes 2024'!$C$7:$Q$302,4,FALSE)</f>
        <v>382153.79999999981</v>
      </c>
      <c r="I21" s="499">
        <f>VLOOKUP($A21,'[2]EKON prihodi mjes 2024'!$C$7:$Q$302,5,FALSE)</f>
        <v>494660.43000000023</v>
      </c>
      <c r="J21" s="499">
        <f>VLOOKUP($A21,'[2]EKON prihodi mjes 2024'!$C$7:$Q$302,6,FALSE)</f>
        <v>456232.43000000005</v>
      </c>
      <c r="K21" s="499">
        <f>VLOOKUP($A21,'[2]EKON prihodi mjes 2024'!$C$7:$Q$302,7,FALSE)</f>
        <v>296984.01999999996</v>
      </c>
      <c r="L21" s="148"/>
      <c r="M21" s="148"/>
      <c r="N21" s="148"/>
      <c r="O21" s="148"/>
      <c r="P21" s="148"/>
      <c r="Q21" s="148"/>
      <c r="R21" s="148"/>
      <c r="S21" s="227">
        <f t="shared" si="7"/>
        <v>1937881.04</v>
      </c>
      <c r="T21" s="436">
        <f t="shared" si="6"/>
        <v>2.7550199601933466E-2</v>
      </c>
      <c r="V21" s="276"/>
      <c r="W21" s="276"/>
      <c r="X21" s="494"/>
    </row>
    <row r="22" spans="1:24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499">
        <f>VLOOKUP($A22,'[2]EKON prihodi mjes 2024'!$C$7:$Q$302,3,FALSE)</f>
        <v>569229.31000000017</v>
      </c>
      <c r="H22" s="499">
        <f>VLOOKUP($A22,'[2]EKON prihodi mjes 2024'!$C$7:$Q$302,4,FALSE)</f>
        <v>2203988.56</v>
      </c>
      <c r="I22" s="499">
        <f>VLOOKUP($A22,'[2]EKON prihodi mjes 2024'!$C$7:$Q$302,5,FALSE)</f>
        <v>2137007.6800000002</v>
      </c>
      <c r="J22" s="499">
        <f>VLOOKUP($A22,'[2]EKON prihodi mjes 2024'!$C$7:$Q$302,6,FALSE)</f>
        <v>2464722.0799999996</v>
      </c>
      <c r="K22" s="499">
        <f>VLOOKUP($A22,'[2]EKON prihodi mjes 2024'!$C$7:$Q$302,7,FALSE)</f>
        <v>1910648.6899999997</v>
      </c>
      <c r="L22" s="148"/>
      <c r="M22" s="148"/>
      <c r="N22" s="148"/>
      <c r="O22" s="148"/>
      <c r="P22" s="148"/>
      <c r="Q22" s="148"/>
      <c r="R22" s="148"/>
      <c r="S22" s="227">
        <f t="shared" si="7"/>
        <v>9285596.3200000003</v>
      </c>
      <c r="T22" s="436">
        <f t="shared" si="6"/>
        <v>0.13201018367927211</v>
      </c>
    </row>
    <row r="23" spans="1:24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499">
        <f>VLOOKUP($A23,'[2]EKON prihodi mjes 2024'!$C$7:$Q$302,3,FALSE)</f>
        <v>393756.44</v>
      </c>
      <c r="H23" s="499">
        <f>VLOOKUP($A23,'[2]EKON prihodi mjes 2024'!$C$7:$Q$302,4,FALSE)</f>
        <v>1531996.2499999995</v>
      </c>
      <c r="I23" s="499">
        <f>VLOOKUP($A23,'[2]EKON prihodi mjes 2024'!$C$7:$Q$302,5,FALSE)</f>
        <v>1555417.1400000006</v>
      </c>
      <c r="J23" s="499">
        <f>VLOOKUP($A23,'[2]EKON prihodi mjes 2024'!$C$7:$Q$302,6,FALSE)</f>
        <v>1778698.9200000009</v>
      </c>
      <c r="K23" s="499">
        <f>VLOOKUP($A23,'[2]EKON prihodi mjes 2024'!$C$7:$Q$302,7,FALSE)</f>
        <v>1372039.1099999996</v>
      </c>
      <c r="L23" s="148"/>
      <c r="M23" s="148"/>
      <c r="N23" s="148"/>
      <c r="O23" s="148"/>
      <c r="P23" s="148"/>
      <c r="Q23" s="148"/>
      <c r="R23" s="148"/>
      <c r="S23" s="227">
        <f t="shared" si="7"/>
        <v>6631907.8600000003</v>
      </c>
      <c r="T23" s="436">
        <f t="shared" si="6"/>
        <v>9.4283591981802681E-2</v>
      </c>
      <c r="V23" s="495"/>
      <c r="W23" s="495"/>
      <c r="X23" s="494"/>
    </row>
    <row r="24" spans="1:24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f>VLOOKUP($A24,'[2]EKON prihodi mjes 2024'!$C$7:$Q$302,3,FALSE)</f>
        <v>859681.08999999973</v>
      </c>
      <c r="H24" s="160">
        <f>VLOOKUP($A24,'[2]EKON prihodi mjes 2024'!$C$7:$Q$302,4,FALSE)</f>
        <v>998586.78</v>
      </c>
      <c r="I24" s="160">
        <f>VLOOKUP($A24,'[2]EKON prihodi mjes 2024'!$C$7:$Q$302,5,FALSE)</f>
        <v>986568.82999999984</v>
      </c>
      <c r="J24" s="160">
        <f>VLOOKUP($A24,'[2]EKON prihodi mjes 2024'!$C$7:$Q$302,6,FALSE)</f>
        <v>1424375.75</v>
      </c>
      <c r="K24" s="160">
        <f>VLOOKUP($A24,'[2]EKON prihodi mjes 2024'!$C$7:$Q$302,7,FALSE)</f>
        <v>1204264.57</v>
      </c>
      <c r="L24" s="523"/>
      <c r="M24" s="523"/>
      <c r="N24" s="523"/>
      <c r="O24" s="523"/>
      <c r="P24" s="523"/>
      <c r="Q24" s="523"/>
      <c r="R24" s="523"/>
      <c r="S24" s="521">
        <f t="shared" si="7"/>
        <v>5473477.0199999996</v>
      </c>
      <c r="T24" s="522">
        <f t="shared" si="6"/>
        <v>7.7814572362809212E-2</v>
      </c>
    </row>
    <row r="25" spans="1:24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f>VLOOKUP($A25,'[2]EKON prihodi mjes 2024'!$C$7:$Q$302,3,FALSE)</f>
        <v>2491580.6799999997</v>
      </c>
      <c r="H25" s="160">
        <f>VLOOKUP($A25,'[2]EKON prihodi mjes 2024'!$C$7:$Q$302,4,FALSE)</f>
        <v>4111753.23</v>
      </c>
      <c r="I25" s="160">
        <f>VLOOKUP($A25,'[2]EKON prihodi mjes 2024'!$C$7:$Q$302,5,FALSE)</f>
        <v>3497306.5900000008</v>
      </c>
      <c r="J25" s="160">
        <f>VLOOKUP($A25,'[2]EKON prihodi mjes 2024'!$C$7:$Q$302,6,FALSE)</f>
        <v>5307671.1800000034</v>
      </c>
      <c r="K25" s="160">
        <f>VLOOKUP($A25,'[2]EKON prihodi mjes 2024'!$C$7:$Q$302,7,FALSE)</f>
        <v>3457943.4000000004</v>
      </c>
      <c r="L25" s="523"/>
      <c r="M25" s="523"/>
      <c r="N25" s="523"/>
      <c r="O25" s="523"/>
      <c r="P25" s="523"/>
      <c r="Q25" s="523"/>
      <c r="R25" s="523"/>
      <c r="S25" s="521">
        <f t="shared" si="7"/>
        <v>18866255.080000006</v>
      </c>
      <c r="T25" s="522">
        <f t="shared" si="6"/>
        <v>0.26821517031560993</v>
      </c>
    </row>
    <row r="26" spans="1:24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f>VLOOKUP($A26,'[2]EKON prihodi mjes 2024'!$C$7:$Q$302,3,FALSE)</f>
        <v>10644214.710000003</v>
      </c>
      <c r="H26" s="160">
        <f>VLOOKUP($A26,'[2]EKON prihodi mjes 2024'!$C$7:$Q$302,4,FALSE)</f>
        <v>2506716.4700000007</v>
      </c>
      <c r="I26" s="160">
        <f>VLOOKUP($A26,'[2]EKON prihodi mjes 2024'!$C$7:$Q$302,5,FALSE)</f>
        <v>2146524.8099999996</v>
      </c>
      <c r="J26" s="160">
        <f>VLOOKUP($A26,'[2]EKON prihodi mjes 2024'!$C$7:$Q$302,6,FALSE)</f>
        <v>12835632.449999999</v>
      </c>
      <c r="K26" s="160">
        <f>VLOOKUP($A26,'[2]EKON prihodi mjes 2024'!$C$7:$Q$302,7,FALSE)</f>
        <v>2024814.9499999983</v>
      </c>
      <c r="L26" s="523"/>
      <c r="M26" s="523"/>
      <c r="N26" s="523"/>
      <c r="O26" s="523"/>
      <c r="P26" s="523"/>
      <c r="Q26" s="523"/>
      <c r="R26" s="523"/>
      <c r="S26" s="521">
        <f t="shared" si="7"/>
        <v>30157903.390000001</v>
      </c>
      <c r="T26" s="522">
        <f t="shared" si="6"/>
        <v>0.42874471694626104</v>
      </c>
    </row>
    <row r="27" spans="1:24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/>
      <c r="M27" s="523"/>
      <c r="N27" s="523"/>
      <c r="O27" s="523"/>
      <c r="P27" s="523"/>
      <c r="Q27" s="523"/>
      <c r="R27" s="523"/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1" t="str">
        <f>+VLOOKUP($A28,Master!$D$30:$G$226,4,FALSE)</f>
        <v>Donacije i transferi</v>
      </c>
      <c r="C28" s="592"/>
      <c r="D28" s="592"/>
      <c r="E28" s="592"/>
      <c r="F28" s="592"/>
      <c r="G28" s="160">
        <f>VLOOKUP($A28,'[2]EKON prihodi mjes 2024'!$C$7:$Q$302,3,FALSE)</f>
        <v>4232324.3599999985</v>
      </c>
      <c r="H28" s="160">
        <f>VLOOKUP($A28,'[2]EKON prihodi mjes 2024'!$C$7:$Q$302,4,FALSE)</f>
        <v>113935.73</v>
      </c>
      <c r="I28" s="160">
        <f>VLOOKUP($A28,'[2]EKON prihodi mjes 2024'!$C$7:$Q$302,5,FALSE)</f>
        <v>3282201.2300000009</v>
      </c>
      <c r="J28" s="160">
        <f>VLOOKUP($A28,'[2]EKON prihodi mjes 2024'!$C$7:$Q$302,6,FALSE)</f>
        <v>1986252.18</v>
      </c>
      <c r="K28" s="160">
        <f>VLOOKUP($A28,'[2]EKON prihodi mjes 2024'!$C$7:$Q$302,7,FALSE)</f>
        <v>1598929.68</v>
      </c>
      <c r="L28" s="523"/>
      <c r="M28" s="523"/>
      <c r="N28" s="523"/>
      <c r="O28" s="523"/>
      <c r="P28" s="523"/>
      <c r="Q28" s="523"/>
      <c r="R28" s="523"/>
      <c r="S28" s="521">
        <f t="shared" si="7"/>
        <v>11213643.18</v>
      </c>
      <c r="T28" s="524">
        <f t="shared" si="6"/>
        <v>0.15942057406880863</v>
      </c>
    </row>
    <row r="29" spans="1:24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137882615.43000001</v>
      </c>
      <c r="H29" s="136">
        <f t="shared" ref="H29:L29" si="11">+H30+H40+H46+SUM(H47:H51)</f>
        <v>214415289.32999998</v>
      </c>
      <c r="I29" s="136">
        <f t="shared" si="11"/>
        <v>231118352.97</v>
      </c>
      <c r="J29" s="136">
        <f t="shared" si="11"/>
        <v>258125996.73999998</v>
      </c>
      <c r="K29" s="136">
        <f t="shared" si="11"/>
        <v>214809739.78000003</v>
      </c>
      <c r="L29" s="136">
        <f t="shared" si="11"/>
        <v>0</v>
      </c>
      <c r="M29" s="136">
        <f t="shared" ref="M29:R29" si="12">+M30+M40+M46+SUM(M47:M51)</f>
        <v>0</v>
      </c>
      <c r="N29" s="136">
        <f t="shared" si="12"/>
        <v>0</v>
      </c>
      <c r="O29" s="136">
        <f t="shared" si="12"/>
        <v>0</v>
      </c>
      <c r="P29" s="136">
        <f t="shared" si="12"/>
        <v>0</v>
      </c>
      <c r="Q29" s="136">
        <f t="shared" si="12"/>
        <v>0</v>
      </c>
      <c r="R29" s="136">
        <f t="shared" si="12"/>
        <v>0</v>
      </c>
      <c r="S29" s="525">
        <f t="shared" si="7"/>
        <v>1056351994.25</v>
      </c>
      <c r="T29" s="526">
        <f t="shared" si="6"/>
        <v>15.017799178987772</v>
      </c>
    </row>
    <row r="30" spans="1:24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" si="13">+SUM(G31:G39)</f>
        <v>61605376.840000004</v>
      </c>
      <c r="H30" s="172">
        <f t="shared" ref="H30:L30" si="14">+SUM(H31:H39)</f>
        <v>82047343.409999952</v>
      </c>
      <c r="I30" s="172">
        <f t="shared" si="14"/>
        <v>89986807.119999975</v>
      </c>
      <c r="J30" s="172">
        <f t="shared" si="14"/>
        <v>107557846.24000001</v>
      </c>
      <c r="K30" s="172">
        <f t="shared" si="14"/>
        <v>86454064.080000028</v>
      </c>
      <c r="L30" s="172">
        <f t="shared" si="14"/>
        <v>0</v>
      </c>
      <c r="M30" s="172">
        <f t="shared" ref="M30:R30" si="15">+SUM(M31:M39)</f>
        <v>0</v>
      </c>
      <c r="N30" s="172">
        <f t="shared" si="15"/>
        <v>0</v>
      </c>
      <c r="O30" s="172">
        <f t="shared" si="15"/>
        <v>0</v>
      </c>
      <c r="P30" s="172">
        <f t="shared" si="15"/>
        <v>0</v>
      </c>
      <c r="Q30" s="172">
        <f t="shared" si="15"/>
        <v>0</v>
      </c>
      <c r="R30" s="231">
        <f t="shared" si="15"/>
        <v>0</v>
      </c>
      <c r="S30" s="527">
        <f t="shared" si="7"/>
        <v>427651437.68999994</v>
      </c>
      <c r="T30" s="519">
        <f t="shared" si="6"/>
        <v>6.0797759125675279</v>
      </c>
      <c r="U30" s="472"/>
    </row>
    <row r="31" spans="1:24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499">
        <v>55136615.750000007</v>
      </c>
      <c r="H31" s="499">
        <v>55692244.729999967</v>
      </c>
      <c r="I31" s="499">
        <v>55409720.469999999</v>
      </c>
      <c r="J31" s="499">
        <v>52206366.690000013</v>
      </c>
      <c r="K31" s="499">
        <v>59775945.540000021</v>
      </c>
      <c r="L31" s="148"/>
      <c r="M31" s="148"/>
      <c r="N31" s="148"/>
      <c r="O31" s="148"/>
      <c r="P31" s="498"/>
      <c r="Q31" s="148"/>
      <c r="R31" s="148"/>
      <c r="S31" s="227">
        <f t="shared" si="7"/>
        <v>278220893.18000001</v>
      </c>
      <c r="T31" s="436">
        <f t="shared" si="6"/>
        <v>3.9553723795848734</v>
      </c>
      <c r="U31" s="472"/>
    </row>
    <row r="32" spans="1:24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499">
        <v>104790.61</v>
      </c>
      <c r="H32" s="499">
        <v>1837884.4900000002</v>
      </c>
      <c r="I32" s="499">
        <v>2257740.919999999</v>
      </c>
      <c r="J32" s="499">
        <v>1683790.7199999997</v>
      </c>
      <c r="K32" s="499">
        <v>1510365</v>
      </c>
      <c r="L32" s="148"/>
      <c r="M32" s="148"/>
      <c r="N32" s="148"/>
      <c r="O32" s="148"/>
      <c r="P32" s="148"/>
      <c r="Q32" s="148"/>
      <c r="R32" s="148"/>
      <c r="S32" s="227">
        <f t="shared" si="7"/>
        <v>7394571.7399999993</v>
      </c>
      <c r="T32" s="436">
        <f t="shared" si="6"/>
        <v>0.10512612652829115</v>
      </c>
      <c r="U32" s="472"/>
      <c r="V32" s="275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499">
        <v>201738.93999999997</v>
      </c>
      <c r="H33" s="499">
        <v>3185464.5300000003</v>
      </c>
      <c r="I33" s="499">
        <v>3529714.7899999996</v>
      </c>
      <c r="J33" s="499">
        <v>3288871.4699999997</v>
      </c>
      <c r="K33" s="499">
        <v>2243018</v>
      </c>
      <c r="L33" s="148"/>
      <c r="M33" s="148"/>
      <c r="N33" s="148"/>
      <c r="O33" s="148"/>
      <c r="P33" s="148"/>
      <c r="Q33" s="148"/>
      <c r="R33" s="148"/>
      <c r="S33" s="227">
        <f t="shared" si="7"/>
        <v>12448807.73</v>
      </c>
      <c r="T33" s="436">
        <f t="shared" si="6"/>
        <v>0.17698049090133638</v>
      </c>
      <c r="U33" s="472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499">
        <v>768611.57000000007</v>
      </c>
      <c r="H34" s="499">
        <v>3308116.05</v>
      </c>
      <c r="I34" s="499">
        <v>6883561.3600000003</v>
      </c>
      <c r="J34" s="499">
        <v>5918516.8899999997</v>
      </c>
      <c r="K34" s="499">
        <v>4188874.66</v>
      </c>
      <c r="L34" s="148"/>
      <c r="M34" s="148"/>
      <c r="N34" s="148"/>
      <c r="O34" s="148"/>
      <c r="P34" s="148"/>
      <c r="Q34" s="148"/>
      <c r="R34" s="148"/>
      <c r="S34" s="227">
        <f t="shared" si="7"/>
        <v>21067680.530000001</v>
      </c>
      <c r="T34" s="436">
        <f t="shared" si="6"/>
        <v>0.29951209169746945</v>
      </c>
      <c r="U34" s="472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499">
        <v>4201.5999999999995</v>
      </c>
      <c r="H35" s="499">
        <v>1444596.6199999996</v>
      </c>
      <c r="I35" s="499">
        <v>1881542.3199999998</v>
      </c>
      <c r="J35" s="499">
        <v>3225908.9499999997</v>
      </c>
      <c r="K35" s="499">
        <v>504578.94999999995</v>
      </c>
      <c r="L35" s="148"/>
      <c r="M35" s="148"/>
      <c r="N35" s="148"/>
      <c r="O35" s="148"/>
      <c r="P35" s="148"/>
      <c r="Q35" s="148"/>
      <c r="R35" s="148"/>
      <c r="S35" s="227">
        <f t="shared" si="7"/>
        <v>7060828.4399999995</v>
      </c>
      <c r="T35" s="436">
        <f t="shared" si="6"/>
        <v>0.10038141086152971</v>
      </c>
      <c r="U35" s="472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499">
        <v>4029329.47</v>
      </c>
      <c r="H36" s="499">
        <v>4129191.9600000004</v>
      </c>
      <c r="I36" s="499">
        <v>7187848.6899999976</v>
      </c>
      <c r="J36" s="499">
        <v>31152856.879999992</v>
      </c>
      <c r="K36" s="499">
        <v>8072726.5900000008</v>
      </c>
      <c r="L36" s="148"/>
      <c r="M36" s="148"/>
      <c r="N36" s="148"/>
      <c r="O36" s="148"/>
      <c r="P36" s="148"/>
      <c r="Q36" s="148"/>
      <c r="R36" s="148"/>
      <c r="S36" s="227">
        <f>+SUM(G36:R36)</f>
        <v>54571953.589999989</v>
      </c>
      <c r="T36" s="436">
        <f t="shared" si="6"/>
        <v>0.77583101492749484</v>
      </c>
      <c r="U36" s="472"/>
      <c r="V36" s="275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148"/>
      <c r="M37" s="148"/>
      <c r="N37" s="148"/>
      <c r="O37" s="148"/>
      <c r="P37" s="148"/>
      <c r="Q37" s="148"/>
      <c r="R37" s="148"/>
      <c r="S37" s="227">
        <f t="shared" si="7"/>
        <v>4364618.5900000008</v>
      </c>
      <c r="T37" s="436">
        <f t="shared" si="6"/>
        <v>6.2050306937731031E-2</v>
      </c>
      <c r="U37" s="472"/>
      <c r="V37" s="275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499">
        <v>1261570.0099999986</v>
      </c>
      <c r="H38" s="499">
        <v>3823193.8399999933</v>
      </c>
      <c r="I38" s="499">
        <v>6034941.5099999923</v>
      </c>
      <c r="J38" s="499">
        <v>4256461.2399999993</v>
      </c>
      <c r="K38" s="499">
        <v>4091213.4399999962</v>
      </c>
      <c r="L38" s="148"/>
      <c r="M38" s="148"/>
      <c r="N38" s="148"/>
      <c r="O38" s="148"/>
      <c r="P38" s="148"/>
      <c r="Q38" s="148"/>
      <c r="R38" s="148"/>
      <c r="S38" s="227">
        <f t="shared" si="7"/>
        <v>19467380.03999998</v>
      </c>
      <c r="T38" s="436">
        <f t="shared" si="6"/>
        <v>0.27676116064827949</v>
      </c>
      <c r="U38" s="472"/>
    </row>
    <row r="39" spans="1:24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499">
        <v>98363.42</v>
      </c>
      <c r="H39" s="499">
        <v>7566518.1899999985</v>
      </c>
      <c r="I39" s="499">
        <v>5573188.7899999991</v>
      </c>
      <c r="J39" s="499">
        <v>4456929.17</v>
      </c>
      <c r="K39" s="499">
        <v>5359704.28</v>
      </c>
      <c r="L39" s="148"/>
      <c r="M39" s="148"/>
      <c r="N39" s="148"/>
      <c r="O39" s="148"/>
      <c r="P39" s="148"/>
      <c r="Q39" s="148"/>
      <c r="R39" s="148"/>
      <c r="S39" s="227">
        <f t="shared" si="7"/>
        <v>23054703.850000001</v>
      </c>
      <c r="T39" s="436">
        <f t="shared" si="6"/>
        <v>0.32776093048052318</v>
      </c>
      <c r="U39" s="472"/>
      <c r="V39" s="275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68160265.649999991</v>
      </c>
      <c r="H40" s="178">
        <f t="shared" ref="H40:L40" si="16">+SUM(H41:H45)</f>
        <v>82067860.660000026</v>
      </c>
      <c r="I40" s="178">
        <f t="shared" si="16"/>
        <v>83535130.719999999</v>
      </c>
      <c r="J40" s="178">
        <f t="shared" si="16"/>
        <v>83364547.779999986</v>
      </c>
      <c r="K40" s="178">
        <f t="shared" si="16"/>
        <v>82067527.389999986</v>
      </c>
      <c r="L40" s="178">
        <f t="shared" si="16"/>
        <v>0</v>
      </c>
      <c r="M40" s="178">
        <f t="shared" ref="M40:R40" si="17">+SUM(M41:M45)</f>
        <v>0</v>
      </c>
      <c r="N40" s="178">
        <f t="shared" si="17"/>
        <v>0</v>
      </c>
      <c r="O40" s="178">
        <f t="shared" si="17"/>
        <v>0</v>
      </c>
      <c r="P40" s="178">
        <f t="shared" si="17"/>
        <v>0</v>
      </c>
      <c r="Q40" s="178">
        <f t="shared" si="17"/>
        <v>0</v>
      </c>
      <c r="R40" s="178">
        <f t="shared" si="17"/>
        <v>0</v>
      </c>
      <c r="S40" s="528">
        <f t="shared" si="7"/>
        <v>399195332.19999999</v>
      </c>
      <c r="T40" s="529">
        <f t="shared" si="6"/>
        <v>5.6752250810349727</v>
      </c>
      <c r="U40" s="472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148"/>
      <c r="M41" s="148"/>
      <c r="N41" s="148"/>
      <c r="O41" s="148"/>
      <c r="P41" s="148"/>
      <c r="Q41" s="148"/>
      <c r="R41" s="148"/>
      <c r="S41" s="227">
        <f t="shared" si="7"/>
        <v>86248400.859999985</v>
      </c>
      <c r="T41" s="436">
        <f t="shared" si="6"/>
        <v>1.2261643568382141</v>
      </c>
      <c r="U41" s="472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148"/>
      <c r="M42" s="148"/>
      <c r="N42" s="148"/>
      <c r="O42" s="148"/>
      <c r="P42" s="148"/>
      <c r="Q42" s="148"/>
      <c r="R42" s="148"/>
      <c r="S42" s="227">
        <f t="shared" si="7"/>
        <v>7727960.2699999996</v>
      </c>
      <c r="T42" s="436">
        <f t="shared" si="6"/>
        <v>0.10986579854990047</v>
      </c>
      <c r="U42" s="472"/>
      <c r="V42" s="275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60972657.609999985</v>
      </c>
      <c r="L43" s="148"/>
      <c r="M43" s="486"/>
      <c r="N43" s="148"/>
      <c r="O43" s="148"/>
      <c r="P43" s="148"/>
      <c r="Q43" s="148"/>
      <c r="R43" s="148"/>
      <c r="S43" s="227">
        <f t="shared" si="7"/>
        <v>293591806.16999996</v>
      </c>
      <c r="T43" s="436">
        <f t="shared" si="6"/>
        <v>4.1738954530850148</v>
      </c>
      <c r="U43" s="472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499">
        <v>949033.99999999988</v>
      </c>
      <c r="H44" s="499">
        <v>923268.97999999986</v>
      </c>
      <c r="I44" s="499">
        <v>1261874.7299999995</v>
      </c>
      <c r="J44" s="499">
        <v>1234497.5799999998</v>
      </c>
      <c r="K44" s="499">
        <v>1046920.1199999999</v>
      </c>
      <c r="L44" s="148"/>
      <c r="M44" s="148"/>
      <c r="N44" s="148"/>
      <c r="O44" s="148"/>
      <c r="P44" s="148"/>
      <c r="Q44" s="148"/>
      <c r="R44" s="148"/>
      <c r="S44" s="227">
        <f t="shared" si="7"/>
        <v>5415595.4099999992</v>
      </c>
      <c r="T44" s="436">
        <f t="shared" si="6"/>
        <v>7.6991689081603629E-2</v>
      </c>
      <c r="U44" s="472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499">
        <v>34748.049999999996</v>
      </c>
      <c r="H45" s="499">
        <v>1222905.48</v>
      </c>
      <c r="I45" s="499">
        <v>2373259.1799999997</v>
      </c>
      <c r="J45" s="499">
        <v>1411087.4900000005</v>
      </c>
      <c r="K45" s="499">
        <v>1169569.2899999991</v>
      </c>
      <c r="L45" s="148"/>
      <c r="M45" s="148"/>
      <c r="N45" s="148"/>
      <c r="O45" s="148"/>
      <c r="P45" s="148"/>
      <c r="Q45" s="148"/>
      <c r="R45" s="148"/>
      <c r="S45" s="227">
        <f t="shared" si="7"/>
        <v>6211569.4899999993</v>
      </c>
      <c r="T45" s="436">
        <f t="shared" si="6"/>
        <v>8.8307783480238822E-2</v>
      </c>
      <c r="U45" s="472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2958225.7800000003</v>
      </c>
      <c r="H46" s="160">
        <v>35873257.970000006</v>
      </c>
      <c r="I46" s="160">
        <v>38920245.800000004</v>
      </c>
      <c r="J46" s="160">
        <v>41212139.38000001</v>
      </c>
      <c r="K46" s="160">
        <v>24579654.549999997</v>
      </c>
      <c r="L46" s="160"/>
      <c r="M46" s="160"/>
      <c r="N46" s="160"/>
      <c r="O46" s="160"/>
      <c r="P46" s="160"/>
      <c r="Q46" s="160"/>
      <c r="R46" s="160"/>
      <c r="S46" s="521">
        <f t="shared" si="7"/>
        <v>143543523.48000002</v>
      </c>
      <c r="T46" s="522">
        <f t="shared" si="6"/>
        <v>2.0407097452374185</v>
      </c>
      <c r="U46" s="472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3531423.4500000007</v>
      </c>
      <c r="H47" s="160">
        <v>9832570.8200000003</v>
      </c>
      <c r="I47" s="160">
        <v>15207243.570000002</v>
      </c>
      <c r="J47" s="160">
        <v>21985246.240000002</v>
      </c>
      <c r="K47" s="160">
        <v>11786212.940000001</v>
      </c>
      <c r="L47" s="160"/>
      <c r="M47" s="160"/>
      <c r="N47" s="160"/>
      <c r="O47" s="160"/>
      <c r="P47" s="160"/>
      <c r="Q47" s="160"/>
      <c r="R47" s="160"/>
      <c r="S47" s="521">
        <f t="shared" si="7"/>
        <v>62342697.020000011</v>
      </c>
      <c r="T47" s="522">
        <f t="shared" si="6"/>
        <v>0.8863050471993178</v>
      </c>
      <c r="U47" s="472"/>
      <c r="V47" s="275"/>
      <c r="W47" s="292"/>
      <c r="X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148"/>
      <c r="M48" s="148"/>
      <c r="N48" s="148"/>
      <c r="O48" s="148"/>
      <c r="P48" s="148"/>
      <c r="Q48" s="148"/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148"/>
      <c r="M49" s="148"/>
      <c r="N49" s="148"/>
      <c r="O49" s="148"/>
      <c r="P49" s="148"/>
      <c r="Q49" s="148"/>
      <c r="R49" s="148"/>
      <c r="S49" s="227">
        <f t="shared" si="7"/>
        <v>11141746.35</v>
      </c>
      <c r="T49" s="436">
        <f t="shared" si="6"/>
        <v>0.15839844114301962</v>
      </c>
      <c r="U49" s="472"/>
    </row>
    <row r="50" spans="1:21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148"/>
      <c r="M50" s="148"/>
      <c r="N50" s="148"/>
      <c r="O50" s="148"/>
      <c r="P50" s="148"/>
      <c r="Q50" s="148"/>
      <c r="R50" s="148"/>
      <c r="S50" s="227">
        <f t="shared" si="7"/>
        <v>2301161.16</v>
      </c>
      <c r="T50" s="436">
        <f t="shared" si="6"/>
        <v>3.2714830253056583E-2</v>
      </c>
      <c r="U50" s="472"/>
    </row>
    <row r="51" spans="1:21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1627323.71</v>
      </c>
      <c r="H51" s="430">
        <v>2293095.31</v>
      </c>
      <c r="I51" s="430">
        <v>2714121.0399999996</v>
      </c>
      <c r="J51" s="430">
        <v>1764225.47</v>
      </c>
      <c r="K51" s="430">
        <v>1777330.8200000003</v>
      </c>
      <c r="L51" s="430"/>
      <c r="M51" s="430"/>
      <c r="N51" s="430"/>
      <c r="O51" s="430"/>
      <c r="P51" s="430"/>
      <c r="Q51" s="430"/>
      <c r="R51" s="430"/>
      <c r="S51" s="398">
        <f>+SUM(G51:R51)</f>
        <v>10176096.35</v>
      </c>
      <c r="T51" s="440">
        <f t="shared" si="6"/>
        <v>0.14467012155245948</v>
      </c>
      <c r="U51" s="472"/>
    </row>
    <row r="52" spans="1:21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" si="18">+G10-G29</f>
        <v>15905350.889999986</v>
      </c>
      <c r="H53" s="136">
        <f t="shared" ref="H53:L53" si="19">+H10-H29</f>
        <v>-34166395.98999998</v>
      </c>
      <c r="I53" s="136">
        <f t="shared" si="19"/>
        <v>13430786.430000037</v>
      </c>
      <c r="J53" s="136">
        <f t="shared" si="19"/>
        <v>59447147.470000058</v>
      </c>
      <c r="K53" s="136">
        <f t="shared" si="19"/>
        <v>-21558845.190000057</v>
      </c>
      <c r="L53" s="136">
        <f t="shared" si="19"/>
        <v>0</v>
      </c>
      <c r="M53" s="136">
        <f t="shared" ref="M53:R53" si="20">+M10-M29</f>
        <v>0</v>
      </c>
      <c r="N53" s="136">
        <f t="shared" si="20"/>
        <v>0</v>
      </c>
      <c r="O53" s="136">
        <f t="shared" si="20"/>
        <v>0</v>
      </c>
      <c r="P53" s="136">
        <f t="shared" si="20"/>
        <v>0</v>
      </c>
      <c r="Q53" s="136">
        <f t="shared" si="20"/>
        <v>0</v>
      </c>
      <c r="R53" s="136">
        <f t="shared" si="20"/>
        <v>0</v>
      </c>
      <c r="S53" s="530">
        <f>SUM(G53:R53)</f>
        <v>33058043.610000044</v>
      </c>
      <c r="T53" s="531">
        <f t="shared" si="6"/>
        <v>0.46997502999715729</v>
      </c>
    </row>
    <row r="54" spans="1:21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" si="21">+G53+G36</f>
        <v>19934680.359999985</v>
      </c>
      <c r="H54" s="190">
        <f t="shared" ref="H54:L54" si="22">+H53+H36</f>
        <v>-30037204.029999979</v>
      </c>
      <c r="I54" s="190">
        <f t="shared" si="22"/>
        <v>20618635.120000035</v>
      </c>
      <c r="J54" s="190">
        <f t="shared" si="22"/>
        <v>90600004.350000054</v>
      </c>
      <c r="K54" s="190">
        <f t="shared" si="22"/>
        <v>-13486118.600000057</v>
      </c>
      <c r="L54" s="190">
        <f t="shared" si="22"/>
        <v>0</v>
      </c>
      <c r="M54" s="190">
        <f t="shared" ref="M54:R54" si="23">+M53+M36</f>
        <v>0</v>
      </c>
      <c r="N54" s="190">
        <f t="shared" si="23"/>
        <v>0</v>
      </c>
      <c r="O54" s="190">
        <f t="shared" si="23"/>
        <v>0</v>
      </c>
      <c r="P54" s="190">
        <f t="shared" si="23"/>
        <v>0</v>
      </c>
      <c r="Q54" s="190">
        <f t="shared" si="23"/>
        <v>0</v>
      </c>
      <c r="R54" s="190">
        <f t="shared" si="23"/>
        <v>0</v>
      </c>
      <c r="S54" s="530">
        <f t="shared" si="7"/>
        <v>87629997.200000048</v>
      </c>
      <c r="T54" s="531">
        <f t="shared" si="6"/>
        <v>1.2458060449246524</v>
      </c>
    </row>
    <row r="55" spans="1:21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117093989.61</v>
      </c>
      <c r="K55" s="178">
        <f t="shared" si="25"/>
        <v>39194399.359999999</v>
      </c>
      <c r="L55" s="178">
        <f t="shared" si="25"/>
        <v>0</v>
      </c>
      <c r="M55" s="178">
        <f t="shared" ref="M55:R55" si="26">+SUM(M56:M57)</f>
        <v>0</v>
      </c>
      <c r="N55" s="178">
        <f t="shared" si="26"/>
        <v>0</v>
      </c>
      <c r="O55" s="178">
        <f t="shared" si="26"/>
        <v>0</v>
      </c>
      <c r="P55" s="178">
        <f t="shared" si="26"/>
        <v>0</v>
      </c>
      <c r="Q55" s="178">
        <f t="shared" si="26"/>
        <v>0</v>
      </c>
      <c r="R55" s="178">
        <f t="shared" si="26"/>
        <v>0</v>
      </c>
      <c r="S55" s="532">
        <f t="shared" si="7"/>
        <v>257595690.5</v>
      </c>
      <c r="T55" s="533">
        <f t="shared" si="6"/>
        <v>3.662150845891385</v>
      </c>
    </row>
    <row r="56" spans="1:21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554">
        <v>2494755.4499999997</v>
      </c>
      <c r="H56" s="554">
        <v>2954245.6799999997</v>
      </c>
      <c r="I56" s="554">
        <v>23477657.120000005</v>
      </c>
      <c r="J56" s="554">
        <v>95643965.920000002</v>
      </c>
      <c r="K56" s="554">
        <v>9858911.2700000014</v>
      </c>
      <c r="L56" s="196"/>
      <c r="M56" s="196"/>
      <c r="N56" s="196"/>
      <c r="O56" s="196"/>
      <c r="P56" s="196"/>
      <c r="Q56" s="196"/>
      <c r="R56" s="196"/>
      <c r="S56" s="235">
        <f t="shared" si="7"/>
        <v>134429535.44</v>
      </c>
      <c r="T56" s="444">
        <f t="shared" si="6"/>
        <v>1.911139258458914</v>
      </c>
    </row>
    <row r="57" spans="1:21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554">
        <v>32313186.740000002</v>
      </c>
      <c r="H57" s="554">
        <v>3787783.5300000007</v>
      </c>
      <c r="I57" s="554">
        <v>36279673.010000005</v>
      </c>
      <c r="J57" s="554">
        <v>21450023.689999998</v>
      </c>
      <c r="K57" s="554">
        <v>29335488.09</v>
      </c>
      <c r="L57" s="196"/>
      <c r="M57" s="196"/>
      <c r="N57" s="196"/>
      <c r="O57" s="196"/>
      <c r="P57" s="196"/>
      <c r="Q57" s="196"/>
      <c r="R57" s="196"/>
      <c r="S57" s="235">
        <f t="shared" si="7"/>
        <v>123166155.06</v>
      </c>
      <c r="T57" s="444">
        <f t="shared" si="6"/>
        <v>1.751011587432471</v>
      </c>
    </row>
    <row r="58" spans="1:21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/>
      <c r="M58" s="432"/>
      <c r="N58" s="432"/>
      <c r="O58" s="432"/>
      <c r="P58" s="432"/>
      <c r="Q58" s="432"/>
      <c r="R58" s="432"/>
      <c r="S58" s="532">
        <f>SUM(G58:R58)</f>
        <v>2905762.95</v>
      </c>
      <c r="T58" s="534">
        <f t="shared" si="6"/>
        <v>4.1310249502416838E-2</v>
      </c>
    </row>
    <row r="59" spans="1:21" ht="13.5" thickBot="1">
      <c r="A59" s="135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32"/>
      <c r="M59" s="432"/>
      <c r="N59" s="432"/>
      <c r="O59" s="432"/>
      <c r="P59" s="432"/>
      <c r="Q59" s="432"/>
      <c r="R59" s="432"/>
      <c r="S59" s="532">
        <f>SUM(G59:R59)</f>
        <v>3775013.28</v>
      </c>
      <c r="T59" s="534">
        <f t="shared" si="6"/>
        <v>5.3668087574637473E-2</v>
      </c>
    </row>
    <row r="60" spans="1:21" ht="13.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02">
        <f>+G53-G55-G58-G59</f>
        <v>-19617312.910000019</v>
      </c>
      <c r="H60" s="202">
        <f t="shared" ref="H60:L60" si="27">+H53-H55-H58-H59</f>
        <v>-41419735.199999981</v>
      </c>
      <c r="I60" s="202">
        <f t="shared" si="27"/>
        <v>-48650605.899999969</v>
      </c>
      <c r="J60" s="202">
        <f t="shared" si="27"/>
        <v>-58614926.239999942</v>
      </c>
      <c r="K60" s="202">
        <f t="shared" si="27"/>
        <v>-62915842.870000057</v>
      </c>
      <c r="L60" s="202">
        <f t="shared" si="27"/>
        <v>0</v>
      </c>
      <c r="M60" s="202">
        <f t="shared" ref="M60" si="28">+M53-M55-M58-M59</f>
        <v>0</v>
      </c>
      <c r="N60" s="202">
        <f t="shared" ref="N60" si="29">+N53-N55-N58-N59</f>
        <v>0</v>
      </c>
      <c r="O60" s="202">
        <f t="shared" ref="O60" si="30">+O53-O55-O58-O59</f>
        <v>0</v>
      </c>
      <c r="P60" s="202">
        <f t="shared" ref="P60" si="31">+P53-P55-P58-P59</f>
        <v>0</v>
      </c>
      <c r="Q60" s="202">
        <f t="shared" ref="Q60" si="32">+Q53-Q55-Q58-Q59</f>
        <v>0</v>
      </c>
      <c r="R60" s="202">
        <f t="shared" ref="R60:S60" si="33">+R53-R55-R58-R59</f>
        <v>0</v>
      </c>
      <c r="S60" s="532">
        <f t="shared" si="33"/>
        <v>-231218423.11999995</v>
      </c>
      <c r="T60" s="535">
        <f t="shared" si="6"/>
        <v>-3.2871541529712811</v>
      </c>
    </row>
    <row r="61" spans="1:21" ht="13.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+SUM(G62:G66)</f>
        <v>19617312.910000019</v>
      </c>
      <c r="H61" s="136">
        <f t="shared" ref="H61:L61" si="34">+SUM(H62:H66)</f>
        <v>41419735.199999981</v>
      </c>
      <c r="I61" s="136">
        <f t="shared" si="34"/>
        <v>48650605.899999976</v>
      </c>
      <c r="J61" s="136">
        <f t="shared" si="34"/>
        <v>58614926.239999942</v>
      </c>
      <c r="K61" s="136">
        <f t="shared" si="34"/>
        <v>62915842.870000057</v>
      </c>
      <c r="L61" s="136">
        <f t="shared" si="34"/>
        <v>0</v>
      </c>
      <c r="M61" s="136">
        <f t="shared" ref="M61:R61" si="35">+SUM(M62:M66)</f>
        <v>0</v>
      </c>
      <c r="N61" s="136">
        <f t="shared" si="35"/>
        <v>0</v>
      </c>
      <c r="O61" s="136">
        <f t="shared" si="35"/>
        <v>0</v>
      </c>
      <c r="P61" s="136">
        <f t="shared" si="35"/>
        <v>0</v>
      </c>
      <c r="Q61" s="136">
        <f t="shared" si="35"/>
        <v>0</v>
      </c>
      <c r="R61" s="136">
        <f t="shared" si="35"/>
        <v>0</v>
      </c>
      <c r="S61" s="536">
        <f t="shared" si="7"/>
        <v>231218423.11999997</v>
      </c>
      <c r="T61" s="537">
        <f t="shared" si="6"/>
        <v>3.287154152971282</v>
      </c>
    </row>
    <row r="62" spans="1:21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196"/>
      <c r="M62" s="196"/>
      <c r="N62" s="196"/>
      <c r="O62" s="196"/>
      <c r="P62" s="196"/>
      <c r="Q62" s="196"/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57" t="str">
        <f>+VLOOKUP($A63,Master!$D$30:$G$226,4,FALSE)</f>
        <v>Pozajmice i krediti od inostranih izvora</v>
      </c>
      <c r="C63" s="558"/>
      <c r="D63" s="558"/>
      <c r="E63" s="558"/>
      <c r="F63" s="558"/>
      <c r="G63" s="554">
        <v>1570614.04</v>
      </c>
      <c r="H63" s="554">
        <v>1779527.23</v>
      </c>
      <c r="I63" s="554">
        <v>691084422.79999995</v>
      </c>
      <c r="J63" s="554">
        <v>3827028.4300000006</v>
      </c>
      <c r="K63" s="554">
        <v>266766.86</v>
      </c>
      <c r="L63" s="196"/>
      <c r="M63" s="196"/>
      <c r="N63" s="196"/>
      <c r="O63" s="196"/>
      <c r="P63" s="196"/>
      <c r="Q63" s="196"/>
      <c r="R63" s="196"/>
      <c r="S63" s="235">
        <f t="shared" si="7"/>
        <v>698528359.3599999</v>
      </c>
      <c r="T63" s="444">
        <f t="shared" si="6"/>
        <v>9.9307415319874881</v>
      </c>
    </row>
    <row r="64" spans="1:21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196">
        <v>29140.719999999998</v>
      </c>
      <c r="H64" s="196">
        <v>223106.54</v>
      </c>
      <c r="I64" s="196">
        <v>24726.440000000002</v>
      </c>
      <c r="J64" s="196">
        <v>107366.27000000003</v>
      </c>
      <c r="K64" s="196">
        <v>292415.26</v>
      </c>
      <c r="L64" s="196"/>
      <c r="M64" s="196"/>
      <c r="N64" s="196"/>
      <c r="O64" s="196"/>
      <c r="P64" s="196"/>
      <c r="Q64" s="196"/>
      <c r="R64" s="196"/>
      <c r="S64" s="235">
        <f t="shared" si="7"/>
        <v>676755.23</v>
      </c>
      <c r="T64" s="444">
        <f t="shared" si="6"/>
        <v>9.6212003127665625E-3</v>
      </c>
    </row>
    <row r="65" spans="1:20">
      <c r="A65" s="129">
        <v>73</v>
      </c>
      <c r="B65" s="557" t="s">
        <v>101</v>
      </c>
      <c r="C65" s="558"/>
      <c r="D65" s="558"/>
      <c r="E65" s="558"/>
      <c r="F65" s="558"/>
      <c r="G65" s="196">
        <v>284803.10000000003</v>
      </c>
      <c r="H65" s="196">
        <v>1296535.4000000001</v>
      </c>
      <c r="I65" s="196">
        <v>960869.5</v>
      </c>
      <c r="J65" s="196">
        <v>1155440.2500000002</v>
      </c>
      <c r="K65" s="196">
        <v>1453164</v>
      </c>
      <c r="L65" s="196"/>
      <c r="M65" s="196"/>
      <c r="N65" s="196"/>
      <c r="O65" s="196"/>
      <c r="P65" s="196"/>
      <c r="Q65" s="196"/>
      <c r="R65" s="196"/>
      <c r="S65" s="235">
        <f t="shared" si="7"/>
        <v>5150812.25</v>
      </c>
      <c r="T65" s="444">
        <f t="shared" si="6"/>
        <v>7.3227356411714531E-2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17732755.050000019</v>
      </c>
      <c r="H66" s="210">
        <f t="shared" ref="H66:L66" si="36">-H60-SUM(H62:H65)</f>
        <v>38120566.029999979</v>
      </c>
      <c r="I66" s="210">
        <f t="shared" si="36"/>
        <v>-643419412.84000003</v>
      </c>
      <c r="J66" s="210">
        <f t="shared" si="36"/>
        <v>53525091.28999994</v>
      </c>
      <c r="K66" s="210">
        <f t="shared" si="36"/>
        <v>60903496.75000006</v>
      </c>
      <c r="L66" s="210">
        <f t="shared" si="36"/>
        <v>0</v>
      </c>
      <c r="M66" s="210">
        <f t="shared" ref="M66:S66" si="37">-M60-SUM(M62:M65)</f>
        <v>0</v>
      </c>
      <c r="N66" s="210">
        <f t="shared" si="37"/>
        <v>0</v>
      </c>
      <c r="O66" s="210">
        <f t="shared" si="37"/>
        <v>0</v>
      </c>
      <c r="P66" s="210">
        <f t="shared" si="37"/>
        <v>0</v>
      </c>
      <c r="Q66" s="210">
        <f t="shared" si="37"/>
        <v>0</v>
      </c>
      <c r="R66" s="210">
        <f t="shared" si="37"/>
        <v>0</v>
      </c>
      <c r="S66" s="238">
        <f t="shared" si="37"/>
        <v>-473137503.71999997</v>
      </c>
      <c r="T66" s="448">
        <f t="shared" si="6"/>
        <v>-6.726435935740688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28" t="str">
        <f>+Master!G253</f>
        <v>Plan ostvarenja budžeta</v>
      </c>
      <c r="C83" s="629"/>
      <c r="D83" s="629"/>
      <c r="E83" s="629"/>
      <c r="F83" s="629"/>
      <c r="G83" s="613">
        <v>2024</v>
      </c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5"/>
      <c r="S83" s="96" t="str">
        <f>+S7</f>
        <v>BDP</v>
      </c>
      <c r="T83" s="97">
        <v>7034000000</v>
      </c>
    </row>
    <row r="84" spans="1:26" ht="15.75" customHeight="1">
      <c r="B84" s="630"/>
      <c r="C84" s="631"/>
      <c r="D84" s="631"/>
      <c r="E84" s="631"/>
      <c r="F84" s="632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13" t="str">
        <f>+Master!G247</f>
        <v>Jan - Dec</v>
      </c>
      <c r="T84" s="615">
        <f>+T8</f>
        <v>0</v>
      </c>
    </row>
    <row r="85" spans="1:26" ht="13.5" thickBot="1">
      <c r="B85" s="633"/>
      <c r="C85" s="634"/>
      <c r="D85" s="634"/>
      <c r="E85" s="634"/>
      <c r="F85" s="63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22" t="str">
        <f>+VLOOKUP(LEFT($A86,LEN(A86)-1)*1,Master!$D$30:$G$226,4,FALSE)</f>
        <v>Prihodi budžeta</v>
      </c>
      <c r="C86" s="623"/>
      <c r="D86" s="623"/>
      <c r="E86" s="623"/>
      <c r="F86" s="623"/>
      <c r="G86" s="504">
        <f t="shared" ref="G86:L86" si="43">+G87+G95+SUM(G100:G104)</f>
        <v>148772496.12504369</v>
      </c>
      <c r="H86" s="504">
        <f t="shared" si="43"/>
        <v>158113558.17313686</v>
      </c>
      <c r="I86" s="504">
        <f t="shared" si="43"/>
        <v>226012505.71659711</v>
      </c>
      <c r="J86" s="504">
        <f t="shared" si="43"/>
        <v>276575922.35471165</v>
      </c>
      <c r="K86" s="504">
        <f t="shared" si="43"/>
        <v>202370960.75834674</v>
      </c>
      <c r="L86" s="504">
        <f t="shared" si="43"/>
        <v>221931557.19007117</v>
      </c>
      <c r="M86" s="504">
        <f t="shared" ref="M86:Q86" si="44">+M87+M95+SUM(M100:M104)</f>
        <v>239840109.13525739</v>
      </c>
      <c r="N86" s="504">
        <f t="shared" si="44"/>
        <v>272049279.02293092</v>
      </c>
      <c r="O86" s="504">
        <f t="shared" si="44"/>
        <v>250826710.01184744</v>
      </c>
      <c r="P86" s="504">
        <f t="shared" si="44"/>
        <v>243206119.80349156</v>
      </c>
      <c r="Q86" s="504">
        <f t="shared" si="44"/>
        <v>209400426.87586257</v>
      </c>
      <c r="R86" s="504">
        <f>+R87+R95+SUM(R100:R104)</f>
        <v>268154122.822703</v>
      </c>
      <c r="S86" s="538">
        <f>+SUM(G86:R86)</f>
        <v>2717253767.9899998</v>
      </c>
      <c r="T86" s="539">
        <f>+S86/$T$83*100</f>
        <v>38.630278191498434</v>
      </c>
      <c r="U86" s="243"/>
    </row>
    <row r="87" spans="1:26">
      <c r="A87" s="105" t="str">
        <f t="shared" si="42"/>
        <v>711p</v>
      </c>
      <c r="B87" s="624" t="str">
        <f>+VLOOKUP(LEFT($A87,LEN(A87)-1)*1,Master!$D$30:$G$226,4,FALSE)</f>
        <v>Porezi</v>
      </c>
      <c r="C87" s="625"/>
      <c r="D87" s="625"/>
      <c r="E87" s="625"/>
      <c r="F87" s="625"/>
      <c r="G87" s="540">
        <f t="shared" ref="G87:L87" si="45">+SUM(G88:G94)</f>
        <v>120138427.04115422</v>
      </c>
      <c r="H87" s="540">
        <f t="shared" si="45"/>
        <v>104149284.03317438</v>
      </c>
      <c r="I87" s="540">
        <f t="shared" si="45"/>
        <v>169447357.55468205</v>
      </c>
      <c r="J87" s="540">
        <f t="shared" si="45"/>
        <v>211701078.28476781</v>
      </c>
      <c r="K87" s="540">
        <f t="shared" si="45"/>
        <v>141387167.73744527</v>
      </c>
      <c r="L87" s="540">
        <f t="shared" si="45"/>
        <v>151720280.57414097</v>
      </c>
      <c r="M87" s="540">
        <f t="shared" ref="M87:R87" si="46">+SUM(M88:M94)</f>
        <v>161274945.54288816</v>
      </c>
      <c r="N87" s="540">
        <f t="shared" si="46"/>
        <v>187405726.52360511</v>
      </c>
      <c r="O87" s="540">
        <f t="shared" si="46"/>
        <v>174959844.19682884</v>
      </c>
      <c r="P87" s="540">
        <f t="shared" si="46"/>
        <v>165156163.28658262</v>
      </c>
      <c r="Q87" s="540">
        <f t="shared" si="46"/>
        <v>139953378.33863863</v>
      </c>
      <c r="R87" s="541">
        <f t="shared" si="46"/>
        <v>156175298.44609201</v>
      </c>
      <c r="S87" s="542">
        <f t="shared" ref="S87:S141" si="47">+SUM(G87:R87)</f>
        <v>1883468951.5599999</v>
      </c>
      <c r="T87" s="519">
        <f t="shared" ref="T87:T142" si="48">+S87/$T$83*100</f>
        <v>26.776641335797553</v>
      </c>
      <c r="V87" s="292"/>
    </row>
    <row r="88" spans="1:26">
      <c r="A88" s="105" t="str">
        <f t="shared" si="42"/>
        <v>7111p</v>
      </c>
      <c r="B88" s="626" t="str">
        <f>+VLOOKUP(LEFT($A88,LEN(A88)-1)*1,Master!$D$30:$G$229,4,FALSE)</f>
        <v>Porez na dohodak fizičkih lica</v>
      </c>
      <c r="C88" s="627"/>
      <c r="D88" s="627"/>
      <c r="E88" s="627"/>
      <c r="F88" s="627"/>
      <c r="G88" s="77">
        <v>1801825.5334530019</v>
      </c>
      <c r="H88" s="77">
        <v>4797498.8725749766</v>
      </c>
      <c r="I88" s="77">
        <v>5058808.8901446629</v>
      </c>
      <c r="J88" s="77">
        <v>6551317.4334513247</v>
      </c>
      <c r="K88" s="77">
        <v>6354534.9348088503</v>
      </c>
      <c r="L88" s="77">
        <v>6384865.2399824038</v>
      </c>
      <c r="M88" s="77">
        <v>7316280.3532713847</v>
      </c>
      <c r="N88" s="77">
        <v>7257242.9681147542</v>
      </c>
      <c r="O88" s="77">
        <v>7168345.1062709643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80771569.449999988</v>
      </c>
      <c r="T88" s="436">
        <f t="shared" si="48"/>
        <v>1.1483020962468011</v>
      </c>
      <c r="V88" s="292"/>
    </row>
    <row r="89" spans="1:26">
      <c r="A89" s="105" t="str">
        <f t="shared" si="42"/>
        <v>7112p</v>
      </c>
      <c r="B89" s="626" t="str">
        <f>+VLOOKUP(LEFT($A89,LEN(A89)-1)*1,Master!$D$30:$G$229,4,FALSE)</f>
        <v>Porez na dobit pravnih lica</v>
      </c>
      <c r="C89" s="627"/>
      <c r="D89" s="627"/>
      <c r="E89" s="627"/>
      <c r="F89" s="627"/>
      <c r="G89" s="77">
        <v>1369765.6788657729</v>
      </c>
      <c r="H89" s="77">
        <v>4097750.9290820062</v>
      </c>
      <c r="I89" s="77">
        <v>40990734.989670277</v>
      </c>
      <c r="J89" s="77">
        <v>82072475.918768093</v>
      </c>
      <c r="K89" s="77">
        <v>7598554.4799611485</v>
      </c>
      <c r="L89" s="77">
        <v>5102445.9317580881</v>
      </c>
      <c r="M89" s="77">
        <v>4518923.1926221987</v>
      </c>
      <c r="N89" s="77">
        <v>3667425.793923636</v>
      </c>
      <c r="O89" s="77">
        <v>3031043.3402888682</v>
      </c>
      <c r="P89" s="77">
        <v>3498970.8755320241</v>
      </c>
      <c r="Q89" s="77">
        <v>3851456.9221399422</v>
      </c>
      <c r="R89" s="77">
        <v>4851508.0273879413</v>
      </c>
      <c r="S89" s="101">
        <f t="shared" si="47"/>
        <v>164651056.08000001</v>
      </c>
      <c r="T89" s="436">
        <f t="shared" si="48"/>
        <v>2.3407884003412001</v>
      </c>
      <c r="V89" s="292"/>
    </row>
    <row r="90" spans="1:26">
      <c r="A90" s="105" t="str">
        <f t="shared" si="42"/>
        <v>7113p</v>
      </c>
      <c r="B90" s="626" t="str">
        <f>+VLOOKUP(LEFT($A90,LEN(A90)-1)*1,Master!$D$30:$G$229,4,FALSE)</f>
        <v>Porez na promet nepokretnosti</v>
      </c>
      <c r="C90" s="627"/>
      <c r="D90" s="627"/>
      <c r="E90" s="627"/>
      <c r="F90" s="627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6" t="str">
        <f>+VLOOKUP(LEFT($A91,LEN(A91)-1)*1,Master!$D$30:$G$229,4,FALSE)</f>
        <v>Porez na dodatu vrijednost</v>
      </c>
      <c r="C91" s="627"/>
      <c r="D91" s="627"/>
      <c r="E91" s="627"/>
      <c r="F91" s="627"/>
      <c r="G91" s="77">
        <v>90392579.434542105</v>
      </c>
      <c r="H91" s="77">
        <v>70110183.355581105</v>
      </c>
      <c r="I91" s="77">
        <v>91649985.128395304</v>
      </c>
      <c r="J91" s="77">
        <v>91035705.503332198</v>
      </c>
      <c r="K91" s="77">
        <v>93750264.273905918</v>
      </c>
      <c r="L91" s="77">
        <v>99669954.964028701</v>
      </c>
      <c r="M91" s="77">
        <v>104980576.46239747</v>
      </c>
      <c r="N91" s="77">
        <v>126842944.99737209</v>
      </c>
      <c r="O91" s="77">
        <v>120744196.841892</v>
      </c>
      <c r="P91" s="77">
        <v>115092102.58641601</v>
      </c>
      <c r="Q91" s="77">
        <v>95782845.757082894</v>
      </c>
      <c r="R91" s="77">
        <v>99581108.985054299</v>
      </c>
      <c r="S91" s="101">
        <f t="shared" si="47"/>
        <v>1199632448.2900002</v>
      </c>
      <c r="T91" s="436">
        <f t="shared" si="48"/>
        <v>17.054768954933184</v>
      </c>
      <c r="V91" s="292"/>
    </row>
    <row r="92" spans="1:26">
      <c r="A92" s="105" t="str">
        <f t="shared" si="42"/>
        <v>7115p</v>
      </c>
      <c r="B92" s="626" t="str">
        <f>+VLOOKUP(LEFT($A92,LEN(A92)-1)*1,Master!$D$30:$G$229,4,FALSE)</f>
        <v>Akcize</v>
      </c>
      <c r="C92" s="627"/>
      <c r="D92" s="627"/>
      <c r="E92" s="627"/>
      <c r="F92" s="627"/>
      <c r="G92" s="77">
        <v>22805003.605203237</v>
      </c>
      <c r="H92" s="77">
        <v>20592857.793570951</v>
      </c>
      <c r="I92" s="77">
        <v>25607651.370289065</v>
      </c>
      <c r="J92" s="77">
        <v>26354503.905432209</v>
      </c>
      <c r="K92" s="77">
        <v>27199796.80399929</v>
      </c>
      <c r="L92" s="77">
        <v>33707423.847654335</v>
      </c>
      <c r="M92" s="77">
        <v>37914208.164682284</v>
      </c>
      <c r="N92" s="77">
        <v>42617140.779784925</v>
      </c>
      <c r="O92" s="77">
        <v>37411081.022537023</v>
      </c>
      <c r="P92" s="77">
        <v>31963707.2157037</v>
      </c>
      <c r="Q92" s="77">
        <v>27368867.618220858</v>
      </c>
      <c r="R92" s="77">
        <v>32257757.872922163</v>
      </c>
      <c r="S92" s="101">
        <f t="shared" si="47"/>
        <v>365800000.00000006</v>
      </c>
      <c r="T92" s="436">
        <f t="shared" si="48"/>
        <v>5.2004549331816898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6" t="str">
        <f>+VLOOKUP(LEFT($A93,LEN(A93)-1)*1,Master!$D$30:$G$229,4,FALSE)</f>
        <v>Porez na međunarodnu trgovinu i transakcije</v>
      </c>
      <c r="C93" s="627"/>
      <c r="D93" s="627"/>
      <c r="E93" s="627"/>
      <c r="F93" s="627"/>
      <c r="G93" s="77">
        <v>2756177.5797694027</v>
      </c>
      <c r="H93" s="77">
        <v>3597080.8322044765</v>
      </c>
      <c r="I93" s="77">
        <v>5080642.3039190965</v>
      </c>
      <c r="J93" s="77">
        <v>4566217.8601228138</v>
      </c>
      <c r="K93" s="77">
        <v>5315794.5622604089</v>
      </c>
      <c r="L93" s="77">
        <v>5532491.7635528967</v>
      </c>
      <c r="M93" s="77">
        <v>5355802.238618318</v>
      </c>
      <c r="N93" s="77">
        <v>5706699.2805261482</v>
      </c>
      <c r="O93" s="77">
        <v>5186142.2097657854</v>
      </c>
      <c r="P93" s="77">
        <v>5014923.9993494628</v>
      </c>
      <c r="Q93" s="77">
        <v>4765187.6368120126</v>
      </c>
      <c r="R93" s="77">
        <v>5418029.1830991814</v>
      </c>
      <c r="S93" s="101">
        <f t="shared" si="47"/>
        <v>58295189.450000003</v>
      </c>
      <c r="T93" s="436">
        <f t="shared" si="48"/>
        <v>0.82876300042649986</v>
      </c>
      <c r="V93" s="292"/>
    </row>
    <row r="94" spans="1:26">
      <c r="A94" s="105" t="str">
        <f t="shared" si="42"/>
        <v>7118p</v>
      </c>
      <c r="B94" s="626" t="str">
        <f>+VLOOKUP(LEFT($A94,LEN(A94)-1)*1,Master!$D$30:$G$229,4,FALSE)</f>
        <v>Ostali državni porezi</v>
      </c>
      <c r="C94" s="627"/>
      <c r="D94" s="627"/>
      <c r="E94" s="627"/>
      <c r="F94" s="627"/>
      <c r="G94" s="77">
        <v>1013075.2093207003</v>
      </c>
      <c r="H94" s="77">
        <v>953912.25016085315</v>
      </c>
      <c r="I94" s="77">
        <v>1059534.8722636329</v>
      </c>
      <c r="J94" s="77">
        <v>1120857.6636611964</v>
      </c>
      <c r="K94" s="77">
        <v>1168222.682509661</v>
      </c>
      <c r="L94" s="77">
        <v>1323098.8271645412</v>
      </c>
      <c r="M94" s="77">
        <v>1189155.1312965241</v>
      </c>
      <c r="N94" s="77">
        <v>1314272.7038835543</v>
      </c>
      <c r="O94" s="77">
        <v>1419035.6760742143</v>
      </c>
      <c r="P94" s="77">
        <v>1305475.5819203202</v>
      </c>
      <c r="Q94" s="77">
        <v>1274869.5732153796</v>
      </c>
      <c r="R94" s="77">
        <v>1177178.1185294199</v>
      </c>
      <c r="S94" s="101">
        <f t="shared" si="47"/>
        <v>14318688.289999997</v>
      </c>
      <c r="T94" s="436">
        <f t="shared" si="48"/>
        <v>0.20356395066818306</v>
      </c>
      <c r="V94" s="292"/>
    </row>
    <row r="95" spans="1:26">
      <c r="A95" s="105" t="str">
        <f t="shared" si="42"/>
        <v>712p</v>
      </c>
      <c r="B95" s="636" t="str">
        <f>+VLOOKUP(LEFT($A95,LEN(A95)-1)*1,Master!$D$30:$G$229,4,FALSE)</f>
        <v>Doprinosi</v>
      </c>
      <c r="C95" s="637"/>
      <c r="D95" s="637"/>
      <c r="E95" s="637"/>
      <c r="F95" s="637"/>
      <c r="G95" s="543">
        <f>+SUM(G96:G99)</f>
        <v>16352055.41693222</v>
      </c>
      <c r="H95" s="543">
        <f t="shared" ref="H95:L95" si="49">+SUM(H96:H99)</f>
        <v>43548052.584407724</v>
      </c>
      <c r="I95" s="544">
        <f t="shared" si="49"/>
        <v>44933194.735314272</v>
      </c>
      <c r="J95" s="543">
        <f t="shared" si="49"/>
        <v>50076292.309714273</v>
      </c>
      <c r="K95" s="543">
        <f t="shared" si="49"/>
        <v>48321180.060848266</v>
      </c>
      <c r="L95" s="543">
        <f t="shared" si="49"/>
        <v>50551963.338566609</v>
      </c>
      <c r="M95" s="543">
        <f t="shared" ref="M95:R95" si="50">+SUM(M96:M99)</f>
        <v>50964232.425356537</v>
      </c>
      <c r="N95" s="543">
        <f t="shared" si="50"/>
        <v>52474361.259312101</v>
      </c>
      <c r="O95" s="543">
        <f t="shared" si="50"/>
        <v>50349013.984039314</v>
      </c>
      <c r="P95" s="543">
        <f t="shared" si="50"/>
        <v>54363640.398909025</v>
      </c>
      <c r="Q95" s="543">
        <f t="shared" si="50"/>
        <v>49713551.309563525</v>
      </c>
      <c r="R95" s="545">
        <f t="shared" si="50"/>
        <v>93751510.127036065</v>
      </c>
      <c r="S95" s="546">
        <f t="shared" si="47"/>
        <v>605399047.94999993</v>
      </c>
      <c r="T95" s="522">
        <f t="shared" si="48"/>
        <v>8.6067535961046335</v>
      </c>
      <c r="V95" s="292"/>
    </row>
    <row r="96" spans="1:26">
      <c r="A96" s="105" t="str">
        <f t="shared" si="42"/>
        <v>7121p</v>
      </c>
      <c r="B96" s="626" t="str">
        <f>+VLOOKUP(LEFT($A96,LEN(A96)-1)*1,Master!$D$30:$G$229,4,FALSE)</f>
        <v>Doprinosi za penzijsko i invalidsko osiguranje</v>
      </c>
      <c r="C96" s="627"/>
      <c r="D96" s="627"/>
      <c r="E96" s="627"/>
      <c r="F96" s="627"/>
      <c r="G96" s="77">
        <v>15107540.897000929</v>
      </c>
      <c r="H96" s="77">
        <v>40305437.222684398</v>
      </c>
      <c r="I96" s="77">
        <v>41579529.6672429</v>
      </c>
      <c r="J96" s="77">
        <v>46231459.004317187</v>
      </c>
      <c r="K96" s="77">
        <v>44651588.880563311</v>
      </c>
      <c r="L96" s="77">
        <v>46822646.22277157</v>
      </c>
      <c r="M96" s="77">
        <v>47257904.543847948</v>
      </c>
      <c r="N96" s="77">
        <v>48709049.092347272</v>
      </c>
      <c r="O96" s="77">
        <v>46357711.69623474</v>
      </c>
      <c r="P96" s="77">
        <v>50246198.769257635</v>
      </c>
      <c r="Q96" s="77">
        <v>45838849.938908279</v>
      </c>
      <c r="R96" s="77">
        <v>86674431.954823792</v>
      </c>
      <c r="S96" s="101">
        <f t="shared" si="47"/>
        <v>559782347.88999999</v>
      </c>
      <c r="T96" s="436">
        <f t="shared" si="48"/>
        <v>7.9582363930907025</v>
      </c>
      <c r="V96" s="292"/>
      <c r="W96" s="292"/>
    </row>
    <row r="97" spans="1:23">
      <c r="A97" s="105" t="str">
        <f t="shared" si="42"/>
        <v>7122p</v>
      </c>
      <c r="B97" s="626" t="str">
        <f>+VLOOKUP(LEFT($A97,LEN(A97)-1)*1,Master!$D$30:$G$229,4,FALSE)</f>
        <v>Doprinosi za zdravstveno osiguranje</v>
      </c>
      <c r="C97" s="627"/>
      <c r="D97" s="627"/>
      <c r="E97" s="627"/>
      <c r="F97" s="627"/>
      <c r="G97" s="77">
        <v>128998.53121441192</v>
      </c>
      <c r="H97" s="77">
        <v>275556.51165052858</v>
      </c>
      <c r="I97" s="77">
        <v>180181.08257484142</v>
      </c>
      <c r="J97" s="77">
        <v>229244.65815501672</v>
      </c>
      <c r="K97" s="77">
        <v>255605.92274265984</v>
      </c>
      <c r="L97" s="77">
        <v>237031.78373634661</v>
      </c>
      <c r="M97" s="77">
        <v>208441.15359945668</v>
      </c>
      <c r="N97" s="77">
        <v>183197.86811796174</v>
      </c>
      <c r="O97" s="77">
        <v>439037.7087866519</v>
      </c>
      <c r="P97" s="77">
        <v>198177.17517812611</v>
      </c>
      <c r="Q97" s="77">
        <v>252339.37554671103</v>
      </c>
      <c r="R97" s="77">
        <v>412188.22869728797</v>
      </c>
      <c r="S97" s="101">
        <f t="shared" si="47"/>
        <v>3000000</v>
      </c>
      <c r="T97" s="436">
        <f t="shared" si="48"/>
        <v>4.2649985783338069E-2</v>
      </c>
      <c r="V97" s="292"/>
    </row>
    <row r="98" spans="1:23">
      <c r="A98" s="105" t="str">
        <f t="shared" si="42"/>
        <v>7123p</v>
      </c>
      <c r="B98" s="626" t="str">
        <f>+VLOOKUP(LEFT($A98,LEN(A98)-1)*1,Master!$D$30:$G$229,4,FALSE)</f>
        <v>Doprinosi za osiguranje od nezaposlenosti</v>
      </c>
      <c r="C98" s="627"/>
      <c r="D98" s="627"/>
      <c r="E98" s="627"/>
      <c r="F98" s="627"/>
      <c r="G98" s="77">
        <v>652800.53008117527</v>
      </c>
      <c r="H98" s="77">
        <v>1715642.9051287719</v>
      </c>
      <c r="I98" s="77">
        <v>1754023.8579447954</v>
      </c>
      <c r="J98" s="77">
        <v>1982407.8906747878</v>
      </c>
      <c r="K98" s="77">
        <v>1897711.3195239312</v>
      </c>
      <c r="L98" s="77">
        <v>1960821.9840019587</v>
      </c>
      <c r="M98" s="77">
        <v>1975020.7772685695</v>
      </c>
      <c r="N98" s="77">
        <v>2096351.9564830353</v>
      </c>
      <c r="O98" s="77">
        <v>2032210.9670301753</v>
      </c>
      <c r="P98" s="77">
        <v>2198914.888620181</v>
      </c>
      <c r="Q98" s="77">
        <v>2000429.4325449851</v>
      </c>
      <c r="R98" s="77">
        <v>3731281.5306976326</v>
      </c>
      <c r="S98" s="101">
        <f t="shared" si="47"/>
        <v>23997618.039999995</v>
      </c>
      <c r="T98" s="436">
        <f t="shared" si="48"/>
        <v>0.34116602274665903</v>
      </c>
      <c r="V98" s="292"/>
    </row>
    <row r="99" spans="1:23">
      <c r="A99" s="105" t="str">
        <f t="shared" si="42"/>
        <v>7124p</v>
      </c>
      <c r="B99" s="626" t="str">
        <f>+VLOOKUP(LEFT($A99,LEN(A99)-1)*1,Master!$D$30:$G$229,4,FALSE)</f>
        <v>Ostali doprinosi</v>
      </c>
      <c r="C99" s="627"/>
      <c r="D99" s="627"/>
      <c r="E99" s="627"/>
      <c r="F99" s="627"/>
      <c r="G99" s="77">
        <v>462715.45863570302</v>
      </c>
      <c r="H99" s="77">
        <v>1251415.9449440332</v>
      </c>
      <c r="I99" s="77">
        <v>1419460.1275517347</v>
      </c>
      <c r="J99" s="77">
        <v>1633180.7565672826</v>
      </c>
      <c r="K99" s="77">
        <v>1516273.9380183634</v>
      </c>
      <c r="L99" s="77">
        <v>1531463.3480567331</v>
      </c>
      <c r="M99" s="77">
        <v>1522865.9506405692</v>
      </c>
      <c r="N99" s="77">
        <v>1485762.3423638348</v>
      </c>
      <c r="O99" s="77">
        <v>1520053.6119877459</v>
      </c>
      <c r="P99" s="77">
        <v>1720349.5658530837</v>
      </c>
      <c r="Q99" s="77">
        <v>1621932.5625635546</v>
      </c>
      <c r="R99" s="77">
        <v>2933608.4128173613</v>
      </c>
      <c r="S99" s="101">
        <f t="shared" si="47"/>
        <v>18619082.02</v>
      </c>
      <c r="T99" s="436">
        <f t="shared" si="48"/>
        <v>0.26470119448393514</v>
      </c>
      <c r="V99" s="292"/>
    </row>
    <row r="100" spans="1:23">
      <c r="A100" s="105" t="str">
        <f t="shared" si="42"/>
        <v>713p</v>
      </c>
      <c r="B100" s="636" t="str">
        <f>+VLOOKUP(LEFT($A100,LEN(A100)-1)*1,Master!$D$30:$G$229,4,FALSE)</f>
        <v>Takse</v>
      </c>
      <c r="C100" s="637"/>
      <c r="D100" s="637"/>
      <c r="E100" s="637"/>
      <c r="F100" s="637"/>
      <c r="G100" s="510">
        <v>748860.49593329686</v>
      </c>
      <c r="H100" s="510">
        <v>953485.20987465465</v>
      </c>
      <c r="I100" s="510">
        <v>1089304.8526208741</v>
      </c>
      <c r="J100" s="510">
        <v>1026263.3154744842</v>
      </c>
      <c r="K100" s="510">
        <v>1352524.7555279485</v>
      </c>
      <c r="L100" s="510">
        <v>1432990.8665296927</v>
      </c>
      <c r="M100" s="510">
        <v>1590359.9048749318</v>
      </c>
      <c r="N100" s="510">
        <v>1811559.3329411284</v>
      </c>
      <c r="O100" s="510">
        <v>1526095.1346786334</v>
      </c>
      <c r="P100" s="510">
        <v>1507019.7783381043</v>
      </c>
      <c r="Q100" s="510">
        <v>1214632.6297800925</v>
      </c>
      <c r="R100" s="510">
        <v>1598448.2234261595</v>
      </c>
      <c r="S100" s="546">
        <f t="shared" si="47"/>
        <v>15851544.500000004</v>
      </c>
      <c r="T100" s="522">
        <f t="shared" si="48"/>
        <v>0.2253560491896503</v>
      </c>
      <c r="V100" s="292"/>
    </row>
    <row r="101" spans="1:23">
      <c r="A101" s="105" t="str">
        <f t="shared" si="42"/>
        <v>714p</v>
      </c>
      <c r="B101" s="636" t="str">
        <f>+VLOOKUP(LEFT($A101,LEN(A101)-1)*1,Master!$D$30:$G$229,4,FALSE)</f>
        <v>Naknade</v>
      </c>
      <c r="C101" s="637"/>
      <c r="D101" s="637"/>
      <c r="E101" s="637"/>
      <c r="F101" s="637"/>
      <c r="G101" s="510">
        <v>2682300.8007396669</v>
      </c>
      <c r="H101" s="510">
        <v>3068842.3901493941</v>
      </c>
      <c r="I101" s="510">
        <v>3887539.9432760077</v>
      </c>
      <c r="J101" s="510">
        <v>3944624.4181581014</v>
      </c>
      <c r="K101" s="510">
        <v>4975153.702935664</v>
      </c>
      <c r="L101" s="510">
        <v>5391338.4291397706</v>
      </c>
      <c r="M101" s="510">
        <v>4551170.0714253988</v>
      </c>
      <c r="N101" s="510">
        <v>6300259.5139867421</v>
      </c>
      <c r="O101" s="510">
        <v>4876357.2568455562</v>
      </c>
      <c r="P101" s="510">
        <v>7715065.1027632868</v>
      </c>
      <c r="Q101" s="510">
        <v>9181200.883062087</v>
      </c>
      <c r="R101" s="510">
        <v>6249228.1375183258</v>
      </c>
      <c r="S101" s="546">
        <f t="shared" si="47"/>
        <v>62823080.649999999</v>
      </c>
      <c r="T101" s="522">
        <f t="shared" si="48"/>
        <v>0.89313449886266705</v>
      </c>
      <c r="V101" s="292"/>
    </row>
    <row r="102" spans="1:23">
      <c r="A102" s="105" t="str">
        <f t="shared" si="42"/>
        <v>715p</v>
      </c>
      <c r="B102" s="636" t="str">
        <f>+VLOOKUP(LEFT($A102,LEN(A102)-1)*1,Master!$D$30:$G$229,4,FALSE)</f>
        <v>Ostali prihodi</v>
      </c>
      <c r="C102" s="637"/>
      <c r="D102" s="637"/>
      <c r="E102" s="637"/>
      <c r="F102" s="637"/>
      <c r="G102" s="510">
        <v>4850852.370284291</v>
      </c>
      <c r="H102" s="510">
        <v>4543893.9555307049</v>
      </c>
      <c r="I102" s="510">
        <v>5155108.6307039</v>
      </c>
      <c r="J102" s="510">
        <v>8577664.0265969969</v>
      </c>
      <c r="K102" s="510">
        <v>4181225.1038118028</v>
      </c>
      <c r="L102" s="510">
        <v>8484983.9839163478</v>
      </c>
      <c r="M102" s="510">
        <v>17098272.995156821</v>
      </c>
      <c r="N102" s="510">
        <v>20053662.995308049</v>
      </c>
      <c r="O102" s="510">
        <v>14711690.041677319</v>
      </c>
      <c r="P102" s="510">
        <v>10010521.839120742</v>
      </c>
      <c r="Q102" s="510">
        <v>4813954.3170404471</v>
      </c>
      <c r="R102" s="510">
        <v>5929313.0708526587</v>
      </c>
      <c r="S102" s="546">
        <f t="shared" si="47"/>
        <v>108411143.33000009</v>
      </c>
      <c r="T102" s="522">
        <f t="shared" si="48"/>
        <v>1.5412445739266434</v>
      </c>
      <c r="V102" s="292"/>
    </row>
    <row r="103" spans="1:23">
      <c r="A103" s="105" t="str">
        <f t="shared" si="42"/>
        <v>73p</v>
      </c>
      <c r="B103" s="636" t="str">
        <f>+VLOOKUP(LEFT($A103,LEN(A103)-1)*1,Master!$D$30:$G$229,4,FALSE)</f>
        <v>Primici od otplate kredita i sredstva prenesena iz prethodne godine</v>
      </c>
      <c r="C103" s="637"/>
      <c r="D103" s="637"/>
      <c r="E103" s="637"/>
      <c r="F103" s="637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38" t="str">
        <f>+VLOOKUP(LEFT($A104,LEN(A104)-1)*1,Master!$D$30:$G$229,4,FALSE)</f>
        <v>Donacije i transferi</v>
      </c>
      <c r="C104" s="639"/>
      <c r="D104" s="639"/>
      <c r="E104" s="639"/>
      <c r="F104" s="639"/>
      <c r="G104" s="510">
        <v>4000000</v>
      </c>
      <c r="H104" s="510">
        <v>1850000</v>
      </c>
      <c r="I104" s="510">
        <v>1500000</v>
      </c>
      <c r="J104" s="510">
        <v>1250000</v>
      </c>
      <c r="K104" s="510">
        <v>2153709.39777778</v>
      </c>
      <c r="L104" s="510">
        <v>4349999.9977777796</v>
      </c>
      <c r="M104" s="510">
        <v>4361128.1955555324</v>
      </c>
      <c r="N104" s="510">
        <v>4003709.39777778</v>
      </c>
      <c r="O104" s="510">
        <v>4403709.39777778</v>
      </c>
      <c r="P104" s="510">
        <v>4453709.39777778</v>
      </c>
      <c r="Q104" s="510">
        <v>4523709.39777778</v>
      </c>
      <c r="R104" s="510">
        <v>4450324.8177777799</v>
      </c>
      <c r="S104" s="547">
        <f t="shared" si="47"/>
        <v>41300000</v>
      </c>
      <c r="T104" s="524">
        <f t="shared" si="48"/>
        <v>0.58714813761728746</v>
      </c>
      <c r="V104" s="292"/>
    </row>
    <row r="105" spans="1:23" ht="13.5" thickBot="1">
      <c r="A105" s="105" t="str">
        <f t="shared" si="42"/>
        <v>4p</v>
      </c>
      <c r="B105" s="622" t="str">
        <f>+VLOOKUP(LEFT($A105,LEN(A105)-1)*1,Master!$D$30:$G$229,4,FALSE)</f>
        <v>Izdaci budžeta</v>
      </c>
      <c r="C105" s="623"/>
      <c r="D105" s="623"/>
      <c r="E105" s="623"/>
      <c r="F105" s="623"/>
      <c r="G105" s="505">
        <f t="shared" ref="G105:L105" si="51">+G106+G116+G122+SUM(G123:G127)</f>
        <v>184919053.78499997</v>
      </c>
      <c r="H105" s="505">
        <f t="shared" si="51"/>
        <v>232561234.48499998</v>
      </c>
      <c r="I105" s="505">
        <f t="shared" si="51"/>
        <v>238081263.40500003</v>
      </c>
      <c r="J105" s="505">
        <f t="shared" si="51"/>
        <v>255682841.11500001</v>
      </c>
      <c r="K105" s="505">
        <f t="shared" si="51"/>
        <v>241962982.43500003</v>
      </c>
      <c r="L105" s="505">
        <f t="shared" si="51"/>
        <v>234003907.77500001</v>
      </c>
      <c r="M105" s="505">
        <f t="shared" ref="M105:R105" si="52">+M106+M116+M122+SUM(M123:M127)</f>
        <v>264700451.39499998</v>
      </c>
      <c r="N105" s="505">
        <f t="shared" si="52"/>
        <v>232010503.685</v>
      </c>
      <c r="O105" s="505">
        <f t="shared" si="52"/>
        <v>242368363.40499997</v>
      </c>
      <c r="P105" s="505">
        <f t="shared" si="52"/>
        <v>248749473.49499997</v>
      </c>
      <c r="Q105" s="505">
        <f t="shared" si="52"/>
        <v>263598346.51499999</v>
      </c>
      <c r="R105" s="505">
        <f t="shared" si="52"/>
        <v>314228950.07499999</v>
      </c>
      <c r="S105" s="548">
        <f>+SUM(G105:R105)</f>
        <v>2952867371.5699997</v>
      </c>
      <c r="T105" s="549">
        <f t="shared" si="48"/>
        <v>41.979917139181119</v>
      </c>
      <c r="V105" s="275"/>
    </row>
    <row r="106" spans="1:23">
      <c r="A106" s="105" t="str">
        <f t="shared" si="42"/>
        <v>41p</v>
      </c>
      <c r="B106" s="640" t="str">
        <f>+VLOOKUP(LEFT($A106,LEN(A106)-1)*1,Master!$D$30:$G$229,4,FALSE)</f>
        <v>Tekući izdaci</v>
      </c>
      <c r="C106" s="641"/>
      <c r="D106" s="641"/>
      <c r="E106" s="641"/>
      <c r="F106" s="641"/>
      <c r="G106" s="511">
        <f t="shared" ref="G106:L106" si="53">+SUM(G107:G115)</f>
        <v>87878650.644999996</v>
      </c>
      <c r="H106" s="511">
        <f t="shared" si="53"/>
        <v>86906152.424999982</v>
      </c>
      <c r="I106" s="511">
        <f t="shared" si="53"/>
        <v>95451885.045000017</v>
      </c>
      <c r="J106" s="511">
        <f t="shared" si="53"/>
        <v>106856668.84499998</v>
      </c>
      <c r="K106" s="511">
        <f t="shared" si="53"/>
        <v>97851421.115000039</v>
      </c>
      <c r="L106" s="511">
        <f t="shared" si="53"/>
        <v>89489132.13499999</v>
      </c>
      <c r="M106" s="511">
        <f t="shared" ref="M106:R106" si="54">+SUM(M107:M115)</f>
        <v>93027671.495000005</v>
      </c>
      <c r="N106" s="511">
        <f t="shared" si="54"/>
        <v>85997595.745000005</v>
      </c>
      <c r="O106" s="511">
        <f t="shared" si="54"/>
        <v>93577491.554999977</v>
      </c>
      <c r="P106" s="511">
        <f t="shared" si="54"/>
        <v>102706807.965</v>
      </c>
      <c r="Q106" s="511">
        <f t="shared" si="54"/>
        <v>96849062.034999996</v>
      </c>
      <c r="R106" s="512">
        <f t="shared" si="54"/>
        <v>129450330.31499998</v>
      </c>
      <c r="S106" s="542">
        <f t="shared" si="47"/>
        <v>1166042869.3199999</v>
      </c>
      <c r="T106" s="519">
        <f t="shared" si="48"/>
        <v>16.577237266420244</v>
      </c>
      <c r="V106" s="275"/>
      <c r="W106" s="275"/>
    </row>
    <row r="107" spans="1:23">
      <c r="A107" s="105" t="str">
        <f t="shared" si="42"/>
        <v>411p</v>
      </c>
      <c r="B107" s="626" t="str">
        <f>+VLOOKUP(LEFT($A107,LEN(A107)-1)*1,Master!$D$30:$G$229,4,FALSE)</f>
        <v>Bruto zarade i doprinosi na teret poslodavca</v>
      </c>
      <c r="C107" s="627"/>
      <c r="D107" s="627"/>
      <c r="E107" s="627"/>
      <c r="F107" s="627"/>
      <c r="G107" s="77">
        <v>57236559.594999999</v>
      </c>
      <c r="H107" s="77">
        <v>55816093.644999981</v>
      </c>
      <c r="I107" s="77">
        <v>56488796.335000001</v>
      </c>
      <c r="J107" s="77">
        <v>56489142.515000008</v>
      </c>
      <c r="K107" s="77">
        <v>56540382.745000005</v>
      </c>
      <c r="L107" s="77">
        <v>56491886.404999994</v>
      </c>
      <c r="M107" s="77">
        <v>56491988.854999997</v>
      </c>
      <c r="N107" s="77">
        <v>56492266.684999995</v>
      </c>
      <c r="O107" s="77">
        <v>56492339.675000004</v>
      </c>
      <c r="P107" s="77">
        <v>56496440.484999992</v>
      </c>
      <c r="Q107" s="77">
        <v>56495043.11500001</v>
      </c>
      <c r="R107" s="77">
        <v>56488380.25499998</v>
      </c>
      <c r="S107" s="101">
        <f t="shared" si="47"/>
        <v>678019320.31000006</v>
      </c>
      <c r="T107" s="436">
        <f t="shared" si="48"/>
        <v>9.6391714573500149</v>
      </c>
      <c r="V107" s="488"/>
    </row>
    <row r="108" spans="1:23">
      <c r="A108" s="105" t="str">
        <f t="shared" si="42"/>
        <v>412p</v>
      </c>
      <c r="B108" s="626" t="str">
        <f>+VLOOKUP(LEFT($A108,LEN(A108)-1)*1,Master!$D$30:$G$229,4,FALSE)</f>
        <v>Ostala lična primanja</v>
      </c>
      <c r="C108" s="627"/>
      <c r="D108" s="627"/>
      <c r="E108" s="627"/>
      <c r="F108" s="627"/>
      <c r="G108" s="77">
        <v>2100463.6400000006</v>
      </c>
      <c r="H108" s="77">
        <v>1740741.4700000007</v>
      </c>
      <c r="I108" s="77">
        <v>1753124.9700000007</v>
      </c>
      <c r="J108" s="77">
        <v>1673330.2600000009</v>
      </c>
      <c r="K108" s="77">
        <v>1703169.2100000009</v>
      </c>
      <c r="L108" s="77">
        <v>1690210.7300000009</v>
      </c>
      <c r="M108" s="77">
        <v>1580765.9100000006</v>
      </c>
      <c r="N108" s="77">
        <v>1509788.27</v>
      </c>
      <c r="O108" s="77">
        <v>1478140.4400000002</v>
      </c>
      <c r="P108" s="77">
        <v>1471283.5899999999</v>
      </c>
      <c r="Q108" s="77">
        <v>1474746.63</v>
      </c>
      <c r="R108" s="77">
        <v>1592508.5300000003</v>
      </c>
      <c r="S108" s="101">
        <f t="shared" si="47"/>
        <v>19768273.650000006</v>
      </c>
      <c r="T108" s="436">
        <f t="shared" si="48"/>
        <v>0.28103886337787892</v>
      </c>
      <c r="V108" s="488"/>
    </row>
    <row r="109" spans="1:23">
      <c r="A109" s="105" t="str">
        <f t="shared" si="42"/>
        <v>413p</v>
      </c>
      <c r="B109" s="626" t="str">
        <f>+VLOOKUP(LEFT($A109,LEN(A109)-1)*1,Master!$D$30:$G$229,4,FALSE)</f>
        <v>Rashodi za materijal</v>
      </c>
      <c r="C109" s="627"/>
      <c r="D109" s="627"/>
      <c r="E109" s="627"/>
      <c r="F109" s="627"/>
      <c r="G109" s="77">
        <v>2592981.6999999997</v>
      </c>
      <c r="H109" s="77">
        <v>4515110.08</v>
      </c>
      <c r="I109" s="77">
        <v>4746218.3499999987</v>
      </c>
      <c r="J109" s="77">
        <v>3300771.2399999998</v>
      </c>
      <c r="K109" s="77">
        <v>3656056.06</v>
      </c>
      <c r="L109" s="77">
        <v>3933495.0999999992</v>
      </c>
      <c r="M109" s="77">
        <v>3252425.830000001</v>
      </c>
      <c r="N109" s="77">
        <v>4247306.54</v>
      </c>
      <c r="O109" s="77">
        <v>4898294.7299999995</v>
      </c>
      <c r="P109" s="77">
        <v>4877488.2399999993</v>
      </c>
      <c r="Q109" s="77">
        <v>3741414.1999999993</v>
      </c>
      <c r="R109" s="77">
        <v>8382271.0100000016</v>
      </c>
      <c r="S109" s="101">
        <f t="shared" si="47"/>
        <v>52143833.079999998</v>
      </c>
      <c r="T109" s="436">
        <f t="shared" si="48"/>
        <v>0.74131124651691782</v>
      </c>
      <c r="V109" s="488"/>
    </row>
    <row r="110" spans="1:23">
      <c r="A110" s="105" t="str">
        <f t="shared" si="42"/>
        <v>414p</v>
      </c>
      <c r="B110" s="626" t="str">
        <f>+VLOOKUP(LEFT($A110,LEN(A110)-1)*1,Master!$D$30:$G$229,4,FALSE)</f>
        <v>Rashodi za usluge</v>
      </c>
      <c r="C110" s="627"/>
      <c r="D110" s="627"/>
      <c r="E110" s="627"/>
      <c r="F110" s="627"/>
      <c r="G110" s="77">
        <v>3340743.4700000011</v>
      </c>
      <c r="H110" s="77">
        <v>6097662.4100000001</v>
      </c>
      <c r="I110" s="77">
        <v>5978418.9100000011</v>
      </c>
      <c r="J110" s="77">
        <v>5854559.3200000003</v>
      </c>
      <c r="K110" s="77">
        <v>5703795.0300000012</v>
      </c>
      <c r="L110" s="77">
        <v>6644319.4900000021</v>
      </c>
      <c r="M110" s="77">
        <v>6131057.3700000001</v>
      </c>
      <c r="N110" s="77">
        <v>5400846.6300000008</v>
      </c>
      <c r="O110" s="77">
        <v>6228111.6400000025</v>
      </c>
      <c r="P110" s="77">
        <v>6383895.8200000003</v>
      </c>
      <c r="Q110" s="77">
        <v>5837864.5599999996</v>
      </c>
      <c r="R110" s="77">
        <v>9975968.3799999971</v>
      </c>
      <c r="S110" s="101">
        <f t="shared" si="47"/>
        <v>73577243.030000016</v>
      </c>
      <c r="T110" s="436">
        <f t="shared" si="48"/>
        <v>1.0460227897355703</v>
      </c>
      <c r="V110" s="488"/>
    </row>
    <row r="111" spans="1:23">
      <c r="A111" s="105" t="str">
        <f t="shared" si="42"/>
        <v>415p</v>
      </c>
      <c r="B111" s="626" t="str">
        <f>+VLOOKUP(LEFT($A111,LEN(A111)-1)*1,Master!$D$30:$G$229,4,FALSE)</f>
        <v>Rashodi za tekuće održavanje</v>
      </c>
      <c r="C111" s="627"/>
      <c r="D111" s="627"/>
      <c r="E111" s="627"/>
      <c r="F111" s="627"/>
      <c r="G111" s="77">
        <v>1533230.38</v>
      </c>
      <c r="H111" s="77">
        <v>2906620.62</v>
      </c>
      <c r="I111" s="77">
        <v>3471949</v>
      </c>
      <c r="J111" s="77">
        <v>2074494.46</v>
      </c>
      <c r="K111" s="77">
        <v>2536527.75</v>
      </c>
      <c r="L111" s="77">
        <v>2985743.0999999996</v>
      </c>
      <c r="M111" s="77">
        <v>3203540.1100000003</v>
      </c>
      <c r="N111" s="77">
        <v>3414396.59</v>
      </c>
      <c r="O111" s="77">
        <v>2851647.1499999985</v>
      </c>
      <c r="P111" s="77">
        <v>4359813.2799999993</v>
      </c>
      <c r="Q111" s="77">
        <v>3607336.46</v>
      </c>
      <c r="R111" s="77">
        <v>6711210.7199999997</v>
      </c>
      <c r="S111" s="101">
        <f t="shared" si="47"/>
        <v>39656509.619999997</v>
      </c>
      <c r="T111" s="436">
        <f t="shared" si="48"/>
        <v>0.56378319050326986</v>
      </c>
      <c r="V111" s="488"/>
    </row>
    <row r="112" spans="1:23">
      <c r="A112" s="105" t="str">
        <f t="shared" si="42"/>
        <v>416p</v>
      </c>
      <c r="B112" s="626" t="str">
        <f>+VLOOKUP(LEFT($A112,LEN(A112)-1)*1,Master!$D$30:$G$229,4,FALSE)</f>
        <v>Kamate</v>
      </c>
      <c r="C112" s="627"/>
      <c r="D112" s="627"/>
      <c r="E112" s="627"/>
      <c r="F112" s="627"/>
      <c r="G112" s="77">
        <v>7863506.3399999999</v>
      </c>
      <c r="H112" s="77">
        <v>3853520.3899999992</v>
      </c>
      <c r="I112" s="77">
        <v>7002612.4900000021</v>
      </c>
      <c r="J112" s="77">
        <v>25979515.719999999</v>
      </c>
      <c r="K112" s="77">
        <v>14697879.240000002</v>
      </c>
      <c r="L112" s="77">
        <v>5859746.7600000016</v>
      </c>
      <c r="M112" s="77">
        <v>7379836.4300000006</v>
      </c>
      <c r="N112" s="77">
        <v>3537784.6200000006</v>
      </c>
      <c r="O112" s="77">
        <v>5550692.9700000016</v>
      </c>
      <c r="P112" s="77">
        <v>17060783.899999999</v>
      </c>
      <c r="Q112" s="77">
        <v>12954508.439999999</v>
      </c>
      <c r="R112" s="77">
        <v>26653631.520000003</v>
      </c>
      <c r="S112" s="101">
        <f t="shared" si="47"/>
        <v>138394018.82000002</v>
      </c>
      <c r="T112" s="436">
        <f t="shared" si="48"/>
        <v>1.9675009783906743</v>
      </c>
      <c r="V112" s="488"/>
    </row>
    <row r="113" spans="1:22">
      <c r="A113" s="105" t="str">
        <f t="shared" si="42"/>
        <v>417p</v>
      </c>
      <c r="B113" s="626" t="str">
        <f>+VLOOKUP(LEFT($A113,LEN(A113)-1)*1,Master!$D$30:$G$229,4,FALSE)</f>
        <v>Renta</v>
      </c>
      <c r="C113" s="627"/>
      <c r="D113" s="627"/>
      <c r="E113" s="627"/>
      <c r="F113" s="627"/>
      <c r="G113" s="77">
        <v>1176076.0799999998</v>
      </c>
      <c r="H113" s="77">
        <v>1161701.6599999999</v>
      </c>
      <c r="I113" s="77">
        <v>1156431.0099999998</v>
      </c>
      <c r="J113" s="77">
        <v>1194352.0699999998</v>
      </c>
      <c r="K113" s="77">
        <v>1202203.7899999998</v>
      </c>
      <c r="L113" s="77">
        <v>1154047.0699999998</v>
      </c>
      <c r="M113" s="77">
        <v>1152607.0699999998</v>
      </c>
      <c r="N113" s="77">
        <v>1139907.0699999998</v>
      </c>
      <c r="O113" s="77">
        <v>1137807.0699999998</v>
      </c>
      <c r="P113" s="77">
        <v>1136957.1399999997</v>
      </c>
      <c r="Q113" s="77">
        <v>1144485.0599999998</v>
      </c>
      <c r="R113" s="77">
        <v>1103438.5100000002</v>
      </c>
      <c r="S113" s="101">
        <f t="shared" si="47"/>
        <v>13860013.600000001</v>
      </c>
      <c r="T113" s="436">
        <f t="shared" si="48"/>
        <v>0.19704312766562412</v>
      </c>
      <c r="V113" s="488"/>
    </row>
    <row r="114" spans="1:22">
      <c r="A114" s="105" t="str">
        <f t="shared" si="42"/>
        <v>418p</v>
      </c>
      <c r="B114" s="626" t="str">
        <f>+VLOOKUP(LEFT($A114,LEN(A114)-1)*1,Master!$D$30:$G$229,4,FALSE)</f>
        <v>Subvencije</v>
      </c>
      <c r="C114" s="627"/>
      <c r="D114" s="627"/>
      <c r="E114" s="627"/>
      <c r="F114" s="627"/>
      <c r="G114" s="77">
        <v>2842083.57</v>
      </c>
      <c r="H114" s="77">
        <v>3401967.33</v>
      </c>
      <c r="I114" s="77">
        <v>6003432.1100000013</v>
      </c>
      <c r="J114" s="77">
        <v>4923572.21</v>
      </c>
      <c r="K114" s="77">
        <v>6362355.2300000004</v>
      </c>
      <c r="L114" s="77">
        <v>4867109.51</v>
      </c>
      <c r="M114" s="77">
        <v>6273241.120000001</v>
      </c>
      <c r="N114" s="77">
        <v>5041530.7700000005</v>
      </c>
      <c r="O114" s="77">
        <v>7541341.7899999982</v>
      </c>
      <c r="P114" s="77">
        <v>4558113.120000001</v>
      </c>
      <c r="Q114" s="77">
        <v>6140335.8600000003</v>
      </c>
      <c r="R114" s="77">
        <v>9191186.3399999943</v>
      </c>
      <c r="S114" s="101">
        <f t="shared" si="47"/>
        <v>67146268.959999993</v>
      </c>
      <c r="T114" s="436">
        <f t="shared" si="48"/>
        <v>0.95459580551606471</v>
      </c>
      <c r="V114" s="488"/>
    </row>
    <row r="115" spans="1:22">
      <c r="A115" s="105" t="str">
        <f t="shared" si="42"/>
        <v>419p</v>
      </c>
      <c r="B115" s="626" t="str">
        <f>+VLOOKUP(LEFT($A115,LEN(A115)-1)*1,Master!$D$30:$G$229,4,FALSE)</f>
        <v>Ostali izdaci</v>
      </c>
      <c r="C115" s="627"/>
      <c r="D115" s="627"/>
      <c r="E115" s="627"/>
      <c r="F115" s="627"/>
      <c r="G115" s="77">
        <v>9193005.8699999992</v>
      </c>
      <c r="H115" s="77">
        <v>7412734.8200000003</v>
      </c>
      <c r="I115" s="77">
        <v>8850901.870000001</v>
      </c>
      <c r="J115" s="77">
        <v>5366931.0500000007</v>
      </c>
      <c r="K115" s="77">
        <v>5449052.0600000005</v>
      </c>
      <c r="L115" s="77">
        <v>5862573.9700000007</v>
      </c>
      <c r="M115" s="77">
        <v>7562208.8000000007</v>
      </c>
      <c r="N115" s="77">
        <v>5213768.57</v>
      </c>
      <c r="O115" s="77">
        <v>7399116.0900000017</v>
      </c>
      <c r="P115" s="77">
        <v>6362032.3899999997</v>
      </c>
      <c r="Q115" s="77">
        <v>5453327.71</v>
      </c>
      <c r="R115" s="77">
        <v>9351735.0500000026</v>
      </c>
      <c r="S115" s="101">
        <f t="shared" si="47"/>
        <v>83477388.249999985</v>
      </c>
      <c r="T115" s="436">
        <f t="shared" si="48"/>
        <v>1.1867698073642308</v>
      </c>
      <c r="V115" s="488"/>
    </row>
    <row r="116" spans="1:22">
      <c r="A116" s="105" t="str">
        <f t="shared" si="42"/>
        <v>42p</v>
      </c>
      <c r="B116" s="646" t="str">
        <f>+VLOOKUP(LEFT($A116,LEN(A116)-1)*1,Master!$D$30:$G$229,4,FALSE)</f>
        <v>Transferi za socijalnu zaštitu</v>
      </c>
      <c r="C116" s="647"/>
      <c r="D116" s="647"/>
      <c r="E116" s="647"/>
      <c r="F116" s="647"/>
      <c r="G116" s="507">
        <f t="shared" ref="G116:L116" si="55">+SUM(G117:G121)</f>
        <v>75443525</v>
      </c>
      <c r="H116" s="507">
        <f t="shared" si="55"/>
        <v>84394445.159999996</v>
      </c>
      <c r="I116" s="507">
        <f t="shared" si="55"/>
        <v>83399809.099999994</v>
      </c>
      <c r="J116" s="507">
        <f t="shared" si="55"/>
        <v>83769996.049999997</v>
      </c>
      <c r="K116" s="507">
        <f t="shared" si="55"/>
        <v>83769996.049999997</v>
      </c>
      <c r="L116" s="507">
        <f t="shared" si="55"/>
        <v>87049024.140000001</v>
      </c>
      <c r="M116" s="507">
        <f t="shared" ref="M116:R116" si="56">+SUM(M117:M121)</f>
        <v>85963012.349999994</v>
      </c>
      <c r="N116" s="507">
        <f t="shared" si="56"/>
        <v>86096697.659999996</v>
      </c>
      <c r="O116" s="507">
        <f t="shared" si="56"/>
        <v>86097697.659999996</v>
      </c>
      <c r="P116" s="507">
        <f t="shared" si="56"/>
        <v>86972569.239999995</v>
      </c>
      <c r="Q116" s="507">
        <f t="shared" si="56"/>
        <v>86972569.239999995</v>
      </c>
      <c r="R116" s="507">
        <f t="shared" si="56"/>
        <v>81090155.569999993</v>
      </c>
      <c r="S116" s="546">
        <f t="shared" si="47"/>
        <v>1011019497.22</v>
      </c>
      <c r="T116" s="522">
        <f t="shared" si="48"/>
        <v>14.373322394370202</v>
      </c>
      <c r="V116" s="292"/>
    </row>
    <row r="117" spans="1:22">
      <c r="A117" s="105" t="str">
        <f t="shared" si="42"/>
        <v>421p</v>
      </c>
      <c r="B117" s="626" t="str">
        <f>+VLOOKUP(LEFT($A117,LEN(A117)-1)*1,Master!$D$30:$G$229,4,FALSE)</f>
        <v>Prava iz oblasti socijalne zaštite</v>
      </c>
      <c r="C117" s="627"/>
      <c r="D117" s="627"/>
      <c r="E117" s="627"/>
      <c r="F117" s="627"/>
      <c r="G117" s="499">
        <v>18712760.859999999</v>
      </c>
      <c r="H117" s="499">
        <v>17947481.420000002</v>
      </c>
      <c r="I117" s="499">
        <v>17207107.52</v>
      </c>
      <c r="J117" s="499">
        <v>17577294.469999999</v>
      </c>
      <c r="K117" s="499">
        <v>17577294.469999999</v>
      </c>
      <c r="L117" s="499">
        <v>17577294.469999999</v>
      </c>
      <c r="M117" s="499">
        <v>17577294.469999999</v>
      </c>
      <c r="N117" s="499">
        <v>17577294.469999999</v>
      </c>
      <c r="O117" s="499">
        <v>17577294.469999999</v>
      </c>
      <c r="P117" s="499">
        <v>17577294.469999999</v>
      </c>
      <c r="Q117" s="499">
        <v>17577294.469999999</v>
      </c>
      <c r="R117" s="499">
        <v>17577294.440000001</v>
      </c>
      <c r="S117" s="101">
        <f t="shared" si="47"/>
        <v>212062999.99999997</v>
      </c>
      <c r="T117" s="436">
        <f t="shared" si="48"/>
        <v>3.0148279783906733</v>
      </c>
      <c r="V117" s="488"/>
    </row>
    <row r="118" spans="1:22">
      <c r="A118" s="105" t="str">
        <f t="shared" ref="A118:A134" si="57">+CONCATENATE(A42,"p")</f>
        <v>422p</v>
      </c>
      <c r="B118" s="626" t="str">
        <f>+VLOOKUP(LEFT($A118,LEN(A118)-1)*1,Master!$D$30:$G$229,4,FALSE)</f>
        <v>Sredstva za tehnološke viškove</v>
      </c>
      <c r="C118" s="627"/>
      <c r="D118" s="627"/>
      <c r="E118" s="627"/>
      <c r="F118" s="627"/>
      <c r="G118" s="499">
        <v>2092191.6600000001</v>
      </c>
      <c r="H118" s="499">
        <v>2092191.6600000001</v>
      </c>
      <c r="I118" s="499">
        <v>2092191.6600000001</v>
      </c>
      <c r="J118" s="499">
        <v>2092191.6600000001</v>
      </c>
      <c r="K118" s="499">
        <v>2092191.6600000001</v>
      </c>
      <c r="L118" s="499">
        <v>2092191.6600000001</v>
      </c>
      <c r="M118" s="499">
        <v>2092191.6600000001</v>
      </c>
      <c r="N118" s="499">
        <v>2092191.6600000001</v>
      </c>
      <c r="O118" s="499">
        <v>2092191.6600000001</v>
      </c>
      <c r="P118" s="499">
        <v>2092191.6600000001</v>
      </c>
      <c r="Q118" s="499">
        <v>2092191.6600000001</v>
      </c>
      <c r="R118" s="499">
        <v>2092191.7400000002</v>
      </c>
      <c r="S118" s="101">
        <f t="shared" si="47"/>
        <v>25106300</v>
      </c>
      <c r="T118" s="436">
        <f t="shared" si="48"/>
        <v>0.35692777935740688</v>
      </c>
      <c r="V118" s="488"/>
    </row>
    <row r="119" spans="1:22">
      <c r="A119" s="105" t="str">
        <f t="shared" si="57"/>
        <v>423p</v>
      </c>
      <c r="B119" s="626" t="str">
        <f>+VLOOKUP(LEFT($A119,LEN(A119)-1)*1,Master!$D$30:$G$229,4,FALSE)</f>
        <v>Prava iz oblasti penzijskog i invalidskog osiguranja</v>
      </c>
      <c r="C119" s="627"/>
      <c r="D119" s="627"/>
      <c r="E119" s="627"/>
      <c r="F119" s="627"/>
      <c r="G119" s="499">
        <v>51583572.480000004</v>
      </c>
      <c r="H119" s="499">
        <v>61299772.079999998</v>
      </c>
      <c r="I119" s="499">
        <v>61045509.920000002</v>
      </c>
      <c r="J119" s="499">
        <v>61045509.920000002</v>
      </c>
      <c r="K119" s="499">
        <v>61045509.920000002</v>
      </c>
      <c r="L119" s="499">
        <v>64324538.009999998</v>
      </c>
      <c r="M119" s="499">
        <v>63238526.219999999</v>
      </c>
      <c r="N119" s="499">
        <v>63372211.530000001</v>
      </c>
      <c r="O119" s="499">
        <v>63373211.530000001</v>
      </c>
      <c r="P119" s="499">
        <v>64248083.109999999</v>
      </c>
      <c r="Q119" s="499">
        <v>64248083.109999999</v>
      </c>
      <c r="R119" s="499">
        <v>58365669.389999993</v>
      </c>
      <c r="S119" s="101">
        <f t="shared" si="47"/>
        <v>737190197.22000003</v>
      </c>
      <c r="T119" s="436">
        <f t="shared" si="48"/>
        <v>10.48038381034973</v>
      </c>
      <c r="V119" s="488"/>
    </row>
    <row r="120" spans="1:22">
      <c r="A120" s="105" t="str">
        <f t="shared" si="57"/>
        <v>424p</v>
      </c>
      <c r="B120" s="626" t="str">
        <f>+VLOOKUP(LEFT($A120,LEN(A120)-1)*1,Master!$D$30:$G$229,4,FALSE)</f>
        <v>Ostala prava iz oblasti zdravstvene zaštite</v>
      </c>
      <c r="C120" s="627"/>
      <c r="D120" s="627"/>
      <c r="E120" s="627"/>
      <c r="F120" s="627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1755000</v>
      </c>
      <c r="M120" s="499">
        <v>1755000</v>
      </c>
      <c r="N120" s="499">
        <v>1755000</v>
      </c>
      <c r="O120" s="499">
        <v>1755000</v>
      </c>
      <c r="P120" s="499">
        <v>1755000</v>
      </c>
      <c r="Q120" s="499">
        <v>1755000</v>
      </c>
      <c r="R120" s="499">
        <v>1755000</v>
      </c>
      <c r="S120" s="101">
        <f t="shared" si="47"/>
        <v>21060000</v>
      </c>
      <c r="T120" s="436">
        <f t="shared" si="48"/>
        <v>0.29940290019903326</v>
      </c>
      <c r="V120" s="488"/>
    </row>
    <row r="121" spans="1:22">
      <c r="A121" s="105" t="str">
        <f t="shared" si="57"/>
        <v>425p</v>
      </c>
      <c r="B121" s="626" t="str">
        <f>+VLOOKUP(LEFT($A121,LEN(A121)-1)*1,Master!$D$30:$G$229,4,FALSE)</f>
        <v>Ostala prava iz zdravstvenog osiguranja</v>
      </c>
      <c r="C121" s="627"/>
      <c r="D121" s="627"/>
      <c r="E121" s="627"/>
      <c r="F121" s="627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1300000</v>
      </c>
      <c r="N121" s="499">
        <v>1300000</v>
      </c>
      <c r="O121" s="499">
        <v>1300000</v>
      </c>
      <c r="P121" s="499">
        <v>1300000</v>
      </c>
      <c r="Q121" s="499">
        <v>1300000</v>
      </c>
      <c r="R121" s="499">
        <v>1300000</v>
      </c>
      <c r="S121" s="101">
        <f t="shared" si="47"/>
        <v>15600000</v>
      </c>
      <c r="T121" s="436">
        <f t="shared" si="48"/>
        <v>0.22177992607335795</v>
      </c>
      <c r="V121" s="488"/>
    </row>
    <row r="122" spans="1:22">
      <c r="A122" s="105" t="str">
        <f t="shared" si="57"/>
        <v>43p</v>
      </c>
      <c r="B122" s="642" t="str">
        <f>+VLOOKUP(LEFT($A122,LEN(A122)-1)*1,Master!$D$30:$G$229,4,FALSE)</f>
        <v xml:space="preserve">Transferi institucijama, pojedincima, nevladinom i javnom sektoru </v>
      </c>
      <c r="C122" s="643"/>
      <c r="D122" s="643"/>
      <c r="E122" s="643"/>
      <c r="F122" s="643"/>
      <c r="G122" s="510">
        <v>15240044.790000003</v>
      </c>
      <c r="H122" s="510">
        <v>42312688.720000006</v>
      </c>
      <c r="I122" s="510">
        <v>37042176.149999999</v>
      </c>
      <c r="J122" s="510">
        <v>34958741.610000007</v>
      </c>
      <c r="K122" s="510">
        <v>37678023.580000006</v>
      </c>
      <c r="L122" s="510">
        <v>34190161.800000004</v>
      </c>
      <c r="M122" s="510">
        <v>45619705.909999996</v>
      </c>
      <c r="N122" s="510">
        <v>34678448.779999994</v>
      </c>
      <c r="O122" s="510">
        <v>37482586.479999997</v>
      </c>
      <c r="P122" s="510">
        <v>33245009.419999998</v>
      </c>
      <c r="Q122" s="510">
        <v>32522248.050000001</v>
      </c>
      <c r="R122" s="510">
        <v>30088892.829999998</v>
      </c>
      <c r="S122" s="546">
        <f>+SUM(G122:R122)</f>
        <v>415058728.12000006</v>
      </c>
      <c r="T122" s="522">
        <f t="shared" si="48"/>
        <v>5.9007496178561283</v>
      </c>
      <c r="V122" s="488"/>
    </row>
    <row r="123" spans="1:22">
      <c r="A123" s="105" t="str">
        <f t="shared" si="57"/>
        <v>44p</v>
      </c>
      <c r="B123" s="642" t="str">
        <f>+VLOOKUP(LEFT($A123,LEN(A123)-1)*1,Master!$D$30:$G$229,4,FALSE)</f>
        <v>Kapitalni izdaci</v>
      </c>
      <c r="C123" s="643"/>
      <c r="D123" s="643"/>
      <c r="E123" s="643"/>
      <c r="F123" s="643"/>
      <c r="G123" s="510">
        <v>4245371.3800000018</v>
      </c>
      <c r="H123" s="510">
        <v>15541125.270000001</v>
      </c>
      <c r="I123" s="510">
        <v>15136141.080000002</v>
      </c>
      <c r="J123" s="510">
        <v>17196664.280000001</v>
      </c>
      <c r="K123" s="510">
        <v>17164187.290000007</v>
      </c>
      <c r="L123" s="510">
        <v>19765724.190000005</v>
      </c>
      <c r="M123" s="510">
        <v>23529457.550000001</v>
      </c>
      <c r="N123" s="510">
        <v>19891820.990000002</v>
      </c>
      <c r="O123" s="510">
        <v>23471698.850000001</v>
      </c>
      <c r="P123" s="510">
        <v>21978883.32</v>
      </c>
      <c r="Q123" s="510">
        <v>43693719.969999999</v>
      </c>
      <c r="R123" s="510">
        <v>52895384.790000007</v>
      </c>
      <c r="S123" s="546">
        <f>+SUM(G123:R123)</f>
        <v>274510178.95999998</v>
      </c>
      <c r="T123" s="522">
        <f t="shared" si="48"/>
        <v>3.9026184100085302</v>
      </c>
      <c r="U123" s="292"/>
      <c r="V123" s="488"/>
    </row>
    <row r="124" spans="1:22">
      <c r="A124" s="105" t="str">
        <f t="shared" si="57"/>
        <v>451p</v>
      </c>
      <c r="B124" s="644" t="str">
        <f>+VLOOKUP(LEFT($A124,LEN(A124)-1)*1,Master!$D$30:$G$229,4,FALSE)</f>
        <v>Pozajmice i krediti</v>
      </c>
      <c r="C124" s="645"/>
      <c r="D124" s="645"/>
      <c r="E124" s="645"/>
      <c r="F124" s="645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44" t="str">
        <f>+VLOOKUP(LEFT($A125,LEN(A125)-1)*1,Master!$D$30:$G$229,4,FALSE)</f>
        <v>Rezerve</v>
      </c>
      <c r="C125" s="645"/>
      <c r="D125" s="645"/>
      <c r="E125" s="645"/>
      <c r="F125" s="645"/>
      <c r="G125" s="501">
        <v>0</v>
      </c>
      <c r="H125" s="501">
        <v>661809.78</v>
      </c>
      <c r="I125" s="501">
        <v>5125404.93</v>
      </c>
      <c r="J125" s="501">
        <v>11177691.52</v>
      </c>
      <c r="K125" s="501">
        <v>3559533.49</v>
      </c>
      <c r="L125" s="501">
        <v>1492299.3</v>
      </c>
      <c r="M125" s="501">
        <v>14834317.01</v>
      </c>
      <c r="N125" s="501">
        <v>3648971.46</v>
      </c>
      <c r="O125" s="501">
        <v>33326.18</v>
      </c>
      <c r="P125" s="501">
        <v>2096508.51</v>
      </c>
      <c r="Q125" s="501">
        <v>224133.9</v>
      </c>
      <c r="R125" s="501">
        <v>18026003.920000002</v>
      </c>
      <c r="S125" s="101">
        <f t="shared" si="47"/>
        <v>60880000</v>
      </c>
      <c r="T125" s="436">
        <f t="shared" si="48"/>
        <v>0.86551037816320719</v>
      </c>
      <c r="U125" s="292"/>
      <c r="V125" s="488"/>
    </row>
    <row r="126" spans="1:22">
      <c r="A126" s="105" t="str">
        <f t="shared" si="57"/>
        <v>462p</v>
      </c>
      <c r="B126" s="644" t="str">
        <f>+VLOOKUP(LEFT($A126,LEN(A126)-1)*1,Master!$D$30:$G$229,4,FALSE)</f>
        <v>Otplata garancija</v>
      </c>
      <c r="C126" s="645"/>
      <c r="D126" s="645"/>
      <c r="E126" s="645"/>
      <c r="F126" s="645"/>
      <c r="G126" s="499">
        <v>2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</v>
      </c>
      <c r="P126" s="499">
        <v>0</v>
      </c>
      <c r="Q126" s="499">
        <v>0</v>
      </c>
      <c r="R126" s="499">
        <v>0</v>
      </c>
      <c r="S126" s="101">
        <f t="shared" si="47"/>
        <v>2</v>
      </c>
      <c r="T126" s="436">
        <f t="shared" si="48"/>
        <v>2.8433323855558715E-8</v>
      </c>
      <c r="U126" s="292"/>
      <c r="V126" s="488"/>
    </row>
    <row r="127" spans="1:22">
      <c r="A127" s="106" t="str">
        <f t="shared" si="57"/>
        <v>4630p</v>
      </c>
      <c r="B127" s="644" t="str">
        <f>+VLOOKUP(LEFT($A127,LEN(A127)-1)*1,Master!$D$30:$G$229,4,FALSE)</f>
        <v>Otplata obaveza iz prethodnog perioda</v>
      </c>
      <c r="C127" s="645"/>
      <c r="D127" s="645"/>
      <c r="E127" s="645"/>
      <c r="F127" s="645"/>
      <c r="G127" s="502">
        <v>2111459.9700000007</v>
      </c>
      <c r="H127" s="501">
        <v>2745013.1300000013</v>
      </c>
      <c r="I127" s="501">
        <v>1925847.0999999996</v>
      </c>
      <c r="J127" s="501">
        <v>1723078.81</v>
      </c>
      <c r="K127" s="501">
        <v>1939820.9100000001</v>
      </c>
      <c r="L127" s="501">
        <v>2017566.2100000002</v>
      </c>
      <c r="M127" s="501">
        <v>1726287.08</v>
      </c>
      <c r="N127" s="501">
        <v>1696969.05</v>
      </c>
      <c r="O127" s="501">
        <v>1705562.68</v>
      </c>
      <c r="P127" s="501">
        <v>1749695.04</v>
      </c>
      <c r="Q127" s="501">
        <v>3336613.3200000012</v>
      </c>
      <c r="R127" s="501">
        <v>2678182.65</v>
      </c>
      <c r="S127" s="92">
        <f>+SUM(G127:R127)</f>
        <v>25356095.950000003</v>
      </c>
      <c r="T127" s="444">
        <f t="shared" si="48"/>
        <v>0.36047904392948538</v>
      </c>
      <c r="U127" s="292"/>
      <c r="V127" s="488"/>
    </row>
    <row r="128" spans="1:22" ht="13.5" thickBot="1">
      <c r="A128" s="105" t="str">
        <f t="shared" si="57"/>
        <v>1005p</v>
      </c>
      <c r="B128" s="644" t="str">
        <f>+VLOOKUP(LEFT($A128,LEN(A128)-1)*1,Master!$D$30:$G$229,4,FALSE)</f>
        <v>Neto povećanje obaveza</v>
      </c>
      <c r="C128" s="645"/>
      <c r="D128" s="645"/>
      <c r="E128" s="645"/>
      <c r="F128" s="645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52" t="str">
        <f>+VLOOKUP(LEFT($A129,LEN(A129)-1)*1,Master!$D$30:$G$226,4,FALSE)</f>
        <v>Suficit / deficit</v>
      </c>
      <c r="C129" s="653"/>
      <c r="D129" s="653"/>
      <c r="E129" s="653"/>
      <c r="F129" s="653"/>
      <c r="G129" s="504">
        <f t="shared" ref="G129:L129" si="58">+G86-G105</f>
        <v>-36146557.659956276</v>
      </c>
      <c r="H129" s="505">
        <f t="shared" si="58"/>
        <v>-74447676.311863124</v>
      </c>
      <c r="I129" s="504">
        <f t="shared" si="58"/>
        <v>-12068757.688402921</v>
      </c>
      <c r="J129" s="504">
        <f t="shared" si="58"/>
        <v>20893081.239711642</v>
      </c>
      <c r="K129" s="504">
        <f t="shared" si="58"/>
        <v>-39592021.676653296</v>
      </c>
      <c r="L129" s="504">
        <f t="shared" si="58"/>
        <v>-12072350.58492884</v>
      </c>
      <c r="M129" s="504">
        <f t="shared" ref="M129:R129" si="59">+M86-M105</f>
        <v>-24860342.259742588</v>
      </c>
      <c r="N129" s="504">
        <f t="shared" si="59"/>
        <v>40038775.337930918</v>
      </c>
      <c r="O129" s="504">
        <f t="shared" si="59"/>
        <v>8458346.606847465</v>
      </c>
      <c r="P129" s="504">
        <f t="shared" si="59"/>
        <v>-5543353.6915084124</v>
      </c>
      <c r="Q129" s="504">
        <f t="shared" si="59"/>
        <v>-54197919.639137417</v>
      </c>
      <c r="R129" s="504">
        <f t="shared" si="59"/>
        <v>-46074827.252296984</v>
      </c>
      <c r="S129" s="550">
        <f t="shared" si="47"/>
        <v>-235613603.57999983</v>
      </c>
      <c r="T129" s="531">
        <f t="shared" si="48"/>
        <v>-3.3496389476826813</v>
      </c>
      <c r="U129" s="292"/>
      <c r="V129" s="292"/>
    </row>
    <row r="130" spans="1:22" ht="13.5" thickBot="1">
      <c r="A130" s="106" t="str">
        <f t="shared" si="57"/>
        <v>1001p</v>
      </c>
      <c r="B130" s="654" t="str">
        <f>+VLOOKUP(LEFT($A130,LEN(A130)-1)*1,Master!$D$30:$G$226,4,FALSE)</f>
        <v>Primarni suficit/deficit</v>
      </c>
      <c r="C130" s="655"/>
      <c r="D130" s="655"/>
      <c r="E130" s="655"/>
      <c r="F130" s="655"/>
      <c r="G130" s="506">
        <f>+G129+G112</f>
        <v>-28283051.319956277</v>
      </c>
      <c r="H130" s="506">
        <f t="shared" ref="H130:L130" si="60">+H129+H112</f>
        <v>-70594155.921863124</v>
      </c>
      <c r="I130" s="506">
        <f t="shared" si="60"/>
        <v>-5066145.1984029189</v>
      </c>
      <c r="J130" s="506">
        <f t="shared" si="60"/>
        <v>46872596.959711641</v>
      </c>
      <c r="K130" s="506">
        <f t="shared" si="60"/>
        <v>-24894142.436653294</v>
      </c>
      <c r="L130" s="506">
        <f t="shared" si="60"/>
        <v>-6212603.8249288388</v>
      </c>
      <c r="M130" s="506">
        <f t="shared" ref="M130:R130" si="61">+M129+M112</f>
        <v>-17480505.829742588</v>
      </c>
      <c r="N130" s="506">
        <f t="shared" si="61"/>
        <v>43576559.957930915</v>
      </c>
      <c r="O130" s="506">
        <f t="shared" si="61"/>
        <v>14009039.576847468</v>
      </c>
      <c r="P130" s="506">
        <f t="shared" si="61"/>
        <v>11517430.208491586</v>
      </c>
      <c r="Q130" s="506">
        <f t="shared" si="61"/>
        <v>-41243411.199137419</v>
      </c>
      <c r="R130" s="506">
        <f t="shared" si="61"/>
        <v>-19421195.732296981</v>
      </c>
      <c r="S130" s="550">
        <f t="shared" si="47"/>
        <v>-97219584.759999812</v>
      </c>
      <c r="T130" s="531">
        <f t="shared" si="48"/>
        <v>-1.3821379692920075</v>
      </c>
      <c r="U130" s="292"/>
      <c r="V130" s="292"/>
    </row>
    <row r="131" spans="1:22">
      <c r="A131" s="106" t="str">
        <f t="shared" si="57"/>
        <v>46p</v>
      </c>
      <c r="B131" s="646" t="str">
        <f>+VLOOKUP(LEFT($A131,LEN(A131)-1)*1,Master!$D$30:$G$226,4,FALSE)</f>
        <v>Otplata dugova</v>
      </c>
      <c r="C131" s="647"/>
      <c r="D131" s="647"/>
      <c r="E131" s="647"/>
      <c r="F131" s="647"/>
      <c r="G131" s="507">
        <f>+SUM(G132:G133)</f>
        <v>35630564.469999999</v>
      </c>
      <c r="H131" s="507">
        <f t="shared" ref="H131:L131" si="62">+SUM(H132:H133)</f>
        <v>7154150.5</v>
      </c>
      <c r="I131" s="507">
        <f t="shared" si="62"/>
        <v>60631846.180000007</v>
      </c>
      <c r="J131" s="507">
        <f t="shared" si="62"/>
        <v>108888546.09</v>
      </c>
      <c r="K131" s="507">
        <f t="shared" si="62"/>
        <v>55363179.799999997</v>
      </c>
      <c r="L131" s="507">
        <f t="shared" si="62"/>
        <v>53121043.689999998</v>
      </c>
      <c r="M131" s="508">
        <f t="shared" ref="M131" si="63">+SUM(M132:M133)</f>
        <v>36154424.719999999</v>
      </c>
      <c r="N131" s="507">
        <f t="shared" ref="N131:R131" si="64">+SUM(N132:N133)</f>
        <v>7862619.1600000001</v>
      </c>
      <c r="O131" s="507">
        <f t="shared" si="64"/>
        <v>45456209.350000001</v>
      </c>
      <c r="P131" s="507">
        <f t="shared" si="64"/>
        <v>15064801.279999999</v>
      </c>
      <c r="Q131" s="507">
        <f t="shared" si="64"/>
        <v>55442433.469999999</v>
      </c>
      <c r="R131" s="507">
        <f t="shared" si="64"/>
        <v>37949577.590000004</v>
      </c>
      <c r="S131" s="551">
        <f t="shared" si="47"/>
        <v>518719396.30000007</v>
      </c>
      <c r="T131" s="533">
        <f t="shared" si="48"/>
        <v>7.3744582925789031</v>
      </c>
      <c r="U131" s="292"/>
      <c r="V131" s="292"/>
    </row>
    <row r="132" spans="1:22">
      <c r="A132" s="106" t="str">
        <f t="shared" si="57"/>
        <v>4611p</v>
      </c>
      <c r="B132" s="650" t="str">
        <f>+VLOOKUP(LEFT($A132,LEN(A132)-1)*1,Master!$D$30:$G$226,4,FALSE)</f>
        <v>Otplata hartija od vrijednosti i kredita rezidentima</v>
      </c>
      <c r="C132" s="651"/>
      <c r="D132" s="651"/>
      <c r="E132" s="651"/>
      <c r="F132" s="651"/>
      <c r="G132" s="502">
        <v>2501123.7999999998</v>
      </c>
      <c r="H132" s="502">
        <v>2954258.2399999998</v>
      </c>
      <c r="I132" s="502">
        <v>23478199.010000002</v>
      </c>
      <c r="J132" s="502">
        <v>94983890.560000002</v>
      </c>
      <c r="K132" s="502">
        <v>9862224.459999999</v>
      </c>
      <c r="L132" s="502">
        <v>30959521.580000002</v>
      </c>
      <c r="M132" s="503">
        <v>2591776.0299999998</v>
      </c>
      <c r="N132" s="503">
        <v>3040506.12</v>
      </c>
      <c r="O132" s="503">
        <v>13592239.709999999</v>
      </c>
      <c r="P132" s="503">
        <v>2636972.52</v>
      </c>
      <c r="Q132" s="503">
        <v>9977461.7899999991</v>
      </c>
      <c r="R132" s="503">
        <v>16241222.48</v>
      </c>
      <c r="S132" s="92">
        <f t="shared" si="47"/>
        <v>212819396.30000001</v>
      </c>
      <c r="T132" s="444">
        <f t="shared" si="48"/>
        <v>3.0255814088711972</v>
      </c>
      <c r="U132" s="292"/>
      <c r="V132" s="292"/>
    </row>
    <row r="133" spans="1:22" ht="13.5" thickBot="1">
      <c r="A133" s="106" t="str">
        <f t="shared" si="57"/>
        <v>4612p</v>
      </c>
      <c r="B133" s="644" t="str">
        <f>+VLOOKUP(LEFT($A133,LEN(A133)-1)*1,Master!$D$30:$G$226,4,FALSE)</f>
        <v>Otplata hartija od vrijednosti i kredita nerezidentima</v>
      </c>
      <c r="C133" s="645"/>
      <c r="D133" s="645"/>
      <c r="E133" s="645"/>
      <c r="F133" s="645"/>
      <c r="G133" s="502">
        <v>33129440.670000002</v>
      </c>
      <c r="H133" s="502">
        <v>4199892.26</v>
      </c>
      <c r="I133" s="502">
        <v>37153647.170000002</v>
      </c>
      <c r="J133" s="502">
        <v>13904655.529999999</v>
      </c>
      <c r="K133" s="502">
        <v>45500955.339999996</v>
      </c>
      <c r="L133" s="502">
        <v>22161522.109999999</v>
      </c>
      <c r="M133" s="503">
        <v>33562648.689999998</v>
      </c>
      <c r="N133" s="503">
        <v>4822113.04</v>
      </c>
      <c r="O133" s="503">
        <v>31863969.640000001</v>
      </c>
      <c r="P133" s="503">
        <v>12427828.76</v>
      </c>
      <c r="Q133" s="503">
        <v>45464971.68</v>
      </c>
      <c r="R133" s="503">
        <v>21708355.109999999</v>
      </c>
      <c r="S133" s="92">
        <f t="shared" si="47"/>
        <v>305900000</v>
      </c>
      <c r="T133" s="444">
        <f t="shared" si="48"/>
        <v>4.3488768837077059</v>
      </c>
      <c r="U133" s="292"/>
      <c r="V133" s="292"/>
    </row>
    <row r="134" spans="1:22" ht="13.5" thickBot="1">
      <c r="A134" s="106" t="str">
        <f t="shared" si="57"/>
        <v>4418p</v>
      </c>
      <c r="B134" s="622" t="str">
        <f>+VLOOKUP(LEFT($A134,LEN(A134)-1)*1,Master!$D$30:$G$226,4,FALSE)</f>
        <v>Izdaci za kupovinu hartija od vrijednosti</v>
      </c>
      <c r="C134" s="623"/>
      <c r="D134" s="623"/>
      <c r="E134" s="623"/>
      <c r="F134" s="623"/>
      <c r="G134" s="504">
        <v>0.16</v>
      </c>
      <c r="H134" s="504">
        <v>0.16</v>
      </c>
      <c r="I134" s="504">
        <v>0.16</v>
      </c>
      <c r="J134" s="504">
        <v>1200000.1599999999</v>
      </c>
      <c r="K134" s="504">
        <v>0.16</v>
      </c>
      <c r="L134" s="504">
        <v>1000000.16</v>
      </c>
      <c r="M134" s="504">
        <v>0.16</v>
      </c>
      <c r="N134" s="504">
        <v>0.16</v>
      </c>
      <c r="O134" s="504">
        <v>0.16</v>
      </c>
      <c r="P134" s="504">
        <v>0.16</v>
      </c>
      <c r="Q134" s="504">
        <v>0.16</v>
      </c>
      <c r="R134" s="504">
        <v>79000.239999999991</v>
      </c>
      <c r="S134" s="550">
        <f t="shared" si="47"/>
        <v>2279002.0000000009</v>
      </c>
      <c r="T134" s="531">
        <f t="shared" si="48"/>
        <v>3.2399800966733026E-2</v>
      </c>
      <c r="U134" s="292"/>
      <c r="V134" s="292"/>
    </row>
    <row r="135" spans="1:22" ht="13.5" thickBot="1">
      <c r="A135" s="106" t="s">
        <v>856</v>
      </c>
      <c r="B135" s="622" t="s">
        <v>113</v>
      </c>
      <c r="C135" s="623"/>
      <c r="D135" s="623"/>
      <c r="E135" s="623"/>
      <c r="F135" s="623"/>
      <c r="G135" s="500">
        <v>6.24</v>
      </c>
      <c r="H135" s="500">
        <v>1111649.98</v>
      </c>
      <c r="I135" s="500">
        <v>0.24</v>
      </c>
      <c r="J135" s="500">
        <v>491625.72</v>
      </c>
      <c r="K135" s="500">
        <v>524490.84</v>
      </c>
      <c r="L135" s="500">
        <v>453253.16</v>
      </c>
      <c r="M135" s="500">
        <v>460435.14</v>
      </c>
      <c r="N135" s="500">
        <v>0.24</v>
      </c>
      <c r="O135" s="500">
        <v>497757.56</v>
      </c>
      <c r="P135" s="500">
        <v>446294.08999999997</v>
      </c>
      <c r="Q135" s="500">
        <v>0.24</v>
      </c>
      <c r="R135" s="500">
        <v>514495.55</v>
      </c>
      <c r="S135" s="550">
        <f t="shared" si="47"/>
        <v>4500009.0000000009</v>
      </c>
      <c r="T135" s="531">
        <f t="shared" si="48"/>
        <v>6.3975106624964473E-2</v>
      </c>
      <c r="U135" s="292"/>
      <c r="V135" s="292"/>
    </row>
    <row r="136" spans="1:22" ht="13.5" thickBot="1">
      <c r="A136" s="106" t="str">
        <f>+CONCATENATE(A60,"p")</f>
        <v>1002p</v>
      </c>
      <c r="B136" s="648" t="str">
        <f>+VLOOKUP(LEFT($A136,LEN(A136)-1)*1,Master!$D$30:$G$226,4,FALSE)</f>
        <v>Nedostajuća sredstva</v>
      </c>
      <c r="C136" s="649"/>
      <c r="D136" s="649"/>
      <c r="E136" s="649"/>
      <c r="F136" s="649"/>
      <c r="G136" s="509">
        <f>+G129-G131-G134-G135</f>
        <v>-71777128.529956266</v>
      </c>
      <c r="H136" s="509">
        <f t="shared" ref="H136:R136" si="65">+H129-H131-H134-H135</f>
        <v>-82713476.951863125</v>
      </c>
      <c r="I136" s="509">
        <f t="shared" si="65"/>
        <v>-72700604.268402919</v>
      </c>
      <c r="J136" s="509">
        <f t="shared" si="65"/>
        <v>-89687090.730288357</v>
      </c>
      <c r="K136" s="509">
        <f t="shared" si="65"/>
        <v>-95479692.476653293</v>
      </c>
      <c r="L136" s="509">
        <f t="shared" si="65"/>
        <v>-66646647.594928831</v>
      </c>
      <c r="M136" s="509">
        <f t="shared" si="65"/>
        <v>-61475202.279742584</v>
      </c>
      <c r="N136" s="509">
        <f t="shared" si="65"/>
        <v>32176155.777930919</v>
      </c>
      <c r="O136" s="509">
        <f t="shared" si="65"/>
        <v>-37495620.463152535</v>
      </c>
      <c r="P136" s="509">
        <f t="shared" si="65"/>
        <v>-21054449.221508414</v>
      </c>
      <c r="Q136" s="509">
        <f t="shared" si="65"/>
        <v>-109640353.50913741</v>
      </c>
      <c r="R136" s="509">
        <f t="shared" si="65"/>
        <v>-84617900.632296979</v>
      </c>
      <c r="S136" s="552">
        <f t="shared" si="47"/>
        <v>-761112010.87999988</v>
      </c>
      <c r="T136" s="535">
        <f t="shared" si="48"/>
        <v>-10.820472147853282</v>
      </c>
      <c r="U136" s="292"/>
      <c r="V136" s="292"/>
    </row>
    <row r="137" spans="1:22" ht="13.5" thickBot="1">
      <c r="A137" s="106" t="str">
        <f>+CONCATENATE(A61,"p")</f>
        <v>1003p</v>
      </c>
      <c r="B137" s="622" t="str">
        <f>+VLOOKUP(LEFT($A137,LEN(A137)-1)*1,Master!$D$30:$G$226,4,FALSE)</f>
        <v>Finansiranje</v>
      </c>
      <c r="C137" s="623"/>
      <c r="D137" s="623"/>
      <c r="E137" s="623"/>
      <c r="F137" s="623"/>
      <c r="G137" s="504">
        <f t="shared" ref="G137:L137" si="66">+SUM(G138:G142)</f>
        <v>71777128.529956266</v>
      </c>
      <c r="H137" s="504">
        <f t="shared" si="66"/>
        <v>82713476.951863125</v>
      </c>
      <c r="I137" s="504">
        <f t="shared" si="66"/>
        <v>72700604.268402934</v>
      </c>
      <c r="J137" s="504">
        <f t="shared" si="66"/>
        <v>89687090.730288357</v>
      </c>
      <c r="K137" s="504">
        <f t="shared" si="66"/>
        <v>95479692.476653293</v>
      </c>
      <c r="L137" s="504">
        <f t="shared" si="66"/>
        <v>66646647.594928831</v>
      </c>
      <c r="M137" s="504">
        <f t="shared" ref="M137:R137" si="67">+SUM(M138:M142)</f>
        <v>61475202.279742584</v>
      </c>
      <c r="N137" s="504">
        <f t="shared" si="67"/>
        <v>-32176155.777930923</v>
      </c>
      <c r="O137" s="504">
        <f t="shared" si="67"/>
        <v>37495620.463152535</v>
      </c>
      <c r="P137" s="504">
        <f t="shared" si="67"/>
        <v>21054449.221508414</v>
      </c>
      <c r="Q137" s="504">
        <f t="shared" si="67"/>
        <v>109640353.50913741</v>
      </c>
      <c r="R137" s="504">
        <f t="shared" si="67"/>
        <v>84617900.632296979</v>
      </c>
      <c r="S137" s="553">
        <f t="shared" si="47"/>
        <v>761112010.87999988</v>
      </c>
      <c r="T137" s="537">
        <f t="shared" si="48"/>
        <v>10.820472147853282</v>
      </c>
      <c r="U137" s="292"/>
      <c r="V137" s="292"/>
    </row>
    <row r="138" spans="1:22">
      <c r="A138" s="106" t="str">
        <f>+CONCATENATE(A62,"p")</f>
        <v>7511p</v>
      </c>
      <c r="B138" s="650" t="str">
        <f>+VLOOKUP(LEFT($A138,LEN(A138)-1)*1,Master!$D$30:$G$226,4,FALSE)</f>
        <v>Pozajmice i krediti od domaćih izvora</v>
      </c>
      <c r="C138" s="651"/>
      <c r="D138" s="651"/>
      <c r="E138" s="651"/>
      <c r="F138" s="651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44" t="str">
        <f>+VLOOKUP(LEFT($A139,LEN(A139)-1)*1,Master!$D$30:$G$226,4,FALSE)</f>
        <v>Pozajmice i krediti od inostranih izvora</v>
      </c>
      <c r="C139" s="645"/>
      <c r="D139" s="645"/>
      <c r="E139" s="645"/>
      <c r="F139" s="645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12.325845891384702</v>
      </c>
      <c r="U139" s="292"/>
      <c r="V139" s="292"/>
    </row>
    <row r="140" spans="1:22">
      <c r="A140" s="106" t="str">
        <f>+CONCATENATE(A64,"p")</f>
        <v>72p</v>
      </c>
      <c r="B140" s="644" t="str">
        <f>+VLOOKUP(LEFT($A140,LEN(A140)-1)*1,Master!$D$30:$G$226,4,FALSE)</f>
        <v>Primici od prodaje imovine</v>
      </c>
      <c r="C140" s="645"/>
      <c r="D140" s="645"/>
      <c r="E140" s="645"/>
      <c r="F140" s="645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8.5299971566676139E-2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0.13858265567244812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71195606.193441555</v>
      </c>
      <c r="H142" s="86">
        <f t="shared" ref="H142:R142" si="69">-H136-SUM(H138:H141)</f>
        <v>81767503.838747412</v>
      </c>
      <c r="I142" s="86">
        <f t="shared" si="69"/>
        <v>-615102543.24089813</v>
      </c>
      <c r="J142" s="86">
        <f t="shared" si="69"/>
        <v>88775419.438368663</v>
      </c>
      <c r="K142" s="86">
        <f t="shared" si="69"/>
        <v>94026473.66647625</v>
      </c>
      <c r="L142" s="86">
        <f t="shared" si="69"/>
        <v>64615717.002232969</v>
      </c>
      <c r="M142" s="86">
        <f t="shared" si="69"/>
        <v>-119183517.58451484</v>
      </c>
      <c r="N142" s="86">
        <f t="shared" si="69"/>
        <v>-34203608.743059181</v>
      </c>
      <c r="O142" s="86">
        <f t="shared" si="69"/>
        <v>36779183.653442524</v>
      </c>
      <c r="P142" s="86">
        <f t="shared" si="69"/>
        <v>20291262.531748489</v>
      </c>
      <c r="Q142" s="86">
        <f t="shared" si="69"/>
        <v>107436761.03342117</v>
      </c>
      <c r="R142" s="86">
        <f t="shared" si="69"/>
        <v>81965849.090592906</v>
      </c>
      <c r="S142" s="94">
        <f>+SUM(G142:R142)</f>
        <v>-121635893.12000026</v>
      </c>
      <c r="T142" s="448">
        <f t="shared" si="48"/>
        <v>-1.7292563707705468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2Mr+6Y7StPzMssTLnpss/29LIv0IcTVCb1jXPQMx10gqW7SNXIgYVlPn72ylMQcIclPDXwN0fSJ5Ld6MNEvj9w==" saltValue="7fs7Vc2WLJKVc66QFfkgxg==" spinCount="100000" sheet="1" objects="1" scenarios="1"/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I19" sqref="I19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2023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6847118000</v>
      </c>
    </row>
    <row r="8" spans="1:24" ht="16.5" customHeight="1">
      <c r="A8" s="129"/>
      <c r="B8" s="561"/>
      <c r="C8" s="562"/>
      <c r="D8" s="562"/>
      <c r="E8" s="562"/>
      <c r="F8" s="563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4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37.482314602289613</v>
      </c>
      <c r="V10" s="493"/>
    </row>
    <row r="11" spans="1:24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24.331645511732088</v>
      </c>
      <c r="V11" s="276"/>
    </row>
    <row r="12" spans="1:24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0.96992035189111681</v>
      </c>
    </row>
    <row r="13" spans="1:24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2.2094620900355451</v>
      </c>
      <c r="V13" s="276"/>
      <c r="W13" s="276"/>
      <c r="X13" s="494"/>
    </row>
    <row r="14" spans="1:24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15.470261757866597</v>
      </c>
      <c r="V15" s="276"/>
      <c r="W15" s="276"/>
      <c r="X15" s="494"/>
    </row>
    <row r="16" spans="1:24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4.7190897682791499</v>
      </c>
      <c r="V16" s="276"/>
      <c r="W16" s="276"/>
      <c r="X16" s="494"/>
    </row>
    <row r="17" spans="1:24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0.76223764085853352</v>
      </c>
      <c r="V17" s="276"/>
      <c r="W17" s="276"/>
      <c r="X17" s="494"/>
    </row>
    <row r="18" spans="1:24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0.20067390280114938</v>
      </c>
      <c r="V18" s="276"/>
      <c r="W18" s="276"/>
      <c r="X18" s="494"/>
    </row>
    <row r="19" spans="1:24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8.4083637853181443</v>
      </c>
      <c r="V19" s="276"/>
      <c r="W19" s="276"/>
      <c r="X19" s="494"/>
    </row>
    <row r="20" spans="1:24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7.6895453878551523</v>
      </c>
      <c r="V20" s="276"/>
      <c r="W20" s="276"/>
      <c r="X20" s="494"/>
    </row>
    <row r="21" spans="1:24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0.10267886196791115</v>
      </c>
      <c r="V21" s="276"/>
      <c r="W21" s="276"/>
      <c r="X21" s="494"/>
    </row>
    <row r="22" spans="1:24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0.35372790552171002</v>
      </c>
    </row>
    <row r="23" spans="1:24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0.26241162997336981</v>
      </c>
      <c r="V23" s="495"/>
      <c r="W23" s="495"/>
      <c r="X23" s="494"/>
    </row>
    <row r="24" spans="1:24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0.23392547141731748</v>
      </c>
    </row>
    <row r="25" spans="1:24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0.81373777580582074</v>
      </c>
    </row>
    <row r="26" spans="1:24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2.653851643275317</v>
      </c>
    </row>
    <row r="27" spans="1:24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1.0407904147409175</v>
      </c>
    </row>
    <row r="29" spans="1:24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37.322608122570692</v>
      </c>
    </row>
    <row r="30" spans="1:24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15.673441382053003</v>
      </c>
      <c r="U30" s="472"/>
    </row>
    <row r="31" spans="1:24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9.3928385465242457</v>
      </c>
      <c r="U31" s="472"/>
    </row>
    <row r="32" spans="1:24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0.26899141843327362</v>
      </c>
      <c r="U32" s="472"/>
      <c r="V32" s="275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0.66798315408030062</v>
      </c>
      <c r="U33" s="472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1.0574641110318239</v>
      </c>
      <c r="U34" s="472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0.44055275504234043</v>
      </c>
      <c r="U35" s="472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1.8189109087940354</v>
      </c>
      <c r="U36" s="472"/>
      <c r="V36" s="275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0.17081277977099271</v>
      </c>
      <c r="U37" s="472"/>
      <c r="V37" s="275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1.0862959572187889</v>
      </c>
      <c r="U38" s="472"/>
    </row>
    <row r="39" spans="1:24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0.76959175115720213</v>
      </c>
      <c r="U39" s="472"/>
      <c r="V39" s="275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12.042402838537324</v>
      </c>
      <c r="U40" s="472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3.0653364138021284</v>
      </c>
      <c r="U41" s="472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0.34618637826893006</v>
      </c>
      <c r="U42" s="472"/>
      <c r="V42" s="275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8.0882306732555218</v>
      </c>
      <c r="U43" s="472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0.30026638229398123</v>
      </c>
      <c r="U44" s="472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0.24238299091676238</v>
      </c>
      <c r="U45" s="472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5.5599594502387717</v>
      </c>
      <c r="U46" s="472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3.485287545212453</v>
      </c>
      <c r="U47" s="472"/>
      <c r="V47" s="275"/>
      <c r="W47" s="292"/>
      <c r="X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0.26679720299840015</v>
      </c>
      <c r="U49" s="472"/>
    </row>
    <row r="50" spans="1:21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4.1091334485545597E-2</v>
      </c>
      <c r="U50" s="472"/>
    </row>
    <row r="51" spans="1:21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0.25362836904519537</v>
      </c>
      <c r="U51" s="472"/>
    </row>
    <row r="52" spans="1:21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0.15970647971891683</v>
      </c>
    </row>
    <row r="54" spans="1:21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1.9786173885129519</v>
      </c>
    </row>
    <row r="55" spans="1:21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4.3990188845876474</v>
      </c>
    </row>
    <row r="56" spans="1:21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1.0885684298123677</v>
      </c>
    </row>
    <row r="57" spans="1:21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3.3104504547752787</v>
      </c>
    </row>
    <row r="58" spans="1:21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1.2546105091222321E-2</v>
      </c>
    </row>
    <row r="59" spans="1:21" ht="13.5" thickBot="1">
      <c r="A59" s="135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0.14767666732193016</v>
      </c>
    </row>
    <row r="60" spans="1:21" ht="13.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-4.3995351772818836</v>
      </c>
    </row>
    <row r="61" spans="1:21" ht="13.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4.3995351772818836</v>
      </c>
    </row>
    <row r="62" spans="1:21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2.3221448790571451</v>
      </c>
    </row>
    <row r="63" spans="1:21">
      <c r="A63" s="129">
        <v>7512</v>
      </c>
      <c r="B63" s="557" t="str">
        <f>+VLOOKUP($A63,Master!$D$30:$G$226,4,FALSE)</f>
        <v>Pozajmice i krediti od inostranih izvora</v>
      </c>
      <c r="C63" s="558"/>
      <c r="D63" s="558"/>
      <c r="E63" s="558"/>
      <c r="F63" s="558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2.3255334955524352</v>
      </c>
    </row>
    <row r="64" spans="1:21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3.9693627742358177E-2</v>
      </c>
    </row>
    <row r="65" spans="1:20">
      <c r="A65" s="129">
        <v>73</v>
      </c>
      <c r="B65" s="557" t="s">
        <v>101</v>
      </c>
      <c r="C65" s="558"/>
      <c r="D65" s="558"/>
      <c r="E65" s="558"/>
      <c r="F65" s="558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0.20239250835168901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-0.49022933342174396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28" t="str">
        <f>+Master!G253</f>
        <v>Plan ostvarenja budžeta</v>
      </c>
      <c r="C83" s="629"/>
      <c r="D83" s="629"/>
      <c r="E83" s="629"/>
      <c r="F83" s="629"/>
      <c r="G83" s="613">
        <v>2023</v>
      </c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5"/>
      <c r="S83" s="96" t="str">
        <f>+S7</f>
        <v>BDP</v>
      </c>
      <c r="T83" s="97">
        <v>6624340418</v>
      </c>
    </row>
    <row r="84" spans="1:26" ht="15.75" customHeight="1">
      <c r="B84" s="630"/>
      <c r="C84" s="631"/>
      <c r="D84" s="631"/>
      <c r="E84" s="631"/>
      <c r="F84" s="632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13" t="str">
        <f>+Master!G247</f>
        <v>Jan - Dec</v>
      </c>
      <c r="T84" s="615">
        <f>+T8</f>
        <v>0</v>
      </c>
    </row>
    <row r="85" spans="1:26" ht="13.5" thickBot="1">
      <c r="B85" s="633"/>
      <c r="C85" s="634"/>
      <c r="D85" s="634"/>
      <c r="E85" s="634"/>
      <c r="F85" s="63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22" t="str">
        <f>+VLOOKUP(LEFT($A86,LEN(A86)-1)*1,Master!$D$30:$G$226,4,FALSE)</f>
        <v>Prihodi budžeta</v>
      </c>
      <c r="C86" s="623"/>
      <c r="D86" s="623"/>
      <c r="E86" s="623"/>
      <c r="F86" s="623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24" t="str">
        <f>+VLOOKUP(LEFT($A87,LEN(A87)-1)*1,Master!$D$30:$G$226,4,FALSE)</f>
        <v>Porezi</v>
      </c>
      <c r="C87" s="625"/>
      <c r="D87" s="625"/>
      <c r="E87" s="625"/>
      <c r="F87" s="625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6" t="str">
        <f>+VLOOKUP(LEFT($A88,LEN(A88)-1)*1,Master!$D$30:$G$229,4,FALSE)</f>
        <v>Porez na dohodak fizičkih lica</v>
      </c>
      <c r="C88" s="627"/>
      <c r="D88" s="627"/>
      <c r="E88" s="627"/>
      <c r="F88" s="627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6" t="str">
        <f>+VLOOKUP(LEFT($A89,LEN(A89)-1)*1,Master!$D$30:$G$229,4,FALSE)</f>
        <v>Porez na dobit pravnih lica</v>
      </c>
      <c r="C89" s="627"/>
      <c r="D89" s="627"/>
      <c r="E89" s="627"/>
      <c r="F89" s="627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6" t="str">
        <f>+VLOOKUP(LEFT($A90,LEN(A90)-1)*1,Master!$D$30:$G$229,4,FALSE)</f>
        <v>Porez na promet nepokretnosti</v>
      </c>
      <c r="C90" s="627"/>
      <c r="D90" s="627"/>
      <c r="E90" s="627"/>
      <c r="F90" s="627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6" t="str">
        <f>+VLOOKUP(LEFT($A91,LEN(A91)-1)*1,Master!$D$30:$G$229,4,FALSE)</f>
        <v>Porez na dodatu vrijednost</v>
      </c>
      <c r="C91" s="627"/>
      <c r="D91" s="627"/>
      <c r="E91" s="627"/>
      <c r="F91" s="627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6" t="str">
        <f>+VLOOKUP(LEFT($A92,LEN(A92)-1)*1,Master!$D$30:$G$229,4,FALSE)</f>
        <v>Akcize</v>
      </c>
      <c r="C92" s="627"/>
      <c r="D92" s="627"/>
      <c r="E92" s="627"/>
      <c r="F92" s="627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6" t="str">
        <f>+VLOOKUP(LEFT($A93,LEN(A93)-1)*1,Master!$D$30:$G$229,4,FALSE)</f>
        <v>Porez na međunarodnu trgovinu i transakcije</v>
      </c>
      <c r="C93" s="627"/>
      <c r="D93" s="627"/>
      <c r="E93" s="627"/>
      <c r="F93" s="627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6" t="str">
        <f>+VLOOKUP(LEFT($A94,LEN(A94)-1)*1,Master!$D$30:$G$229,4,FALSE)</f>
        <v>Ostali državni porezi</v>
      </c>
      <c r="C94" s="627"/>
      <c r="D94" s="627"/>
      <c r="E94" s="627"/>
      <c r="F94" s="627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6" t="str">
        <f>+VLOOKUP(LEFT($A95,LEN(A95)-1)*1,Master!$D$30:$G$229,4,FALSE)</f>
        <v>Doprinosi</v>
      </c>
      <c r="C95" s="637"/>
      <c r="D95" s="637"/>
      <c r="E95" s="637"/>
      <c r="F95" s="637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6" t="str">
        <f>+VLOOKUP(LEFT($A96,LEN(A96)-1)*1,Master!$D$30:$G$229,4,FALSE)</f>
        <v>Doprinosi za penzijsko i invalidsko osiguranje</v>
      </c>
      <c r="C96" s="627"/>
      <c r="D96" s="627"/>
      <c r="E96" s="627"/>
      <c r="F96" s="627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6" t="str">
        <f>+VLOOKUP(LEFT($A97,LEN(A97)-1)*1,Master!$D$30:$G$229,4,FALSE)</f>
        <v>Doprinosi za zdravstveno osiguranje</v>
      </c>
      <c r="C97" s="627"/>
      <c r="D97" s="627"/>
      <c r="E97" s="627"/>
      <c r="F97" s="627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6" t="str">
        <f>+VLOOKUP(LEFT($A98,LEN(A98)-1)*1,Master!$D$30:$G$229,4,FALSE)</f>
        <v>Doprinosi za osiguranje od nezaposlenosti</v>
      </c>
      <c r="C98" s="627"/>
      <c r="D98" s="627"/>
      <c r="E98" s="627"/>
      <c r="F98" s="627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6" t="str">
        <f>+VLOOKUP(LEFT($A99,LEN(A99)-1)*1,Master!$D$30:$G$229,4,FALSE)</f>
        <v>Ostali doprinosi</v>
      </c>
      <c r="C99" s="627"/>
      <c r="D99" s="627"/>
      <c r="E99" s="627"/>
      <c r="F99" s="627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6" t="str">
        <f>+VLOOKUP(LEFT($A100,LEN(A100)-1)*1,Master!$D$30:$G$229,4,FALSE)</f>
        <v>Takse</v>
      </c>
      <c r="C100" s="637"/>
      <c r="D100" s="637"/>
      <c r="E100" s="637"/>
      <c r="F100" s="637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6" t="str">
        <f>+VLOOKUP(LEFT($A101,LEN(A101)-1)*1,Master!$D$30:$G$229,4,FALSE)</f>
        <v>Naknade</v>
      </c>
      <c r="C101" s="637"/>
      <c r="D101" s="637"/>
      <c r="E101" s="637"/>
      <c r="F101" s="637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6" t="str">
        <f>+VLOOKUP(LEFT($A102,LEN(A102)-1)*1,Master!$D$30:$G$229,4,FALSE)</f>
        <v>Ostali prihodi</v>
      </c>
      <c r="C102" s="637"/>
      <c r="D102" s="637"/>
      <c r="E102" s="637"/>
      <c r="F102" s="637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6" t="str">
        <f>+VLOOKUP(LEFT($A103,LEN(A103)-1)*1,Master!$D$30:$G$229,4,FALSE)</f>
        <v>Primici od otplate kredita i sredstva prenesena iz prethodne godine</v>
      </c>
      <c r="C103" s="637"/>
      <c r="D103" s="637"/>
      <c r="E103" s="637"/>
      <c r="F103" s="637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38" t="str">
        <f>+VLOOKUP(LEFT($A104,LEN(A104)-1)*1,Master!$D$30:$G$229,4,FALSE)</f>
        <v>Donacije i transferi</v>
      </c>
      <c r="C104" s="639"/>
      <c r="D104" s="639"/>
      <c r="E104" s="639"/>
      <c r="F104" s="639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22" t="str">
        <f>+VLOOKUP(LEFT($A105,LEN(A105)-1)*1,Master!$D$30:$G$229,4,FALSE)</f>
        <v>Izdaci budžeta</v>
      </c>
      <c r="C105" s="623"/>
      <c r="D105" s="623"/>
      <c r="E105" s="623"/>
      <c r="F105" s="623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0" t="str">
        <f>+VLOOKUP(LEFT($A106,LEN(A106)-1)*1,Master!$D$30:$G$229,4,FALSE)</f>
        <v>Tekući izdaci</v>
      </c>
      <c r="C106" s="641"/>
      <c r="D106" s="641"/>
      <c r="E106" s="641"/>
      <c r="F106" s="641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6" t="str">
        <f>+VLOOKUP(LEFT($A107,LEN(A107)-1)*1,Master!$D$30:$G$229,4,FALSE)</f>
        <v>Bruto zarade i doprinosi na teret poslodavca</v>
      </c>
      <c r="C107" s="627"/>
      <c r="D107" s="627"/>
      <c r="E107" s="627"/>
      <c r="F107" s="627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6" t="str">
        <f>+VLOOKUP(LEFT($A108,LEN(A108)-1)*1,Master!$D$30:$G$229,4,FALSE)</f>
        <v>Ostala lična primanja</v>
      </c>
      <c r="C108" s="627"/>
      <c r="D108" s="627"/>
      <c r="E108" s="627"/>
      <c r="F108" s="627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6" t="str">
        <f>+VLOOKUP(LEFT($A109,LEN(A109)-1)*1,Master!$D$30:$G$229,4,FALSE)</f>
        <v>Rashodi za materijal</v>
      </c>
      <c r="C109" s="627"/>
      <c r="D109" s="627"/>
      <c r="E109" s="627"/>
      <c r="F109" s="627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6" t="str">
        <f>+VLOOKUP(LEFT($A110,LEN(A110)-1)*1,Master!$D$30:$G$229,4,FALSE)</f>
        <v>Rashodi za usluge</v>
      </c>
      <c r="C110" s="627"/>
      <c r="D110" s="627"/>
      <c r="E110" s="627"/>
      <c r="F110" s="627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6" t="str">
        <f>+VLOOKUP(LEFT($A111,LEN(A111)-1)*1,Master!$D$30:$G$229,4,FALSE)</f>
        <v>Rashodi za tekuće održavanje</v>
      </c>
      <c r="C111" s="627"/>
      <c r="D111" s="627"/>
      <c r="E111" s="627"/>
      <c r="F111" s="627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6" t="str">
        <f>+VLOOKUP(LEFT($A112,LEN(A112)-1)*1,Master!$D$30:$G$229,4,FALSE)</f>
        <v>Kamate</v>
      </c>
      <c r="C112" s="627"/>
      <c r="D112" s="627"/>
      <c r="E112" s="627"/>
      <c r="F112" s="627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6" t="str">
        <f>+VLOOKUP(LEFT($A113,LEN(A113)-1)*1,Master!$D$30:$G$229,4,FALSE)</f>
        <v>Renta</v>
      </c>
      <c r="C113" s="627"/>
      <c r="D113" s="627"/>
      <c r="E113" s="627"/>
      <c r="F113" s="627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6" t="str">
        <f>+VLOOKUP(LEFT($A114,LEN(A114)-1)*1,Master!$D$30:$G$229,4,FALSE)</f>
        <v>Subvencije</v>
      </c>
      <c r="C114" s="627"/>
      <c r="D114" s="627"/>
      <c r="E114" s="627"/>
      <c r="F114" s="627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6" t="str">
        <f>+VLOOKUP(LEFT($A115,LEN(A115)-1)*1,Master!$D$30:$G$229,4,FALSE)</f>
        <v>Ostali izdaci</v>
      </c>
      <c r="C115" s="627"/>
      <c r="D115" s="627"/>
      <c r="E115" s="627"/>
      <c r="F115" s="627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46" t="str">
        <f>+VLOOKUP(LEFT($A116,LEN(A116)-1)*1,Master!$D$30:$G$229,4,FALSE)</f>
        <v>Transferi za socijalnu zaštitu</v>
      </c>
      <c r="C116" s="647"/>
      <c r="D116" s="647"/>
      <c r="E116" s="647"/>
      <c r="F116" s="647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6" t="str">
        <f>+VLOOKUP(LEFT($A117,LEN(A117)-1)*1,Master!$D$30:$G$229,4,FALSE)</f>
        <v>Prava iz oblasti socijalne zaštite</v>
      </c>
      <c r="C117" s="627"/>
      <c r="D117" s="627"/>
      <c r="E117" s="627"/>
      <c r="F117" s="627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6" t="str">
        <f>+VLOOKUP(LEFT($A118,LEN(A118)-1)*1,Master!$D$30:$G$229,4,FALSE)</f>
        <v>Sredstva za tehnološke viškove</v>
      </c>
      <c r="C118" s="627"/>
      <c r="D118" s="627"/>
      <c r="E118" s="627"/>
      <c r="F118" s="627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6" t="str">
        <f>+VLOOKUP(LEFT($A119,LEN(A119)-1)*1,Master!$D$30:$G$229,4,FALSE)</f>
        <v>Prava iz oblasti penzijskog i invalidskog osiguranja</v>
      </c>
      <c r="C119" s="627"/>
      <c r="D119" s="627"/>
      <c r="E119" s="627"/>
      <c r="F119" s="627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6" t="str">
        <f>+VLOOKUP(LEFT($A120,LEN(A120)-1)*1,Master!$D$30:$G$229,4,FALSE)</f>
        <v>Ostala prava iz oblasti zdravstvene zaštite</v>
      </c>
      <c r="C120" s="627"/>
      <c r="D120" s="627"/>
      <c r="E120" s="627"/>
      <c r="F120" s="627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6" t="str">
        <f>+VLOOKUP(LEFT($A121,LEN(A121)-1)*1,Master!$D$30:$G$229,4,FALSE)</f>
        <v>Ostala prava iz zdravstvenog osiguranja</v>
      </c>
      <c r="C121" s="627"/>
      <c r="D121" s="627"/>
      <c r="E121" s="627"/>
      <c r="F121" s="627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42" t="str">
        <f>+VLOOKUP(LEFT($A122,LEN(A122)-1)*1,Master!$D$30:$G$229,4,FALSE)</f>
        <v xml:space="preserve">Transferi institucijama, pojedincima, nevladinom i javnom sektoru </v>
      </c>
      <c r="C122" s="643"/>
      <c r="D122" s="643"/>
      <c r="E122" s="643"/>
      <c r="F122" s="643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42" t="str">
        <f>+VLOOKUP(LEFT($A123,LEN(A123)-1)*1,Master!$D$30:$G$229,4,FALSE)</f>
        <v>Kapitalni izdaci</v>
      </c>
      <c r="C123" s="643"/>
      <c r="D123" s="643"/>
      <c r="E123" s="643"/>
      <c r="F123" s="643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44" t="str">
        <f>+VLOOKUP(LEFT($A124,LEN(A124)-1)*1,Master!$D$30:$G$229,4,FALSE)</f>
        <v>Pozajmice i krediti</v>
      </c>
      <c r="C124" s="645"/>
      <c r="D124" s="645"/>
      <c r="E124" s="645"/>
      <c r="F124" s="645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44" t="str">
        <f>+VLOOKUP(LEFT($A125,LEN(A125)-1)*1,Master!$D$30:$G$229,4,FALSE)</f>
        <v>Rezerve</v>
      </c>
      <c r="C125" s="645"/>
      <c r="D125" s="645"/>
      <c r="E125" s="645"/>
      <c r="F125" s="645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44" t="str">
        <f>+VLOOKUP(LEFT($A126,LEN(A126)-1)*1,Master!$D$30:$G$229,4,FALSE)</f>
        <v>Otplata garancija</v>
      </c>
      <c r="C126" s="645"/>
      <c r="D126" s="645"/>
      <c r="E126" s="645"/>
      <c r="F126" s="645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44" t="str">
        <f>+VLOOKUP(LEFT($A127,LEN(A127)-1)*1,Master!$D$30:$G$229,4,FALSE)</f>
        <v>Otplata obaveza iz prethodnog perioda</v>
      </c>
      <c r="C127" s="645"/>
      <c r="D127" s="645"/>
      <c r="E127" s="645"/>
      <c r="F127" s="645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44" t="str">
        <f>+VLOOKUP(LEFT($A128,LEN(A128)-1)*1,Master!$D$30:$G$229,4,FALSE)</f>
        <v>Neto povećanje obaveza</v>
      </c>
      <c r="C128" s="645"/>
      <c r="D128" s="645"/>
      <c r="E128" s="645"/>
      <c r="F128" s="645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52" t="str">
        <f>+VLOOKUP(LEFT($A129,LEN(A129)-1)*1,Master!$D$30:$G$226,4,FALSE)</f>
        <v>Suficit / deficit</v>
      </c>
      <c r="C129" s="653"/>
      <c r="D129" s="653"/>
      <c r="E129" s="653"/>
      <c r="F129" s="653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54" t="str">
        <f>+VLOOKUP(LEFT($A130,LEN(A130)-1)*1,Master!$D$30:$G$226,4,FALSE)</f>
        <v>Primarni suficit/deficit</v>
      </c>
      <c r="C130" s="655"/>
      <c r="D130" s="655"/>
      <c r="E130" s="655"/>
      <c r="F130" s="655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46" t="str">
        <f>+VLOOKUP(LEFT($A131,LEN(A131)-1)*1,Master!$D$30:$G$226,4,FALSE)</f>
        <v>Otplata dugova</v>
      </c>
      <c r="C131" s="647"/>
      <c r="D131" s="647"/>
      <c r="E131" s="647"/>
      <c r="F131" s="647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0" t="str">
        <f>+VLOOKUP(LEFT($A132,LEN(A132)-1)*1,Master!$D$30:$G$226,4,FALSE)</f>
        <v>Otplata hartija od vrijednosti i kredita rezidentima</v>
      </c>
      <c r="C132" s="651"/>
      <c r="D132" s="651"/>
      <c r="E132" s="651"/>
      <c r="F132" s="651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44" t="str">
        <f>+VLOOKUP(LEFT($A133,LEN(A133)-1)*1,Master!$D$30:$G$226,4,FALSE)</f>
        <v>Otplata hartija od vrijednosti i kredita nerezidentima</v>
      </c>
      <c r="C133" s="645"/>
      <c r="D133" s="645"/>
      <c r="E133" s="645"/>
      <c r="F133" s="645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22" t="str">
        <f>+VLOOKUP(LEFT($A134,LEN(A134)-1)*1,Master!$D$30:$G$226,4,FALSE)</f>
        <v>Izdaci za kupovinu hartija od vrijednosti</v>
      </c>
      <c r="C134" s="623"/>
      <c r="D134" s="623"/>
      <c r="E134" s="623"/>
      <c r="F134" s="623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22" t="s">
        <v>113</v>
      </c>
      <c r="C135" s="623"/>
      <c r="D135" s="623"/>
      <c r="E135" s="623"/>
      <c r="F135" s="623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48" t="str">
        <f>+VLOOKUP(LEFT($A136,LEN(A136)-1)*1,Master!$D$30:$G$226,4,FALSE)</f>
        <v>Nedostajuća sredstva</v>
      </c>
      <c r="C136" s="649"/>
      <c r="D136" s="649"/>
      <c r="E136" s="649"/>
      <c r="F136" s="649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22" t="str">
        <f>+VLOOKUP(LEFT($A137,LEN(A137)-1)*1,Master!$D$30:$G$226,4,FALSE)</f>
        <v>Finansiranje</v>
      </c>
      <c r="C137" s="623"/>
      <c r="D137" s="623"/>
      <c r="E137" s="623"/>
      <c r="F137" s="623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0" t="str">
        <f>+VLOOKUP(LEFT($A138,LEN(A138)-1)*1,Master!$D$30:$G$226,4,FALSE)</f>
        <v>Pozajmice i krediti od domaćih izvora</v>
      </c>
      <c r="C138" s="651"/>
      <c r="D138" s="651"/>
      <c r="E138" s="651"/>
      <c r="F138" s="651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44" t="str">
        <f>+VLOOKUP(LEFT($A139,LEN(A139)-1)*1,Master!$D$30:$G$226,4,FALSE)</f>
        <v>Pozajmice i krediti od inostranih izvora</v>
      </c>
      <c r="C139" s="645"/>
      <c r="D139" s="645"/>
      <c r="E139" s="645"/>
      <c r="F139" s="645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44" t="str">
        <f>+VLOOKUP(LEFT($A140,LEN(A140)-1)*1,Master!$D$30:$G$226,4,FALSE)</f>
        <v>Primici od prodaje imovine</v>
      </c>
      <c r="C140" s="645"/>
      <c r="D140" s="645"/>
      <c r="E140" s="645"/>
      <c r="F140" s="645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2022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5796761000</v>
      </c>
    </row>
    <row r="8" spans="1:23" ht="16.5" customHeight="1">
      <c r="A8" s="129"/>
      <c r="B8" s="561"/>
      <c r="C8" s="562"/>
      <c r="D8" s="562"/>
      <c r="E8" s="562"/>
      <c r="F8" s="563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3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9" t="str">
        <f>+VLOOKUP($A10,Master!$D$30:$G$226,4,FALSE)</f>
        <v>Prihodi budžeta</v>
      </c>
      <c r="C10" s="580"/>
      <c r="D10" s="580"/>
      <c r="E10" s="580"/>
      <c r="F10" s="580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1" t="str">
        <f>+VLOOKUP($A19,Master!$D$30:$G$226,4,FALSE)</f>
        <v>Doprinosi</v>
      </c>
      <c r="C19" s="592"/>
      <c r="D19" s="592"/>
      <c r="E19" s="592"/>
      <c r="F19" s="592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1" t="str">
        <f>+VLOOKUP($A28,Master!$D$30:$G$226,4,FALSE)</f>
        <v>Donacije i transferi</v>
      </c>
      <c r="C28" s="592"/>
      <c r="D28" s="592"/>
      <c r="E28" s="592"/>
      <c r="F28" s="592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89" t="str">
        <f>+VLOOKUP($A39,Master!$D$30:$G$226,4,FALSE)</f>
        <v>Ostali izdaci</v>
      </c>
      <c r="C39" s="590"/>
      <c r="D39" s="590"/>
      <c r="E39" s="590"/>
      <c r="F39" s="590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95" t="str">
        <f>+VLOOKUP($A59,Master!$D$30:$G$226,4,FALSE)</f>
        <v>Pozajmice i krediti</v>
      </c>
      <c r="C59" s="596"/>
      <c r="D59" s="596"/>
      <c r="E59" s="596"/>
      <c r="F59" s="596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77" t="str">
        <f>+VLOOKUP($A60,Master!$D$30:$G$226,4,FALSE)</f>
        <v>Nedostajuća sredstva</v>
      </c>
      <c r="C60" s="578"/>
      <c r="D60" s="578"/>
      <c r="E60" s="578"/>
      <c r="F60" s="578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79" t="str">
        <f>+VLOOKUP($A61,Master!$D$30:$G$226,4,FALSE)</f>
        <v>Finansiranje</v>
      </c>
      <c r="C61" s="580"/>
      <c r="D61" s="580"/>
      <c r="E61" s="580"/>
      <c r="F61" s="580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73" t="str">
        <f>+VLOOKUP($A63,Master!$D$30:$G$226,4,FALSE)</f>
        <v>Pozajmice i krediti od inostranih izvora</v>
      </c>
      <c r="C63" s="574"/>
      <c r="D63" s="574"/>
      <c r="E63" s="574"/>
      <c r="F63" s="574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57" t="str">
        <f>+VLOOKUP($A64,Master!$D$30:$G$226,4,FALSE)</f>
        <v>Primici od prodaje imovine</v>
      </c>
      <c r="C64" s="558"/>
      <c r="D64" s="558"/>
      <c r="E64" s="558"/>
      <c r="F64" s="558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57" t="s">
        <v>101</v>
      </c>
      <c r="C65" s="558"/>
      <c r="D65" s="558"/>
      <c r="E65" s="558"/>
      <c r="F65" s="558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28" t="str">
        <f>+Master!G253</f>
        <v>Plan ostvarenja budžeta</v>
      </c>
      <c r="C83" s="629"/>
      <c r="D83" s="629"/>
      <c r="E83" s="629"/>
      <c r="F83" s="629"/>
      <c r="G83" s="613">
        <v>2022</v>
      </c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5"/>
      <c r="S83" s="96" t="str">
        <f>+S7</f>
        <v>BDP</v>
      </c>
      <c r="T83" s="97">
        <v>5700400000</v>
      </c>
    </row>
    <row r="84" spans="1:26" ht="15.75" customHeight="1">
      <c r="B84" s="630"/>
      <c r="C84" s="631"/>
      <c r="D84" s="631"/>
      <c r="E84" s="631"/>
      <c r="F84" s="632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13" t="str">
        <f>+Master!G247</f>
        <v>Jan - Dec</v>
      </c>
      <c r="T84" s="615">
        <f>+T8</f>
        <v>0</v>
      </c>
    </row>
    <row r="85" spans="1:26" ht="13.5" thickBot="1">
      <c r="B85" s="633"/>
      <c r="C85" s="634"/>
      <c r="D85" s="634"/>
      <c r="E85" s="634"/>
      <c r="F85" s="63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22" t="str">
        <f>+VLOOKUP(LEFT($A86,LEN(A86)-1)*1,Master!$D$30:$G$226,4,FALSE)</f>
        <v>Prihodi budžeta</v>
      </c>
      <c r="C86" s="623"/>
      <c r="D86" s="623"/>
      <c r="E86" s="623"/>
      <c r="F86" s="623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24" t="str">
        <f>+VLOOKUP(LEFT($A87,LEN(A87)-1)*1,Master!$D$30:$G$226,4,FALSE)</f>
        <v>Porezi</v>
      </c>
      <c r="C87" s="625"/>
      <c r="D87" s="625"/>
      <c r="E87" s="625"/>
      <c r="F87" s="625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6" t="str">
        <f>+VLOOKUP(LEFT($A88,LEN(A88)-1)*1,Master!$D$30:$G$229,4,FALSE)</f>
        <v>Porez na dohodak fizičkih lica</v>
      </c>
      <c r="C88" s="627"/>
      <c r="D88" s="627"/>
      <c r="E88" s="627"/>
      <c r="F88" s="627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6" t="str">
        <f>+VLOOKUP(LEFT($A89,LEN(A89)-1)*1,Master!$D$30:$G$229,4,FALSE)</f>
        <v>Porez na dobit pravnih lica</v>
      </c>
      <c r="C89" s="627"/>
      <c r="D89" s="627"/>
      <c r="E89" s="627"/>
      <c r="F89" s="627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6" t="str">
        <f>+VLOOKUP(LEFT($A90,LEN(A90)-1)*1,Master!$D$30:$G$229,4,FALSE)</f>
        <v>Porez na promet nepokretnosti</v>
      </c>
      <c r="C90" s="627"/>
      <c r="D90" s="627"/>
      <c r="E90" s="627"/>
      <c r="F90" s="627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6" t="str">
        <f>+VLOOKUP(LEFT($A91,LEN(A91)-1)*1,Master!$D$30:$G$229,4,FALSE)</f>
        <v>Porez na dodatu vrijednost</v>
      </c>
      <c r="C91" s="627"/>
      <c r="D91" s="627"/>
      <c r="E91" s="627"/>
      <c r="F91" s="627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6" t="str">
        <f>+VLOOKUP(LEFT($A92,LEN(A92)-1)*1,Master!$D$30:$G$229,4,FALSE)</f>
        <v>Akcize</v>
      </c>
      <c r="C92" s="627"/>
      <c r="D92" s="627"/>
      <c r="E92" s="627"/>
      <c r="F92" s="627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6" t="str">
        <f>+VLOOKUP(LEFT($A93,LEN(A93)-1)*1,Master!$D$30:$G$229,4,FALSE)</f>
        <v>Porez na međunarodnu trgovinu i transakcije</v>
      </c>
      <c r="C93" s="627"/>
      <c r="D93" s="627"/>
      <c r="E93" s="627"/>
      <c r="F93" s="627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6" t="str">
        <f>+VLOOKUP(LEFT($A94,LEN(A94)-1)*1,Master!$D$30:$G$229,4,FALSE)</f>
        <v>Ostali državni porezi</v>
      </c>
      <c r="C94" s="627"/>
      <c r="D94" s="627"/>
      <c r="E94" s="627"/>
      <c r="F94" s="627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6" t="str">
        <f>+VLOOKUP(LEFT($A95,LEN(A95)-1)*1,Master!$D$30:$G$229,4,FALSE)</f>
        <v>Doprinosi</v>
      </c>
      <c r="C95" s="637"/>
      <c r="D95" s="637"/>
      <c r="E95" s="637"/>
      <c r="F95" s="637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6" t="str">
        <f>+VLOOKUP(LEFT($A96,LEN(A96)-1)*1,Master!$D$30:$G$229,4,FALSE)</f>
        <v>Doprinosi za penzijsko i invalidsko osiguranje</v>
      </c>
      <c r="C96" s="627"/>
      <c r="D96" s="627"/>
      <c r="E96" s="627"/>
      <c r="F96" s="627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6" t="str">
        <f>+VLOOKUP(LEFT($A97,LEN(A97)-1)*1,Master!$D$30:$G$229,4,FALSE)</f>
        <v>Doprinosi za zdravstveno osiguranje</v>
      </c>
      <c r="C97" s="627"/>
      <c r="D97" s="627"/>
      <c r="E97" s="627"/>
      <c r="F97" s="627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6" t="str">
        <f>+VLOOKUP(LEFT($A98,LEN(A98)-1)*1,Master!$D$30:$G$229,4,FALSE)</f>
        <v>Doprinosi za osiguranje od nezaposlenosti</v>
      </c>
      <c r="C98" s="627"/>
      <c r="D98" s="627"/>
      <c r="E98" s="627"/>
      <c r="F98" s="627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6" t="str">
        <f>+VLOOKUP(LEFT($A99,LEN(A99)-1)*1,Master!$D$30:$G$229,4,FALSE)</f>
        <v>Ostali doprinosi</v>
      </c>
      <c r="C99" s="627"/>
      <c r="D99" s="627"/>
      <c r="E99" s="627"/>
      <c r="F99" s="627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6" t="str">
        <f>+VLOOKUP(LEFT($A100,LEN(A100)-1)*1,Master!$D$30:$G$229,4,FALSE)</f>
        <v>Takse</v>
      </c>
      <c r="C100" s="637"/>
      <c r="D100" s="637"/>
      <c r="E100" s="637"/>
      <c r="F100" s="637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6" t="str">
        <f>+VLOOKUP(LEFT($A101,LEN(A101)-1)*1,Master!$D$30:$G$229,4,FALSE)</f>
        <v>Naknade</v>
      </c>
      <c r="C101" s="637"/>
      <c r="D101" s="637"/>
      <c r="E101" s="637"/>
      <c r="F101" s="637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6" t="str">
        <f>+VLOOKUP(LEFT($A102,LEN(A102)-1)*1,Master!$D$30:$G$229,4,FALSE)</f>
        <v>Ostali prihodi</v>
      </c>
      <c r="C102" s="637"/>
      <c r="D102" s="637"/>
      <c r="E102" s="637"/>
      <c r="F102" s="637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6" t="str">
        <f>+VLOOKUP(LEFT($A103,LEN(A103)-1)*1,Master!$D$30:$G$229,4,FALSE)</f>
        <v>Primici od otplate kredita i sredstva prenesena iz prethodne godine</v>
      </c>
      <c r="C103" s="637"/>
      <c r="D103" s="637"/>
      <c r="E103" s="637"/>
      <c r="F103" s="637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38" t="str">
        <f>+VLOOKUP(LEFT($A104,LEN(A104)-1)*1,Master!$D$30:$G$229,4,FALSE)</f>
        <v>Donacije i transferi</v>
      </c>
      <c r="C104" s="639"/>
      <c r="D104" s="639"/>
      <c r="E104" s="639"/>
      <c r="F104" s="639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22" t="str">
        <f>+VLOOKUP(LEFT($A105,LEN(A105)-1)*1,Master!$D$30:$G$229,4,FALSE)</f>
        <v>Izdaci budžeta</v>
      </c>
      <c r="C105" s="623"/>
      <c r="D105" s="623"/>
      <c r="E105" s="623"/>
      <c r="F105" s="623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0" t="str">
        <f>+VLOOKUP(LEFT($A106,LEN(A106)-1)*1,Master!$D$30:$G$229,4,FALSE)</f>
        <v>Tekući izdaci</v>
      </c>
      <c r="C106" s="641"/>
      <c r="D106" s="641"/>
      <c r="E106" s="641"/>
      <c r="F106" s="641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6" t="str">
        <f>+VLOOKUP(LEFT($A107,LEN(A107)-1)*1,Master!$D$30:$G$229,4,FALSE)</f>
        <v>Bruto zarade i doprinosi na teret poslodavca</v>
      </c>
      <c r="C107" s="627"/>
      <c r="D107" s="627"/>
      <c r="E107" s="627"/>
      <c r="F107" s="627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6" t="str">
        <f>+VLOOKUP(LEFT($A108,LEN(A108)-1)*1,Master!$D$30:$G$229,4,FALSE)</f>
        <v>Ostala lična primanja</v>
      </c>
      <c r="C108" s="627"/>
      <c r="D108" s="627"/>
      <c r="E108" s="627"/>
      <c r="F108" s="627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6" t="str">
        <f>+VLOOKUP(LEFT($A109,LEN(A109)-1)*1,Master!$D$30:$G$229,4,FALSE)</f>
        <v>Rashodi za materijal</v>
      </c>
      <c r="C109" s="627"/>
      <c r="D109" s="627"/>
      <c r="E109" s="627"/>
      <c r="F109" s="627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6" t="str">
        <f>+VLOOKUP(LEFT($A110,LEN(A110)-1)*1,Master!$D$30:$G$229,4,FALSE)</f>
        <v>Rashodi za usluge</v>
      </c>
      <c r="C110" s="627"/>
      <c r="D110" s="627"/>
      <c r="E110" s="627"/>
      <c r="F110" s="627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6" t="str">
        <f>+VLOOKUP(LEFT($A111,LEN(A111)-1)*1,Master!$D$30:$G$229,4,FALSE)</f>
        <v>Rashodi za tekuće održavanje</v>
      </c>
      <c r="C111" s="627"/>
      <c r="D111" s="627"/>
      <c r="E111" s="627"/>
      <c r="F111" s="627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6" t="str">
        <f>+VLOOKUP(LEFT($A112,LEN(A112)-1)*1,Master!$D$30:$G$229,4,FALSE)</f>
        <v>Kamate</v>
      </c>
      <c r="C112" s="627"/>
      <c r="D112" s="627"/>
      <c r="E112" s="627"/>
      <c r="F112" s="627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6" t="str">
        <f>+VLOOKUP(LEFT($A113,LEN(A113)-1)*1,Master!$D$30:$G$229,4,FALSE)</f>
        <v>Renta</v>
      </c>
      <c r="C113" s="627"/>
      <c r="D113" s="627"/>
      <c r="E113" s="627"/>
      <c r="F113" s="627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6" t="str">
        <f>+VLOOKUP(LEFT($A114,LEN(A114)-1)*1,Master!$D$30:$G$229,4,FALSE)</f>
        <v>Subvencije</v>
      </c>
      <c r="C114" s="627"/>
      <c r="D114" s="627"/>
      <c r="E114" s="627"/>
      <c r="F114" s="627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6" t="str">
        <f>+VLOOKUP(LEFT($A115,LEN(A115)-1)*1,Master!$D$30:$G$229,4,FALSE)</f>
        <v>Ostali izdaci</v>
      </c>
      <c r="C115" s="627"/>
      <c r="D115" s="627"/>
      <c r="E115" s="627"/>
      <c r="F115" s="627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46" t="str">
        <f>+VLOOKUP(LEFT($A116,LEN(A116)-1)*1,Master!$D$30:$G$229,4,FALSE)</f>
        <v>Transferi za socijalnu zaštitu</v>
      </c>
      <c r="C116" s="647"/>
      <c r="D116" s="647"/>
      <c r="E116" s="647"/>
      <c r="F116" s="647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6" t="str">
        <f>+VLOOKUP(LEFT($A117,LEN(A117)-1)*1,Master!$D$30:$G$229,4,FALSE)</f>
        <v>Prava iz oblasti socijalne zaštite</v>
      </c>
      <c r="C117" s="627"/>
      <c r="D117" s="627"/>
      <c r="E117" s="627"/>
      <c r="F117" s="627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6" t="str">
        <f>+VLOOKUP(LEFT($A118,LEN(A118)-1)*1,Master!$D$30:$G$229,4,FALSE)</f>
        <v>Sredstva za tehnološke viškove</v>
      </c>
      <c r="C118" s="627"/>
      <c r="D118" s="627"/>
      <c r="E118" s="627"/>
      <c r="F118" s="627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6" t="str">
        <f>+VLOOKUP(LEFT($A119,LEN(A119)-1)*1,Master!$D$30:$G$229,4,FALSE)</f>
        <v>Prava iz oblasti penzijskog i invalidskog osiguranja</v>
      </c>
      <c r="C119" s="627"/>
      <c r="D119" s="627"/>
      <c r="E119" s="627"/>
      <c r="F119" s="627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6" t="str">
        <f>+VLOOKUP(LEFT($A120,LEN(A120)-1)*1,Master!$D$30:$G$229,4,FALSE)</f>
        <v>Ostala prava iz oblasti zdravstvene zaštite</v>
      </c>
      <c r="C120" s="627"/>
      <c r="D120" s="627"/>
      <c r="E120" s="627"/>
      <c r="F120" s="627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6" t="str">
        <f>+VLOOKUP(LEFT($A121,LEN(A121)-1)*1,Master!$D$30:$G$229,4,FALSE)</f>
        <v>Ostala prava iz zdravstvenog osiguranja</v>
      </c>
      <c r="C121" s="627"/>
      <c r="D121" s="627"/>
      <c r="E121" s="627"/>
      <c r="F121" s="627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42" t="str">
        <f>+VLOOKUP(LEFT($A122,LEN(A122)-1)*1,Master!$D$30:$G$229,4,FALSE)</f>
        <v xml:space="preserve">Transferi institucijama, pojedincima, nevladinom i javnom sektoru </v>
      </c>
      <c r="C122" s="643"/>
      <c r="D122" s="643"/>
      <c r="E122" s="643"/>
      <c r="F122" s="643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42" t="str">
        <f>+VLOOKUP(LEFT($A123,LEN(A123)-1)*1,Master!$D$30:$G$229,4,FALSE)</f>
        <v>Kapitalni izdaci</v>
      </c>
      <c r="C123" s="643"/>
      <c r="D123" s="643"/>
      <c r="E123" s="643"/>
      <c r="F123" s="643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44" t="str">
        <f>+VLOOKUP(LEFT($A124,LEN(A124)-1)*1,Master!$D$30:$G$229,4,FALSE)</f>
        <v>Pozajmice i krediti</v>
      </c>
      <c r="C124" s="645"/>
      <c r="D124" s="645"/>
      <c r="E124" s="645"/>
      <c r="F124" s="645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44" t="str">
        <f>+VLOOKUP(LEFT($A125,LEN(A125)-1)*1,Master!$D$30:$G$229,4,FALSE)</f>
        <v>Rezerve</v>
      </c>
      <c r="C125" s="645"/>
      <c r="D125" s="645"/>
      <c r="E125" s="645"/>
      <c r="F125" s="645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44" t="str">
        <f>+VLOOKUP(LEFT($A126,LEN(A126)-1)*1,Master!$D$30:$G$229,4,FALSE)</f>
        <v>Otplata garancija</v>
      </c>
      <c r="C126" s="645"/>
      <c r="D126" s="645"/>
      <c r="E126" s="645"/>
      <c r="F126" s="645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44" t="str">
        <f>+VLOOKUP(LEFT($A127,LEN(A127)-1)*1,Master!$D$30:$G$229,4,FALSE)</f>
        <v>Otplata obaveza iz prethodnog perioda</v>
      </c>
      <c r="C127" s="645"/>
      <c r="D127" s="645"/>
      <c r="E127" s="645"/>
      <c r="F127" s="645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44" t="str">
        <f>+VLOOKUP(LEFT($A128,LEN(A128)-1)*1,Master!$D$30:$G$229,4,FALSE)</f>
        <v>Neto povećanje obaveza</v>
      </c>
      <c r="C128" s="645"/>
      <c r="D128" s="645"/>
      <c r="E128" s="645"/>
      <c r="F128" s="645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52" t="str">
        <f>+VLOOKUP(LEFT($A129,LEN(A129)-1)*1,Master!$D$30:$G$226,4,FALSE)</f>
        <v>Suficit / deficit</v>
      </c>
      <c r="C129" s="653"/>
      <c r="D129" s="653"/>
      <c r="E129" s="653"/>
      <c r="F129" s="653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54" t="str">
        <f>+VLOOKUP(LEFT($A130,LEN(A130)-1)*1,Master!$D$30:$G$226,4,FALSE)</f>
        <v>Primarni suficit/deficit</v>
      </c>
      <c r="C130" s="655"/>
      <c r="D130" s="655"/>
      <c r="E130" s="655"/>
      <c r="F130" s="655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46" t="str">
        <f>+VLOOKUP(LEFT($A131,LEN(A131)-1)*1,Master!$D$30:$G$226,4,FALSE)</f>
        <v>Otplata dugova</v>
      </c>
      <c r="C131" s="647"/>
      <c r="D131" s="647"/>
      <c r="E131" s="647"/>
      <c r="F131" s="647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0" t="str">
        <f>+VLOOKUP(LEFT($A132,LEN(A132)-1)*1,Master!$D$30:$G$226,4,FALSE)</f>
        <v>Otplata hartija od vrijednosti i kredita rezidentima</v>
      </c>
      <c r="C132" s="651"/>
      <c r="D132" s="651"/>
      <c r="E132" s="651"/>
      <c r="F132" s="651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44" t="str">
        <f>+VLOOKUP(LEFT($A133,LEN(A133)-1)*1,Master!$D$30:$G$226,4,FALSE)</f>
        <v>Otplata hartija od vrijednosti i kredita nerezidentima</v>
      </c>
      <c r="C133" s="645"/>
      <c r="D133" s="645"/>
      <c r="E133" s="645"/>
      <c r="F133" s="645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22" t="str">
        <f>+VLOOKUP(LEFT($A134,LEN(A134)-1)*1,Master!$D$30:$G$226,4,FALSE)</f>
        <v>Izdaci za kupovinu hartija od vrijednosti</v>
      </c>
      <c r="C134" s="623"/>
      <c r="D134" s="623"/>
      <c r="E134" s="623"/>
      <c r="F134" s="623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48" t="str">
        <f>+VLOOKUP(LEFT($A135,LEN(A135)-1)*1,Master!$D$30:$G$226,4,FALSE)</f>
        <v>Nedostajuća sredstva</v>
      </c>
      <c r="C135" s="649"/>
      <c r="D135" s="649"/>
      <c r="E135" s="649"/>
      <c r="F135" s="649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22" t="str">
        <f>+VLOOKUP(LEFT($A136,LEN(A136)-1)*1,Master!$D$30:$G$226,4,FALSE)</f>
        <v>Finansiranje</v>
      </c>
      <c r="C136" s="623"/>
      <c r="D136" s="623"/>
      <c r="E136" s="623"/>
      <c r="F136" s="623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0" t="str">
        <f>+VLOOKUP(LEFT($A137,LEN(A137)-1)*1,Master!$D$30:$G$226,4,FALSE)</f>
        <v>Pozajmice i krediti od domaćih izvora</v>
      </c>
      <c r="C137" s="651"/>
      <c r="D137" s="651"/>
      <c r="E137" s="651"/>
      <c r="F137" s="651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44" t="str">
        <f>+VLOOKUP(LEFT($A138,LEN(A138)-1)*1,Master!$D$30:$G$226,4,FALSE)</f>
        <v>Pozajmice i krediti od inostranih izvora</v>
      </c>
      <c r="C138" s="645"/>
      <c r="D138" s="645"/>
      <c r="E138" s="645"/>
      <c r="F138" s="645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44" t="str">
        <f>+VLOOKUP(LEFT($A139,LEN(A139)-1)*1,Master!$D$30:$G$226,4,FALSE)</f>
        <v>Primici od prodaje imovine</v>
      </c>
      <c r="C139" s="645"/>
      <c r="D139" s="645"/>
      <c r="E139" s="645"/>
      <c r="F139" s="645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2021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4955116000</v>
      </c>
    </row>
    <row r="8" spans="1:22" ht="16.5" customHeight="1">
      <c r="A8" s="129"/>
      <c r="B8" s="561"/>
      <c r="C8" s="562"/>
      <c r="D8" s="562"/>
      <c r="E8" s="562"/>
      <c r="F8" s="563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2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1" t="str">
        <f>+VLOOKUP($A10,Master!$D$30:$G$226,4,FALSE)</f>
        <v>Prihodi budžeta</v>
      </c>
      <c r="C10" s="602"/>
      <c r="D10" s="602"/>
      <c r="E10" s="602"/>
      <c r="F10" s="602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07" t="str">
        <f>+VLOOKUP($A39,Master!$D$30:$G$226,4,FALSE)</f>
        <v>Ostali izdaci</v>
      </c>
      <c r="C39" s="608"/>
      <c r="D39" s="608"/>
      <c r="E39" s="608"/>
      <c r="F39" s="608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77" t="str">
        <f>+VLOOKUP($A59,Master!$D$30:$G$226,4,FALSE)</f>
        <v>Nedostajuća sredstva</v>
      </c>
      <c r="C59" s="578"/>
      <c r="D59" s="578"/>
      <c r="E59" s="578"/>
      <c r="F59" s="578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79" t="str">
        <f>+VLOOKUP($A60,Master!$D$30:$G$226,4,FALSE)</f>
        <v>Finansiranje</v>
      </c>
      <c r="C60" s="580"/>
      <c r="D60" s="580"/>
      <c r="E60" s="580"/>
      <c r="F60" s="580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73" t="str">
        <f>+VLOOKUP($A61,Master!$D$30:$G$226,4,FALSE)</f>
        <v>Pozajmice i krediti od domaćih izvora</v>
      </c>
      <c r="C61" s="574"/>
      <c r="D61" s="574"/>
      <c r="E61" s="574"/>
      <c r="F61" s="574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57" t="str">
        <f>+VLOOKUP($A62,Master!$D$30:$G$226,4,FALSE)</f>
        <v>Pozajmice i krediti od inostranih izvora</v>
      </c>
      <c r="C62" s="558"/>
      <c r="D62" s="558"/>
      <c r="E62" s="558"/>
      <c r="F62" s="558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57" t="str">
        <f>+VLOOKUP($A63,Master!$D$30:$G$226,4,FALSE)</f>
        <v>Primici od prodaje imovine</v>
      </c>
      <c r="C63" s="558"/>
      <c r="D63" s="558"/>
      <c r="E63" s="558"/>
      <c r="F63" s="558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28" t="str">
        <f>+Master!G253</f>
        <v>Plan ostvarenja budžeta</v>
      </c>
      <c r="C81" s="629"/>
      <c r="D81" s="629"/>
      <c r="E81" s="629"/>
      <c r="F81" s="629"/>
      <c r="G81" s="613">
        <v>2021</v>
      </c>
      <c r="H81" s="614"/>
      <c r="I81" s="614"/>
      <c r="J81" s="614"/>
      <c r="K81" s="614"/>
      <c r="L81" s="614"/>
      <c r="M81" s="614"/>
      <c r="N81" s="614"/>
      <c r="O81" s="614"/>
      <c r="P81" s="614"/>
      <c r="Q81" s="614"/>
      <c r="R81" s="615"/>
      <c r="S81" s="96" t="str">
        <f>+S7</f>
        <v>BDP</v>
      </c>
      <c r="T81" s="97">
        <v>4636600000</v>
      </c>
    </row>
    <row r="82" spans="1:21" ht="15.75" customHeight="1">
      <c r="B82" s="630"/>
      <c r="C82" s="631"/>
      <c r="D82" s="631"/>
      <c r="E82" s="631"/>
      <c r="F82" s="632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13" t="str">
        <f>+Master!G247</f>
        <v>Jan - Dec</v>
      </c>
      <c r="T82" s="615">
        <f>+T8</f>
        <v>0</v>
      </c>
    </row>
    <row r="83" spans="1:21" ht="13.5" thickBot="1">
      <c r="B83" s="633"/>
      <c r="C83" s="634"/>
      <c r="D83" s="634"/>
      <c r="E83" s="634"/>
      <c r="F83" s="635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58" t="str">
        <f>+VLOOKUP(LEFT($A84,LEN(A84)-1)*1,Master!$D$30:$G$226,4,FALSE)</f>
        <v>Prihodi budžeta</v>
      </c>
      <c r="C84" s="659"/>
      <c r="D84" s="659"/>
      <c r="E84" s="659"/>
      <c r="F84" s="659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24" t="str">
        <f>+VLOOKUP(LEFT($A85,LEN(A85)-1)*1,Master!$D$30:$G$226,4,FALSE)</f>
        <v>Porezi</v>
      </c>
      <c r="C85" s="625"/>
      <c r="D85" s="625"/>
      <c r="E85" s="625"/>
      <c r="F85" s="625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6" t="str">
        <f>+VLOOKUP(LEFT($A86,LEN(A86)-1)*1,Master!$D$30:$G$229,4,FALSE)</f>
        <v>Porez na dohodak fizičkih lica</v>
      </c>
      <c r="C86" s="627"/>
      <c r="D86" s="627"/>
      <c r="E86" s="627"/>
      <c r="F86" s="627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6" t="str">
        <f>+VLOOKUP(LEFT($A87,LEN(A87)-1)*1,Master!$D$30:$G$229,4,FALSE)</f>
        <v>Porez na dobit pravnih lica</v>
      </c>
      <c r="C87" s="627"/>
      <c r="D87" s="627"/>
      <c r="E87" s="627"/>
      <c r="F87" s="627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6" t="str">
        <f>+VLOOKUP(LEFT($A88,LEN(A88)-1)*1,Master!$D$30:$G$229,4,FALSE)</f>
        <v>Porez na promet nepokretnosti</v>
      </c>
      <c r="C88" s="627"/>
      <c r="D88" s="627"/>
      <c r="E88" s="627"/>
      <c r="F88" s="627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6" t="str">
        <f>+VLOOKUP(LEFT($A89,LEN(A89)-1)*1,Master!$D$30:$G$229,4,FALSE)</f>
        <v>Porez na dodatu vrijednost</v>
      </c>
      <c r="C89" s="627"/>
      <c r="D89" s="627"/>
      <c r="E89" s="627"/>
      <c r="F89" s="627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6" t="str">
        <f>+VLOOKUP(LEFT($A90,LEN(A90)-1)*1,Master!$D$30:$G$229,4,FALSE)</f>
        <v>Akcize</v>
      </c>
      <c r="C90" s="627"/>
      <c r="D90" s="627"/>
      <c r="E90" s="627"/>
      <c r="F90" s="627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6" t="str">
        <f>+VLOOKUP(LEFT($A91,LEN(A91)-1)*1,Master!$D$30:$G$229,4,FALSE)</f>
        <v>Porez na međunarodnu trgovinu i transakcije</v>
      </c>
      <c r="C91" s="627"/>
      <c r="D91" s="627"/>
      <c r="E91" s="627"/>
      <c r="F91" s="627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6" t="str">
        <f>+VLOOKUP(LEFT($A92,LEN(A92)-1)*1,Master!$D$30:$G$229,4,FALSE)</f>
        <v>Ostali državni porezi</v>
      </c>
      <c r="C92" s="627"/>
      <c r="D92" s="627"/>
      <c r="E92" s="627"/>
      <c r="F92" s="627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56" t="str">
        <f>+VLOOKUP(LEFT($A93,LEN(A93)-1)*1,Master!$D$30:$G$229,4,FALSE)</f>
        <v>Doprinosi</v>
      </c>
      <c r="C93" s="657"/>
      <c r="D93" s="657"/>
      <c r="E93" s="657"/>
      <c r="F93" s="657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6" t="str">
        <f>+VLOOKUP(LEFT($A94,LEN(A94)-1)*1,Master!$D$30:$G$229,4,FALSE)</f>
        <v>Doprinosi za penzijsko i invalidsko osiguranje</v>
      </c>
      <c r="C94" s="627"/>
      <c r="D94" s="627"/>
      <c r="E94" s="627"/>
      <c r="F94" s="627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6" t="str">
        <f>+VLOOKUP(LEFT($A95,LEN(A95)-1)*1,Master!$D$30:$G$229,4,FALSE)</f>
        <v>Doprinosi za zdravstveno osiguranje</v>
      </c>
      <c r="C95" s="627"/>
      <c r="D95" s="627"/>
      <c r="E95" s="627"/>
      <c r="F95" s="627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6" t="str">
        <f>+VLOOKUP(LEFT($A96,LEN(A96)-1)*1,Master!$D$30:$G$229,4,FALSE)</f>
        <v>Doprinosi za osiguranje od nezaposlenosti</v>
      </c>
      <c r="C96" s="627"/>
      <c r="D96" s="627"/>
      <c r="E96" s="627"/>
      <c r="F96" s="627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6" t="str">
        <f>+VLOOKUP(LEFT($A97,LEN(A97)-1)*1,Master!$D$30:$G$229,4,FALSE)</f>
        <v>Ostali doprinosi</v>
      </c>
      <c r="C97" s="627"/>
      <c r="D97" s="627"/>
      <c r="E97" s="627"/>
      <c r="F97" s="627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6" t="str">
        <f>+VLOOKUP(LEFT($A98,LEN(A98)-1)*1,Master!$D$30:$G$229,4,FALSE)</f>
        <v>Takse</v>
      </c>
      <c r="C98" s="637"/>
      <c r="D98" s="637"/>
      <c r="E98" s="637"/>
      <c r="F98" s="637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6" t="str">
        <f>+VLOOKUP(LEFT($A99,LEN(A99)-1)*1,Master!$D$30:$G$229,4,FALSE)</f>
        <v>Naknade</v>
      </c>
      <c r="C99" s="637"/>
      <c r="D99" s="637"/>
      <c r="E99" s="637"/>
      <c r="F99" s="637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6" t="str">
        <f>+VLOOKUP(LEFT($A100,LEN(A100)-1)*1,Master!$D$30:$G$229,4,FALSE)</f>
        <v>Ostali prihodi</v>
      </c>
      <c r="C100" s="637"/>
      <c r="D100" s="637"/>
      <c r="E100" s="637"/>
      <c r="F100" s="637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6" t="str">
        <f>+VLOOKUP(LEFT($A101,LEN(A101)-1)*1,Master!$D$30:$G$229,4,FALSE)</f>
        <v>Primici od otplate kredita i sredstva prenesena iz prethodne godine</v>
      </c>
      <c r="C101" s="637"/>
      <c r="D101" s="637"/>
      <c r="E101" s="637"/>
      <c r="F101" s="637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38" t="str">
        <f>+VLOOKUP(LEFT($A102,LEN(A102)-1)*1,Master!$D$30:$G$229,4,FALSE)</f>
        <v>Donacije i transferi</v>
      </c>
      <c r="C102" s="639"/>
      <c r="D102" s="639"/>
      <c r="E102" s="639"/>
      <c r="F102" s="639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22" t="str">
        <f>+VLOOKUP(LEFT($A103,LEN(A103)-1)*1,Master!$D$30:$G$229,4,FALSE)</f>
        <v>Izdaci budžeta</v>
      </c>
      <c r="C103" s="623"/>
      <c r="D103" s="623"/>
      <c r="E103" s="623"/>
      <c r="F103" s="623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0" t="str">
        <f>+VLOOKUP(LEFT($A104,LEN(A104)-1)*1,Master!$D$30:$G$229,4,FALSE)</f>
        <v>Tekući izdaci</v>
      </c>
      <c r="C104" s="641"/>
      <c r="D104" s="641"/>
      <c r="E104" s="641"/>
      <c r="F104" s="641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6" t="str">
        <f>+VLOOKUP(LEFT($A105,LEN(A105)-1)*1,Master!$D$30:$G$229,4,FALSE)</f>
        <v>Bruto zarade i doprinosi na teret poslodavca</v>
      </c>
      <c r="C105" s="627"/>
      <c r="D105" s="627"/>
      <c r="E105" s="627"/>
      <c r="F105" s="627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6" t="str">
        <f>+VLOOKUP(LEFT($A106,LEN(A106)-1)*1,Master!$D$30:$G$229,4,FALSE)</f>
        <v>Ostala lična primanja</v>
      </c>
      <c r="C106" s="627"/>
      <c r="D106" s="627"/>
      <c r="E106" s="627"/>
      <c r="F106" s="627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6" t="str">
        <f>+VLOOKUP(LEFT($A107,LEN(A107)-1)*1,Master!$D$30:$G$229,4,FALSE)</f>
        <v>Rashodi za materijal</v>
      </c>
      <c r="C107" s="627"/>
      <c r="D107" s="627"/>
      <c r="E107" s="627"/>
      <c r="F107" s="627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6" t="str">
        <f>+VLOOKUP(LEFT($A108,LEN(A108)-1)*1,Master!$D$30:$G$229,4,FALSE)</f>
        <v>Rashodi za usluge</v>
      </c>
      <c r="C108" s="627"/>
      <c r="D108" s="627"/>
      <c r="E108" s="627"/>
      <c r="F108" s="627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6" t="str">
        <f>+VLOOKUP(LEFT($A109,LEN(A109)-1)*1,Master!$D$30:$G$229,4,FALSE)</f>
        <v>Rashodi za tekuće održavanje</v>
      </c>
      <c r="C109" s="627"/>
      <c r="D109" s="627"/>
      <c r="E109" s="627"/>
      <c r="F109" s="627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6" t="str">
        <f>+VLOOKUP(LEFT($A110,LEN(A110)-1)*1,Master!$D$30:$G$229,4,FALSE)</f>
        <v>Kamate</v>
      </c>
      <c r="C110" s="627"/>
      <c r="D110" s="627"/>
      <c r="E110" s="627"/>
      <c r="F110" s="627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6" t="str">
        <f>+VLOOKUP(LEFT($A111,LEN(A111)-1)*1,Master!$D$30:$G$229,4,FALSE)</f>
        <v>Renta</v>
      </c>
      <c r="C111" s="627"/>
      <c r="D111" s="627"/>
      <c r="E111" s="627"/>
      <c r="F111" s="627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6" t="str">
        <f>+VLOOKUP(LEFT($A112,LEN(A112)-1)*1,Master!$D$30:$G$229,4,FALSE)</f>
        <v>Subvencije</v>
      </c>
      <c r="C112" s="627"/>
      <c r="D112" s="627"/>
      <c r="E112" s="627"/>
      <c r="F112" s="627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6" t="str">
        <f>+VLOOKUP(LEFT($A113,LEN(A113)-1)*1,Master!$D$30:$G$229,4,FALSE)</f>
        <v>Ostali izdaci</v>
      </c>
      <c r="C113" s="627"/>
      <c r="D113" s="627"/>
      <c r="E113" s="627"/>
      <c r="F113" s="627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46" t="str">
        <f>+VLOOKUP(LEFT($A114,LEN(A114)-1)*1,Master!$D$30:$G$229,4,FALSE)</f>
        <v>Transferi za socijalnu zaštitu</v>
      </c>
      <c r="C114" s="647"/>
      <c r="D114" s="647"/>
      <c r="E114" s="647"/>
      <c r="F114" s="647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6" t="str">
        <f>+VLOOKUP(LEFT($A115,LEN(A115)-1)*1,Master!$D$30:$G$229,4,FALSE)</f>
        <v>Prava iz oblasti socijalne zaštite</v>
      </c>
      <c r="C115" s="627"/>
      <c r="D115" s="627"/>
      <c r="E115" s="627"/>
      <c r="F115" s="627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6" t="str">
        <f>+VLOOKUP(LEFT($A116,LEN(A116)-1)*1,Master!$D$30:$G$229,4,FALSE)</f>
        <v>Sredstva za tehnološke viškove</v>
      </c>
      <c r="C116" s="627"/>
      <c r="D116" s="627"/>
      <c r="E116" s="627"/>
      <c r="F116" s="627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6" t="str">
        <f>+VLOOKUP(LEFT($A117,LEN(A117)-1)*1,Master!$D$30:$G$229,4,FALSE)</f>
        <v>Prava iz oblasti penzijskog i invalidskog osiguranja</v>
      </c>
      <c r="C117" s="627"/>
      <c r="D117" s="627"/>
      <c r="E117" s="627"/>
      <c r="F117" s="627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6" t="str">
        <f>+VLOOKUP(LEFT($A118,LEN(A118)-1)*1,Master!$D$30:$G$229,4,FALSE)</f>
        <v>Ostala prava iz oblasti zdravstvene zaštite</v>
      </c>
      <c r="C118" s="627"/>
      <c r="D118" s="627"/>
      <c r="E118" s="627"/>
      <c r="F118" s="627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6" t="str">
        <f>+VLOOKUP(LEFT($A119,LEN(A119)-1)*1,Master!$D$30:$G$229,4,FALSE)</f>
        <v>Ostala prava iz zdravstvenog osiguranja</v>
      </c>
      <c r="C119" s="627"/>
      <c r="D119" s="627"/>
      <c r="E119" s="627"/>
      <c r="F119" s="627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42" t="str">
        <f>+VLOOKUP(LEFT($A120,LEN(A120)-1)*1,Master!$D$30:$G$229,4,FALSE)</f>
        <v xml:space="preserve">Transferi institucijama, pojedincima, nevladinom i javnom sektoru </v>
      </c>
      <c r="C120" s="643"/>
      <c r="D120" s="643"/>
      <c r="E120" s="643"/>
      <c r="F120" s="643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42" t="str">
        <f>+VLOOKUP(LEFT($A121,LEN(A121)-1)*1,Master!$D$30:$G$229,4,FALSE)</f>
        <v>Kapitalni izdaci</v>
      </c>
      <c r="C121" s="643"/>
      <c r="D121" s="643"/>
      <c r="E121" s="643"/>
      <c r="F121" s="643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44" t="str">
        <f>+VLOOKUP(LEFT($A122,LEN(A122)-1)*1,Master!$D$30:$G$229,4,FALSE)</f>
        <v>Pozajmice i krediti</v>
      </c>
      <c r="C122" s="645"/>
      <c r="D122" s="645"/>
      <c r="E122" s="645"/>
      <c r="F122" s="645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44" t="str">
        <f>+VLOOKUP(LEFT($A123,LEN(A123)-1)*1,Master!$D$30:$G$229,4,FALSE)</f>
        <v>Rezerve</v>
      </c>
      <c r="C123" s="645"/>
      <c r="D123" s="645"/>
      <c r="E123" s="645"/>
      <c r="F123" s="645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44" t="str">
        <f>+VLOOKUP(LEFT($A124,LEN(A124)-1)*1,Master!$D$30:$G$229,4,FALSE)</f>
        <v>Otplata garancija</v>
      </c>
      <c r="C124" s="645"/>
      <c r="D124" s="645"/>
      <c r="E124" s="645"/>
      <c r="F124" s="645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44" t="str">
        <f>+VLOOKUP(LEFT($A125,LEN(A125)-1)*1,Master!$D$30:$G$229,4,FALSE)</f>
        <v>Otplata obaveza iz prethodnog perioda</v>
      </c>
      <c r="C125" s="645"/>
      <c r="D125" s="645"/>
      <c r="E125" s="645"/>
      <c r="F125" s="645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44" t="str">
        <f>+VLOOKUP(LEFT($A126,LEN(A126)-1)*1,Master!$D$30:$G$229,4,FALSE)</f>
        <v>Neto povećanje obaveza</v>
      </c>
      <c r="C126" s="645"/>
      <c r="D126" s="645"/>
      <c r="E126" s="645"/>
      <c r="F126" s="645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52" t="str">
        <f>+VLOOKUP(LEFT($A127,LEN(A127)-1)*1,Master!$D$30:$G$226,4,FALSE)</f>
        <v>Suficit / deficit</v>
      </c>
      <c r="C127" s="653"/>
      <c r="D127" s="653"/>
      <c r="E127" s="653"/>
      <c r="F127" s="653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54" t="str">
        <f>+VLOOKUP(LEFT($A128,LEN(A128)-1)*1,Master!$D$30:$G$226,4,FALSE)</f>
        <v>Primarni suficit/deficit</v>
      </c>
      <c r="C128" s="655"/>
      <c r="D128" s="655"/>
      <c r="E128" s="655"/>
      <c r="F128" s="655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46" t="str">
        <f>+VLOOKUP(LEFT($A129,LEN(A129)-1)*1,Master!$D$30:$G$226,4,FALSE)</f>
        <v>Otplata dugova</v>
      </c>
      <c r="C129" s="647"/>
      <c r="D129" s="647"/>
      <c r="E129" s="647"/>
      <c r="F129" s="647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0" t="str">
        <f>+VLOOKUP(LEFT($A130,LEN(A130)-1)*1,Master!$D$30:$G$226,4,FALSE)</f>
        <v>Otplata hartija od vrijednosti i kredita rezidentima</v>
      </c>
      <c r="C130" s="651"/>
      <c r="D130" s="651"/>
      <c r="E130" s="651"/>
      <c r="F130" s="651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44" t="str">
        <f>+VLOOKUP(LEFT($A131,LEN(A131)-1)*1,Master!$D$30:$G$226,4,FALSE)</f>
        <v>Otplata hartija od vrijednosti i kredita nerezidentima</v>
      </c>
      <c r="C131" s="645"/>
      <c r="D131" s="645"/>
      <c r="E131" s="645"/>
      <c r="F131" s="645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22" t="str">
        <f>+VLOOKUP(LEFT($A132,LEN(A132)-1)*1,Master!$D$30:$G$226,4,FALSE)</f>
        <v>Izdaci za kupovinu hartija od vrijednosti</v>
      </c>
      <c r="C132" s="623"/>
      <c r="D132" s="623"/>
      <c r="E132" s="623"/>
      <c r="F132" s="623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48" t="str">
        <f>+VLOOKUP(LEFT($A133,LEN(A133)-1)*1,Master!$D$30:$G$226,4,FALSE)</f>
        <v>Nedostajuća sredstva</v>
      </c>
      <c r="C133" s="649"/>
      <c r="D133" s="649"/>
      <c r="E133" s="649"/>
      <c r="F133" s="649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22" t="str">
        <f>+VLOOKUP(LEFT($A134,LEN(A134)-1)*1,Master!$D$30:$G$226,4,FALSE)</f>
        <v>Finansiranje</v>
      </c>
      <c r="C134" s="623"/>
      <c r="D134" s="623"/>
      <c r="E134" s="623"/>
      <c r="F134" s="623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0" t="str">
        <f>+VLOOKUP(LEFT($A135,LEN(A135)-1)*1,Master!$D$30:$G$226,4,FALSE)</f>
        <v>Pozajmice i krediti od domaćih izvora</v>
      </c>
      <c r="C135" s="651"/>
      <c r="D135" s="651"/>
      <c r="E135" s="651"/>
      <c r="F135" s="651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44" t="str">
        <f>+VLOOKUP(LEFT($A136,LEN(A136)-1)*1,Master!$D$30:$G$226,4,FALSE)</f>
        <v>Pozajmice i krediti od inostranih izvora</v>
      </c>
      <c r="C136" s="645"/>
      <c r="D136" s="645"/>
      <c r="E136" s="645"/>
      <c r="F136" s="645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44" t="str">
        <f>+VLOOKUP(LEFT($A137,LEN(A137)-1)*1,Master!$D$30:$G$226,4,FALSE)</f>
        <v>Primici od prodaje imovine</v>
      </c>
      <c r="C137" s="645"/>
      <c r="D137" s="645"/>
      <c r="E137" s="645"/>
      <c r="F137" s="645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59" t="str">
        <f>+Master!G252</f>
        <v>Ostvarenje budžeta</v>
      </c>
      <c r="C7" s="560"/>
      <c r="D7" s="560"/>
      <c r="E7" s="560"/>
      <c r="F7" s="560"/>
      <c r="G7" s="568">
        <v>2020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tr">
        <f>+Master!G249</f>
        <v>BDP</v>
      </c>
      <c r="T7" s="221">
        <v>4185600000</v>
      </c>
    </row>
    <row r="8" spans="1:20" ht="16.5" customHeight="1">
      <c r="A8" s="129"/>
      <c r="B8" s="561"/>
      <c r="C8" s="562"/>
      <c r="D8" s="562"/>
      <c r="E8" s="562"/>
      <c r="F8" s="563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68" t="str">
        <f>+Master!G247</f>
        <v>Jan - Dec</v>
      </c>
      <c r="T8" s="572"/>
    </row>
    <row r="9" spans="1:20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1" t="str">
        <f>+VLOOKUP($A10,Master!$D$30:$G$226,4,FALSE)</f>
        <v>Prihodi budžeta</v>
      </c>
      <c r="C10" s="602"/>
      <c r="D10" s="602"/>
      <c r="E10" s="602"/>
      <c r="F10" s="602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03" t="str">
        <f>+VLOOKUP($A11,Master!$D$30:$G$226,4,FALSE)</f>
        <v>Porezi</v>
      </c>
      <c r="C11" s="604"/>
      <c r="D11" s="604"/>
      <c r="E11" s="604"/>
      <c r="F11" s="604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89" t="str">
        <f>+VLOOKUP($A12,Master!$D$30:$G$226,4,FALSE)</f>
        <v>Porez na dohodak fizičkih lica</v>
      </c>
      <c r="C12" s="590"/>
      <c r="D12" s="590"/>
      <c r="E12" s="590"/>
      <c r="F12" s="590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89" t="str">
        <f>+VLOOKUP($A13,Master!$D$30:$G$226,4,FALSE)</f>
        <v>Porez na dobit pravnih lica</v>
      </c>
      <c r="C13" s="590"/>
      <c r="D13" s="590"/>
      <c r="E13" s="590"/>
      <c r="F13" s="590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89" t="str">
        <f>+VLOOKUP($A14,Master!$D$30:$G$226,4,FALSE)</f>
        <v>Porez na promet nepokretnosti</v>
      </c>
      <c r="C14" s="590"/>
      <c r="D14" s="590"/>
      <c r="E14" s="590"/>
      <c r="F14" s="590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89" t="str">
        <f>+VLOOKUP($A15,Master!$D$30:$G$226,4,FALSE)</f>
        <v>Porez na dodatu vrijednost</v>
      </c>
      <c r="C15" s="590"/>
      <c r="D15" s="590"/>
      <c r="E15" s="590"/>
      <c r="F15" s="590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89" t="str">
        <f>+VLOOKUP($A16,Master!$D$30:$G$226,4,FALSE)</f>
        <v>Akcize</v>
      </c>
      <c r="C16" s="590"/>
      <c r="D16" s="590"/>
      <c r="E16" s="590"/>
      <c r="F16" s="590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89" t="str">
        <f>+VLOOKUP($A17,Master!$D$30:$G$226,4,FALSE)</f>
        <v>Porez na međunarodnu trgovinu i transakcije</v>
      </c>
      <c r="C17" s="590"/>
      <c r="D17" s="590"/>
      <c r="E17" s="590"/>
      <c r="F17" s="590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89" t="str">
        <f>+VLOOKUP($A18,Master!$D$30:$G$226,4,FALSE)</f>
        <v>Ostali državni porezi</v>
      </c>
      <c r="C18" s="590"/>
      <c r="D18" s="590"/>
      <c r="E18" s="590"/>
      <c r="F18" s="590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89" t="str">
        <f>+VLOOKUP($A20,Master!$D$30:$G$226,4,FALSE)</f>
        <v>Doprinosi za penzijsko i invalidsko osiguranje</v>
      </c>
      <c r="C20" s="590"/>
      <c r="D20" s="590"/>
      <c r="E20" s="590"/>
      <c r="F20" s="590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89" t="str">
        <f>+VLOOKUP($A21,Master!$D$30:$G$226,4,FALSE)</f>
        <v>Doprinosi za zdravstveno osiguranje</v>
      </c>
      <c r="C21" s="590"/>
      <c r="D21" s="590"/>
      <c r="E21" s="590"/>
      <c r="F21" s="590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89" t="str">
        <f>+VLOOKUP($A22,Master!$D$30:$G$226,4,FALSE)</f>
        <v>Doprinosi za osiguranje od nezaposlenosti</v>
      </c>
      <c r="C22" s="590"/>
      <c r="D22" s="590"/>
      <c r="E22" s="590"/>
      <c r="F22" s="590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89" t="str">
        <f>+VLOOKUP($A23,Master!$D$30:$G$226,4,FALSE)</f>
        <v>Ostali doprinosi</v>
      </c>
      <c r="C23" s="590"/>
      <c r="D23" s="590"/>
      <c r="E23" s="590"/>
      <c r="F23" s="590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1" t="str">
        <f>+VLOOKUP($A24,Master!$D$30:$G$226,4,FALSE)</f>
        <v>Takse</v>
      </c>
      <c r="C24" s="592"/>
      <c r="D24" s="592"/>
      <c r="E24" s="592"/>
      <c r="F24" s="592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1" t="str">
        <f>+VLOOKUP($A25,Master!$D$30:$G$226,4,FALSE)</f>
        <v>Naknade</v>
      </c>
      <c r="C25" s="592"/>
      <c r="D25" s="592"/>
      <c r="E25" s="592"/>
      <c r="F25" s="592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1" t="str">
        <f>+VLOOKUP($A26,Master!$D$30:$G$226,4,FALSE)</f>
        <v>Ostali prihodi</v>
      </c>
      <c r="C26" s="592"/>
      <c r="D26" s="592"/>
      <c r="E26" s="592"/>
      <c r="F26" s="592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1" t="str">
        <f>+VLOOKUP($A27,Master!$D$30:$G$226,4,FALSE)</f>
        <v>Primici od otplate kredita i sredstva prenesena iz prethodne godine</v>
      </c>
      <c r="C27" s="592"/>
      <c r="D27" s="592"/>
      <c r="E27" s="592"/>
      <c r="F27" s="592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93" t="str">
        <f>+VLOOKUP($A28,Master!$D$30:$G$226,4,FALSE)</f>
        <v>Donacije i transferi</v>
      </c>
      <c r="C28" s="594"/>
      <c r="D28" s="594"/>
      <c r="E28" s="594"/>
      <c r="F28" s="594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79" t="str">
        <f>+VLOOKUP($A29,Master!$D$30:$G$226,4,FALSE)</f>
        <v>Izdaci budžeta</v>
      </c>
      <c r="C29" s="580"/>
      <c r="D29" s="580"/>
      <c r="E29" s="580"/>
      <c r="F29" s="580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97" t="str">
        <f>+VLOOKUP($A30,Master!$D$30:$G$226,4,FALSE)</f>
        <v>Tekući izdaci</v>
      </c>
      <c r="C30" s="598"/>
      <c r="D30" s="598"/>
      <c r="E30" s="598"/>
      <c r="F30" s="598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89" t="str">
        <f>+VLOOKUP($A31,Master!$D$30:$G$226,4,FALSE)</f>
        <v>Bruto zarade i doprinosi na teret poslodavca</v>
      </c>
      <c r="C31" s="590"/>
      <c r="D31" s="590"/>
      <c r="E31" s="590"/>
      <c r="F31" s="590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89" t="str">
        <f>+VLOOKUP($A32,Master!$D$30:$G$226,4,FALSE)</f>
        <v>Ostala lična primanja</v>
      </c>
      <c r="C32" s="590"/>
      <c r="D32" s="590"/>
      <c r="E32" s="590"/>
      <c r="F32" s="590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89" t="str">
        <f>+VLOOKUP($A33,Master!$D$30:$G$226,4,FALSE)</f>
        <v>Rashodi za materijal</v>
      </c>
      <c r="C33" s="590"/>
      <c r="D33" s="590"/>
      <c r="E33" s="590"/>
      <c r="F33" s="590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07" t="str">
        <f>+VLOOKUP($A34,Master!$D$30:$G$226,4,FALSE)</f>
        <v>Rashodi za usluge</v>
      </c>
      <c r="C34" s="608"/>
      <c r="D34" s="608"/>
      <c r="E34" s="608"/>
      <c r="F34" s="608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89" t="str">
        <f>+VLOOKUP($A35,Master!$D$30:$G$226,4,FALSE)</f>
        <v>Rashodi za tekuće održavanje</v>
      </c>
      <c r="C35" s="590"/>
      <c r="D35" s="590"/>
      <c r="E35" s="590"/>
      <c r="F35" s="590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89" t="str">
        <f>+VLOOKUP($A36,Master!$D$30:$G$226,4,FALSE)</f>
        <v>Kamate</v>
      </c>
      <c r="C36" s="590"/>
      <c r="D36" s="590"/>
      <c r="E36" s="590"/>
      <c r="F36" s="590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89" t="str">
        <f>+VLOOKUP($A37,Master!$D$30:$G$226,4,FALSE)</f>
        <v>Renta</v>
      </c>
      <c r="C37" s="590"/>
      <c r="D37" s="590"/>
      <c r="E37" s="590"/>
      <c r="F37" s="590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89" t="str">
        <f>+VLOOKUP($A38,Master!$D$30:$G$226,4,FALSE)</f>
        <v>Subvencije</v>
      </c>
      <c r="C38" s="590"/>
      <c r="D38" s="590"/>
      <c r="E38" s="590"/>
      <c r="F38" s="590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07" t="str">
        <f>+VLOOKUP($A39,Master!$D$30:$G$226,4,FALSE)</f>
        <v>Ostali izdaci</v>
      </c>
      <c r="C39" s="608"/>
      <c r="D39" s="608"/>
      <c r="E39" s="608"/>
      <c r="F39" s="608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5" t="str">
        <f>+VLOOKUP($A40,Master!$D$30:$G$226,4,FALSE)</f>
        <v>Transferi za socijalnu zaštitu</v>
      </c>
      <c r="C40" s="586"/>
      <c r="D40" s="586"/>
      <c r="E40" s="586"/>
      <c r="F40" s="586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89" t="str">
        <f>+VLOOKUP($A41,Master!$D$30:$G$226,4,FALSE)</f>
        <v>Prava iz oblasti socijalne zaštite</v>
      </c>
      <c r="C41" s="590"/>
      <c r="D41" s="590"/>
      <c r="E41" s="590"/>
      <c r="F41" s="590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89" t="str">
        <f>+VLOOKUP($A42,Master!$D$30:$G$226,4,FALSE)</f>
        <v>Sredstva za tehnološke viškove</v>
      </c>
      <c r="C42" s="590"/>
      <c r="D42" s="590"/>
      <c r="E42" s="590"/>
      <c r="F42" s="590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89" t="str">
        <f>+VLOOKUP($A43,Master!$D$30:$G$226,4,FALSE)</f>
        <v>Prava iz oblasti penzijskog i invalidskog osiguranja</v>
      </c>
      <c r="C43" s="590"/>
      <c r="D43" s="590"/>
      <c r="E43" s="590"/>
      <c r="F43" s="590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89" t="str">
        <f>+VLOOKUP($A44,Master!$D$30:$G$226,4,FALSE)</f>
        <v>Ostala prava iz oblasti zdravstvene zaštite</v>
      </c>
      <c r="C44" s="590"/>
      <c r="D44" s="590"/>
      <c r="E44" s="590"/>
      <c r="F44" s="590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09" t="str">
        <f>+VLOOKUP($A45,Master!$D$30:$G$226,4,FALSE)</f>
        <v>Ostala prava iz zdravstvenog osiguranja</v>
      </c>
      <c r="C45" s="610"/>
      <c r="D45" s="610"/>
      <c r="E45" s="610"/>
      <c r="F45" s="610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87" t="str">
        <f>+VLOOKUP($A46,Master!$D$30:$G$226,4,FALSE)</f>
        <v xml:space="preserve">Transferi institucijama, pojedincima, nevladinom i javnom sektoru </v>
      </c>
      <c r="C46" s="588"/>
      <c r="D46" s="588"/>
      <c r="E46" s="588"/>
      <c r="F46" s="588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87" t="str">
        <f>+VLOOKUP($A47,Master!$D$30:$G$226,4,FALSE)</f>
        <v>Kapitalni izdaci</v>
      </c>
      <c r="C47" s="588"/>
      <c r="D47" s="588"/>
      <c r="E47" s="588"/>
      <c r="F47" s="588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1" t="str">
        <f>+VLOOKUP($A48,Master!$D$30:$G$226,4,FALSE)</f>
        <v>Pozajmice i krediti</v>
      </c>
      <c r="C48" s="612"/>
      <c r="D48" s="612"/>
      <c r="E48" s="612"/>
      <c r="F48" s="612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75" t="str">
        <f>+VLOOKUP($A50,Master!$D$30:$G$226,4,FALSE)</f>
        <v>Otplata garancija</v>
      </c>
      <c r="C50" s="576"/>
      <c r="D50" s="576"/>
      <c r="E50" s="576"/>
      <c r="F50" s="576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57" t="str">
        <f>+VLOOKUP($A57,Master!$D$30:$G$226,4,FALSE)</f>
        <v>Otplata hartija od vrijednosti i kredita nerezidentima</v>
      </c>
      <c r="C57" s="558"/>
      <c r="D57" s="558"/>
      <c r="E57" s="558"/>
      <c r="F57" s="558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95" t="str">
        <f>+VLOOKUP($A58,Master!$D$30:$G$226,4,FALSE)</f>
        <v>Izdaci za kupovinu hartija od vrijednosti</v>
      </c>
      <c r="C58" s="596"/>
      <c r="D58" s="596"/>
      <c r="E58" s="596"/>
      <c r="F58" s="596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77" t="str">
        <f>+VLOOKUP($A59,Master!$D$30:$G$226,4,FALSE)</f>
        <v>Nedostajuća sredstva</v>
      </c>
      <c r="C59" s="578"/>
      <c r="D59" s="578"/>
      <c r="E59" s="578"/>
      <c r="F59" s="578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79" t="str">
        <f>+VLOOKUP($A60,Master!$D$30:$G$226,4,FALSE)</f>
        <v>Finansiranje</v>
      </c>
      <c r="C60" s="580"/>
      <c r="D60" s="580"/>
      <c r="E60" s="580"/>
      <c r="F60" s="580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73" t="str">
        <f>+VLOOKUP($A61,Master!$D$30:$G$226,4,FALSE)</f>
        <v>Pozajmice i krediti od domaćih izvora</v>
      </c>
      <c r="C61" s="574"/>
      <c r="D61" s="574"/>
      <c r="E61" s="574"/>
      <c r="F61" s="574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57" t="str">
        <f>+VLOOKUP($A62,Master!$D$30:$G$226,4,FALSE)</f>
        <v>Pozajmice i krediti od inostranih izvora</v>
      </c>
      <c r="C62" s="558"/>
      <c r="D62" s="558"/>
      <c r="E62" s="558"/>
      <c r="F62" s="558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57" t="str">
        <f>+VLOOKUP($A63,Master!$D$30:$G$226,4,FALSE)</f>
        <v>Primici od prodaje imovine</v>
      </c>
      <c r="C63" s="558"/>
      <c r="D63" s="558"/>
      <c r="E63" s="558"/>
      <c r="F63" s="558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28" t="str">
        <f>+Master!G253</f>
        <v>Plan ostvarenja budžeta</v>
      </c>
      <c r="C100" s="629"/>
      <c r="D100" s="629"/>
      <c r="E100" s="629"/>
      <c r="F100" s="629"/>
      <c r="G100" s="613">
        <v>2020</v>
      </c>
      <c r="H100" s="614"/>
      <c r="I100" s="614"/>
      <c r="J100" s="614"/>
      <c r="K100" s="614"/>
      <c r="L100" s="614"/>
      <c r="M100" s="614"/>
      <c r="N100" s="614"/>
      <c r="O100" s="614"/>
      <c r="P100" s="614"/>
      <c r="Q100" s="614"/>
      <c r="R100" s="615"/>
      <c r="S100" s="96" t="str">
        <f>+S7</f>
        <v>BDP</v>
      </c>
      <c r="T100" s="97">
        <v>4607300000</v>
      </c>
    </row>
    <row r="101" spans="1:21" ht="15.75" customHeight="1">
      <c r="B101" s="630"/>
      <c r="C101" s="631"/>
      <c r="D101" s="631"/>
      <c r="E101" s="631"/>
      <c r="F101" s="632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13" t="str">
        <f>+Master!G247</f>
        <v>Jan - Dec</v>
      </c>
      <c r="T101" s="615">
        <f>+T8</f>
        <v>0</v>
      </c>
    </row>
    <row r="102" spans="1:21" ht="13.5" thickBot="1">
      <c r="B102" s="633"/>
      <c r="C102" s="634"/>
      <c r="D102" s="634"/>
      <c r="E102" s="634"/>
      <c r="F102" s="635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58" t="str">
        <f>+VLOOKUP(LEFT($A103,LEN(A103)-1)*1,Master!$D$30:$G$226,4,FALSE)</f>
        <v>Prihodi budžeta</v>
      </c>
      <c r="C103" s="659"/>
      <c r="D103" s="659"/>
      <c r="E103" s="659"/>
      <c r="F103" s="659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24" t="str">
        <f>+VLOOKUP(LEFT($A104,LEN(A104)-1)*1,Master!$D$30:$G$226,4,FALSE)</f>
        <v>Porezi</v>
      </c>
      <c r="C104" s="625"/>
      <c r="D104" s="625"/>
      <c r="E104" s="625"/>
      <c r="F104" s="625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6" t="str">
        <f>+VLOOKUP(LEFT($A105,LEN(A105)-1)*1,Master!$D$30:$G$229,4,FALSE)</f>
        <v>Porez na dohodak fizičkih lica</v>
      </c>
      <c r="C105" s="627"/>
      <c r="D105" s="627"/>
      <c r="E105" s="627"/>
      <c r="F105" s="627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6" t="str">
        <f>+VLOOKUP(LEFT($A106,LEN(A106)-1)*1,Master!$D$30:$G$229,4,FALSE)</f>
        <v>Porez na dobit pravnih lica</v>
      </c>
      <c r="C106" s="627"/>
      <c r="D106" s="627"/>
      <c r="E106" s="627"/>
      <c r="F106" s="627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6" t="str">
        <f>+VLOOKUP(LEFT($A107,LEN(A107)-1)*1,Master!$D$30:$G$229,4,FALSE)</f>
        <v>Porez na promet nepokretnosti</v>
      </c>
      <c r="C107" s="627"/>
      <c r="D107" s="627"/>
      <c r="E107" s="627"/>
      <c r="F107" s="627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6" t="str">
        <f>+VLOOKUP(LEFT($A108,LEN(A108)-1)*1,Master!$D$30:$G$229,4,FALSE)</f>
        <v>Porez na dodatu vrijednost</v>
      </c>
      <c r="C108" s="627"/>
      <c r="D108" s="627"/>
      <c r="E108" s="627"/>
      <c r="F108" s="627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6" t="str">
        <f>+VLOOKUP(LEFT($A109,LEN(A109)-1)*1,Master!$D$30:$G$229,4,FALSE)</f>
        <v>Akcize</v>
      </c>
      <c r="C109" s="627"/>
      <c r="D109" s="627"/>
      <c r="E109" s="627"/>
      <c r="F109" s="627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6" t="str">
        <f>+VLOOKUP(LEFT($A110,LEN(A110)-1)*1,Master!$D$30:$G$229,4,FALSE)</f>
        <v>Porez na međunarodnu trgovinu i transakcije</v>
      </c>
      <c r="C110" s="627"/>
      <c r="D110" s="627"/>
      <c r="E110" s="627"/>
      <c r="F110" s="627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6" t="str">
        <f>+VLOOKUP(LEFT($A111,LEN(A111)-1)*1,Master!$D$30:$G$229,4,FALSE)</f>
        <v>Ostali državni porezi</v>
      </c>
      <c r="C111" s="627"/>
      <c r="D111" s="627"/>
      <c r="E111" s="627"/>
      <c r="F111" s="627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56" t="str">
        <f>+VLOOKUP(LEFT($A112,LEN(A112)-1)*1,Master!$D$30:$G$229,4,FALSE)</f>
        <v>Doprinosi</v>
      </c>
      <c r="C112" s="657"/>
      <c r="D112" s="657"/>
      <c r="E112" s="657"/>
      <c r="F112" s="657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6" t="str">
        <f>+VLOOKUP(LEFT($A113,LEN(A113)-1)*1,Master!$D$30:$G$229,4,FALSE)</f>
        <v>Doprinosi za penzijsko i invalidsko osiguranje</v>
      </c>
      <c r="C113" s="627"/>
      <c r="D113" s="627"/>
      <c r="E113" s="627"/>
      <c r="F113" s="627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6" t="str">
        <f>+VLOOKUP(LEFT($A114,LEN(A114)-1)*1,Master!$D$30:$G$229,4,FALSE)</f>
        <v>Doprinosi za zdravstveno osiguranje</v>
      </c>
      <c r="C114" s="627"/>
      <c r="D114" s="627"/>
      <c r="E114" s="627"/>
      <c r="F114" s="627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6" t="str">
        <f>+VLOOKUP(LEFT($A115,LEN(A115)-1)*1,Master!$D$30:$G$229,4,FALSE)</f>
        <v>Doprinosi za osiguranje od nezaposlenosti</v>
      </c>
      <c r="C115" s="627"/>
      <c r="D115" s="627"/>
      <c r="E115" s="627"/>
      <c r="F115" s="627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6" t="str">
        <f>+VLOOKUP(LEFT($A116,LEN(A116)-1)*1,Master!$D$30:$G$229,4,FALSE)</f>
        <v>Ostali doprinosi</v>
      </c>
      <c r="C116" s="627"/>
      <c r="D116" s="627"/>
      <c r="E116" s="627"/>
      <c r="F116" s="627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6" t="str">
        <f>+VLOOKUP(LEFT($A117,LEN(A117)-1)*1,Master!$D$30:$G$229,4,FALSE)</f>
        <v>Takse</v>
      </c>
      <c r="C117" s="637"/>
      <c r="D117" s="637"/>
      <c r="E117" s="637"/>
      <c r="F117" s="637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6" t="str">
        <f>+VLOOKUP(LEFT($A118,LEN(A118)-1)*1,Master!$D$30:$G$229,4,FALSE)</f>
        <v>Naknade</v>
      </c>
      <c r="C118" s="637"/>
      <c r="D118" s="637"/>
      <c r="E118" s="637"/>
      <c r="F118" s="637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6" t="str">
        <f>+VLOOKUP(LEFT($A119,LEN(A119)-1)*1,Master!$D$30:$G$229,4,FALSE)</f>
        <v>Ostali prihodi</v>
      </c>
      <c r="C119" s="637"/>
      <c r="D119" s="637"/>
      <c r="E119" s="637"/>
      <c r="F119" s="637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6" t="str">
        <f>+VLOOKUP(LEFT($A120,LEN(A120)-1)*1,Master!$D$30:$G$229,4,FALSE)</f>
        <v>Primici od otplate kredita i sredstva prenesena iz prethodne godine</v>
      </c>
      <c r="C120" s="637"/>
      <c r="D120" s="637"/>
      <c r="E120" s="637"/>
      <c r="F120" s="637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38" t="str">
        <f>+VLOOKUP(LEFT($A121,LEN(A121)-1)*1,Master!$D$30:$G$229,4,FALSE)</f>
        <v>Donacije i transferi</v>
      </c>
      <c r="C121" s="639"/>
      <c r="D121" s="639"/>
      <c r="E121" s="639"/>
      <c r="F121" s="639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22" t="str">
        <f>+VLOOKUP(LEFT($A122,LEN(A122)-1)*1,Master!$D$30:$G$229,4,FALSE)</f>
        <v>Izdaci budžeta</v>
      </c>
      <c r="C122" s="623"/>
      <c r="D122" s="623"/>
      <c r="E122" s="623"/>
      <c r="F122" s="623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0" t="str">
        <f>+VLOOKUP(LEFT($A123,LEN(A123)-1)*1,Master!$D$30:$G$229,4,FALSE)</f>
        <v>Tekući izdaci</v>
      </c>
      <c r="C123" s="641"/>
      <c r="D123" s="641"/>
      <c r="E123" s="641"/>
      <c r="F123" s="641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6" t="str">
        <f>+VLOOKUP(LEFT($A124,LEN(A124)-1)*1,Master!$D$30:$G$229,4,FALSE)</f>
        <v>Bruto zarade i doprinosi na teret poslodavca</v>
      </c>
      <c r="C124" s="627"/>
      <c r="D124" s="627"/>
      <c r="E124" s="627"/>
      <c r="F124" s="627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6" t="str">
        <f>+VLOOKUP(LEFT($A125,LEN(A125)-1)*1,Master!$D$30:$G$229,4,FALSE)</f>
        <v>Ostala lična primanja</v>
      </c>
      <c r="C125" s="627"/>
      <c r="D125" s="627"/>
      <c r="E125" s="627"/>
      <c r="F125" s="627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6" t="str">
        <f>+VLOOKUP(LEFT($A126,LEN(A126)-1)*1,Master!$D$30:$G$229,4,FALSE)</f>
        <v>Rashodi za materijal</v>
      </c>
      <c r="C126" s="627"/>
      <c r="D126" s="627"/>
      <c r="E126" s="627"/>
      <c r="F126" s="627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6" t="str">
        <f>+VLOOKUP(LEFT($A127,LEN(A127)-1)*1,Master!$D$30:$G$229,4,FALSE)</f>
        <v>Rashodi za usluge</v>
      </c>
      <c r="C127" s="627"/>
      <c r="D127" s="627"/>
      <c r="E127" s="627"/>
      <c r="F127" s="627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6" t="str">
        <f>+VLOOKUP(LEFT($A128,LEN(A128)-1)*1,Master!$D$30:$G$229,4,FALSE)</f>
        <v>Rashodi za tekuće održavanje</v>
      </c>
      <c r="C128" s="627"/>
      <c r="D128" s="627"/>
      <c r="E128" s="627"/>
      <c r="F128" s="627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6" t="str">
        <f>+VLOOKUP(LEFT($A129,LEN(A129)-1)*1,Master!$D$30:$G$229,4,FALSE)</f>
        <v>Kamate</v>
      </c>
      <c r="C129" s="627"/>
      <c r="D129" s="627"/>
      <c r="E129" s="627"/>
      <c r="F129" s="627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6" t="str">
        <f>+VLOOKUP(LEFT($A130,LEN(A130)-1)*1,Master!$D$30:$G$229,4,FALSE)</f>
        <v>Renta</v>
      </c>
      <c r="C130" s="627"/>
      <c r="D130" s="627"/>
      <c r="E130" s="627"/>
      <c r="F130" s="627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6" t="str">
        <f>+VLOOKUP(LEFT($A131,LEN(A131)-1)*1,Master!$D$30:$G$229,4,FALSE)</f>
        <v>Subvencije</v>
      </c>
      <c r="C131" s="627"/>
      <c r="D131" s="627"/>
      <c r="E131" s="627"/>
      <c r="F131" s="627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6" t="str">
        <f>+VLOOKUP(LEFT($A132,LEN(A132)-1)*1,Master!$D$30:$G$229,4,FALSE)</f>
        <v>Ostali izdaci</v>
      </c>
      <c r="C132" s="627"/>
      <c r="D132" s="627"/>
      <c r="E132" s="627"/>
      <c r="F132" s="627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46" t="str">
        <f>+VLOOKUP(LEFT($A133,LEN(A133)-1)*1,Master!$D$30:$G$229,4,FALSE)</f>
        <v>Transferi za socijalnu zaštitu</v>
      </c>
      <c r="C133" s="647"/>
      <c r="D133" s="647"/>
      <c r="E133" s="647"/>
      <c r="F133" s="647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6" t="str">
        <f>+VLOOKUP(LEFT($A134,LEN(A134)-1)*1,Master!$D$30:$G$229,4,FALSE)</f>
        <v>Prava iz oblasti socijalne zaštite</v>
      </c>
      <c r="C134" s="627"/>
      <c r="D134" s="627"/>
      <c r="E134" s="627"/>
      <c r="F134" s="627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6" t="str">
        <f>+VLOOKUP(LEFT($A135,LEN(A135)-1)*1,Master!$D$30:$G$229,4,FALSE)</f>
        <v>Sredstva za tehnološke viškove</v>
      </c>
      <c r="C135" s="627"/>
      <c r="D135" s="627"/>
      <c r="E135" s="627"/>
      <c r="F135" s="627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6" t="str">
        <f>+VLOOKUP(LEFT($A136,LEN(A136)-1)*1,Master!$D$30:$G$229,4,FALSE)</f>
        <v>Prava iz oblasti penzijskog i invalidskog osiguranja</v>
      </c>
      <c r="C136" s="627"/>
      <c r="D136" s="627"/>
      <c r="E136" s="627"/>
      <c r="F136" s="627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6" t="str">
        <f>+VLOOKUP(LEFT($A137,LEN(A137)-1)*1,Master!$D$30:$G$229,4,FALSE)</f>
        <v>Ostala prava iz oblasti zdravstvene zaštite</v>
      </c>
      <c r="C137" s="627"/>
      <c r="D137" s="627"/>
      <c r="E137" s="627"/>
      <c r="F137" s="627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6" t="str">
        <f>+VLOOKUP(LEFT($A138,LEN(A138)-1)*1,Master!$D$30:$G$229,4,FALSE)</f>
        <v>Ostala prava iz zdravstvenog osiguranja</v>
      </c>
      <c r="C138" s="627"/>
      <c r="D138" s="627"/>
      <c r="E138" s="627"/>
      <c r="F138" s="627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42" t="str">
        <f>+VLOOKUP(LEFT($A139,LEN(A139)-1)*1,Master!$D$30:$G$229,4,FALSE)</f>
        <v xml:space="preserve">Transferi institucijama, pojedincima, nevladinom i javnom sektoru </v>
      </c>
      <c r="C139" s="643"/>
      <c r="D139" s="643"/>
      <c r="E139" s="643"/>
      <c r="F139" s="643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42" t="str">
        <f>+VLOOKUP(LEFT($A140,LEN(A140)-1)*1,Master!$D$30:$G$229,4,FALSE)</f>
        <v>Kapitalni izdaci</v>
      </c>
      <c r="C140" s="643"/>
      <c r="D140" s="643"/>
      <c r="E140" s="643"/>
      <c r="F140" s="643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44" t="str">
        <f>+VLOOKUP(LEFT($A141,LEN(A141)-1)*1,Master!$D$30:$G$229,4,FALSE)</f>
        <v>Pozajmice i krediti</v>
      </c>
      <c r="C141" s="645"/>
      <c r="D141" s="645"/>
      <c r="E141" s="645"/>
      <c r="F141" s="645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44" t="str">
        <f>+VLOOKUP(LEFT($A142,LEN(A142)-1)*1,Master!$D$30:$G$229,4,FALSE)</f>
        <v>Rezerve</v>
      </c>
      <c r="C142" s="645"/>
      <c r="D142" s="645"/>
      <c r="E142" s="645"/>
      <c r="F142" s="645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44" t="str">
        <f>+VLOOKUP(LEFT($A143,LEN(A143)-1)*1,Master!$D$30:$G$229,4,FALSE)</f>
        <v>Otplata garancija</v>
      </c>
      <c r="C143" s="645"/>
      <c r="D143" s="645"/>
      <c r="E143" s="645"/>
      <c r="F143" s="645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44" t="str">
        <f>+VLOOKUP(LEFT($A144,LEN(A144)-1)*1,Master!$D$30:$G$229,4,FALSE)</f>
        <v>Otplata obaveza iz prethodnog perioda</v>
      </c>
      <c r="C144" s="645"/>
      <c r="D144" s="645"/>
      <c r="E144" s="645"/>
      <c r="F144" s="645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44" t="str">
        <f>+VLOOKUP(LEFT($A145,LEN(A145)-1)*1,Master!$D$30:$G$229,4,FALSE)</f>
        <v>Neto povećanje obaveza</v>
      </c>
      <c r="C145" s="645"/>
      <c r="D145" s="645"/>
      <c r="E145" s="645"/>
      <c r="F145" s="645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52" t="str">
        <f>+VLOOKUP(LEFT($A146,LEN(A146)-1)*1,Master!$D$30:$G$226,4,FALSE)</f>
        <v>Suficit / deficit</v>
      </c>
      <c r="C146" s="653"/>
      <c r="D146" s="653"/>
      <c r="E146" s="653"/>
      <c r="F146" s="653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54" t="str">
        <f>+VLOOKUP(LEFT($A147,LEN(A147)-1)*1,Master!$D$30:$G$226,4,FALSE)</f>
        <v>Primarni suficit/deficit</v>
      </c>
      <c r="C147" s="655"/>
      <c r="D147" s="655"/>
      <c r="E147" s="655"/>
      <c r="F147" s="655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46" t="str">
        <f>+VLOOKUP(LEFT($A148,LEN(A148)-1)*1,Master!$D$30:$G$226,4,FALSE)</f>
        <v>Otplata dugova</v>
      </c>
      <c r="C148" s="647"/>
      <c r="D148" s="647"/>
      <c r="E148" s="647"/>
      <c r="F148" s="647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0" t="str">
        <f>+VLOOKUP(LEFT($A149,LEN(A149)-1)*1,Master!$D$30:$G$226,4,FALSE)</f>
        <v>Otplata hartija od vrijednosti i kredita rezidentima</v>
      </c>
      <c r="C149" s="651"/>
      <c r="D149" s="651"/>
      <c r="E149" s="651"/>
      <c r="F149" s="651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44" t="str">
        <f>+VLOOKUP(LEFT($A150,LEN(A150)-1)*1,Master!$D$30:$G$226,4,FALSE)</f>
        <v>Otplata hartija od vrijednosti i kredita nerezidentima</v>
      </c>
      <c r="C150" s="645"/>
      <c r="D150" s="645"/>
      <c r="E150" s="645"/>
      <c r="F150" s="645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22" t="str">
        <f>+VLOOKUP(LEFT($A151,LEN(A151)-1)*1,Master!$D$30:$G$226,4,FALSE)</f>
        <v>Izdaci za kupovinu hartija od vrijednosti</v>
      </c>
      <c r="C151" s="623"/>
      <c r="D151" s="623"/>
      <c r="E151" s="623"/>
      <c r="F151" s="623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48" t="str">
        <f>+VLOOKUP(LEFT($A152,LEN(A152)-1)*1,Master!$D$30:$G$226,4,FALSE)</f>
        <v>Nedostajuća sredstva</v>
      </c>
      <c r="C152" s="649"/>
      <c r="D152" s="649"/>
      <c r="E152" s="649"/>
      <c r="F152" s="649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22" t="str">
        <f>+VLOOKUP(LEFT($A153,LEN(A153)-1)*1,Master!$D$30:$G$226,4,FALSE)</f>
        <v>Finansiranje</v>
      </c>
      <c r="C153" s="623"/>
      <c r="D153" s="623"/>
      <c r="E153" s="623"/>
      <c r="F153" s="623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0" t="str">
        <f>+VLOOKUP(LEFT($A154,LEN(A154)-1)*1,Master!$D$30:$G$226,4,FALSE)</f>
        <v>Pozajmice i krediti od domaćih izvora</v>
      </c>
      <c r="C154" s="651"/>
      <c r="D154" s="651"/>
      <c r="E154" s="651"/>
      <c r="F154" s="651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44" t="str">
        <f>+VLOOKUP(LEFT($A155,LEN(A155)-1)*1,Master!$D$30:$G$226,4,FALSE)</f>
        <v>Pozajmice i krediti od inostranih izvora</v>
      </c>
      <c r="C155" s="645"/>
      <c r="D155" s="645"/>
      <c r="E155" s="645"/>
      <c r="F155" s="645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44" t="str">
        <f>+VLOOKUP(LEFT($A156,LEN(A156)-1)*1,Master!$D$30:$G$226,4,FALSE)</f>
        <v>Primici od prodaje imovine</v>
      </c>
      <c r="C156" s="645"/>
      <c r="D156" s="645"/>
      <c r="E156" s="645"/>
      <c r="F156" s="645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59" t="s">
        <v>553</v>
      </c>
      <c r="C7" s="560"/>
      <c r="D7" s="560"/>
      <c r="E7" s="560"/>
      <c r="F7" s="560"/>
      <c r="G7" s="568">
        <v>2019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20" t="s">
        <v>419</v>
      </c>
      <c r="T7" s="221">
        <v>4951000000</v>
      </c>
    </row>
    <row r="8" spans="1:20" ht="16.5" customHeight="1">
      <c r="A8" s="129"/>
      <c r="B8" s="561"/>
      <c r="C8" s="562"/>
      <c r="D8" s="562"/>
      <c r="E8" s="562"/>
      <c r="F8" s="563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68" t="s">
        <v>806</v>
      </c>
      <c r="T8" s="572"/>
    </row>
    <row r="9" spans="1:20" ht="13.5" thickBot="1">
      <c r="A9" s="129"/>
      <c r="B9" s="564"/>
      <c r="C9" s="565"/>
      <c r="D9" s="565"/>
      <c r="E9" s="565"/>
      <c r="F9" s="566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79" t="s">
        <v>680</v>
      </c>
      <c r="C10" s="580"/>
      <c r="D10" s="580"/>
      <c r="E10" s="580"/>
      <c r="F10" s="580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03" t="s">
        <v>21</v>
      </c>
      <c r="C11" s="604"/>
      <c r="D11" s="604"/>
      <c r="E11" s="604"/>
      <c r="F11" s="604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89" t="s">
        <v>23</v>
      </c>
      <c r="C12" s="590"/>
      <c r="D12" s="590"/>
      <c r="E12" s="590"/>
      <c r="F12" s="590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89" t="s">
        <v>25</v>
      </c>
      <c r="C13" s="590"/>
      <c r="D13" s="590"/>
      <c r="E13" s="590"/>
      <c r="F13" s="590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89" t="s">
        <v>27</v>
      </c>
      <c r="C14" s="590"/>
      <c r="D14" s="590"/>
      <c r="E14" s="590"/>
      <c r="F14" s="590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89" t="s">
        <v>29</v>
      </c>
      <c r="C15" s="590"/>
      <c r="D15" s="590"/>
      <c r="E15" s="590"/>
      <c r="F15" s="590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89" t="s">
        <v>31</v>
      </c>
      <c r="C16" s="590"/>
      <c r="D16" s="590"/>
      <c r="E16" s="590"/>
      <c r="F16" s="590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89" t="s">
        <v>33</v>
      </c>
      <c r="C17" s="590"/>
      <c r="D17" s="590"/>
      <c r="E17" s="590"/>
      <c r="F17" s="590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89" t="s">
        <v>721</v>
      </c>
      <c r="C18" s="590"/>
      <c r="D18" s="590"/>
      <c r="E18" s="590"/>
      <c r="F18" s="590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99" t="s">
        <v>37</v>
      </c>
      <c r="C19" s="600"/>
      <c r="D19" s="600"/>
      <c r="E19" s="600"/>
      <c r="F19" s="600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89" t="s">
        <v>39</v>
      </c>
      <c r="C20" s="590"/>
      <c r="D20" s="590"/>
      <c r="E20" s="590"/>
      <c r="F20" s="590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89" t="s">
        <v>41</v>
      </c>
      <c r="C21" s="590"/>
      <c r="D21" s="590"/>
      <c r="E21" s="590"/>
      <c r="F21" s="590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89" t="s">
        <v>43</v>
      </c>
      <c r="C22" s="590"/>
      <c r="D22" s="590"/>
      <c r="E22" s="590"/>
      <c r="F22" s="590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89" t="s">
        <v>45</v>
      </c>
      <c r="C23" s="590"/>
      <c r="D23" s="590"/>
      <c r="E23" s="590"/>
      <c r="F23" s="590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1" t="s">
        <v>47</v>
      </c>
      <c r="C24" s="592"/>
      <c r="D24" s="592"/>
      <c r="E24" s="592"/>
      <c r="F24" s="592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1" t="s">
        <v>61</v>
      </c>
      <c r="C25" s="592"/>
      <c r="D25" s="592"/>
      <c r="E25" s="592"/>
      <c r="F25" s="592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1" t="s">
        <v>81</v>
      </c>
      <c r="C26" s="592"/>
      <c r="D26" s="592"/>
      <c r="E26" s="592"/>
      <c r="F26" s="592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1" t="s">
        <v>99</v>
      </c>
      <c r="C27" s="592"/>
      <c r="D27" s="592"/>
      <c r="E27" s="592"/>
      <c r="F27" s="592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93" t="s">
        <v>105</v>
      </c>
      <c r="C28" s="594"/>
      <c r="D28" s="594"/>
      <c r="E28" s="594"/>
      <c r="F28" s="594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79" t="s">
        <v>801</v>
      </c>
      <c r="C29" s="580"/>
      <c r="D29" s="580"/>
      <c r="E29" s="580"/>
      <c r="F29" s="580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95" t="s">
        <v>120</v>
      </c>
      <c r="C30" s="596"/>
      <c r="D30" s="596"/>
      <c r="E30" s="596"/>
      <c r="F30" s="596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89" t="s">
        <v>122</v>
      </c>
      <c r="C31" s="590"/>
      <c r="D31" s="590"/>
      <c r="E31" s="590"/>
      <c r="F31" s="590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89" t="s">
        <v>133</v>
      </c>
      <c r="C32" s="590"/>
      <c r="D32" s="590"/>
      <c r="E32" s="590"/>
      <c r="F32" s="590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89" t="s">
        <v>148</v>
      </c>
      <c r="C33" s="590"/>
      <c r="D33" s="590"/>
      <c r="E33" s="590"/>
      <c r="F33" s="590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89" t="s">
        <v>162</v>
      </c>
      <c r="C34" s="590"/>
      <c r="D34" s="590"/>
      <c r="E34" s="590"/>
      <c r="F34" s="590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07" t="s">
        <v>182</v>
      </c>
      <c r="C35" s="608"/>
      <c r="D35" s="608"/>
      <c r="E35" s="608"/>
      <c r="F35" s="608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89" t="s">
        <v>190</v>
      </c>
      <c r="C36" s="590"/>
      <c r="D36" s="590"/>
      <c r="E36" s="590"/>
      <c r="F36" s="590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89" t="s">
        <v>196</v>
      </c>
      <c r="C37" s="590"/>
      <c r="D37" s="590"/>
      <c r="E37" s="590"/>
      <c r="F37" s="590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89" t="s">
        <v>204</v>
      </c>
      <c r="C38" s="590"/>
      <c r="D38" s="590"/>
      <c r="E38" s="590"/>
      <c r="F38" s="590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89" t="s">
        <v>212</v>
      </c>
      <c r="C39" s="590"/>
      <c r="D39" s="590"/>
      <c r="E39" s="590"/>
      <c r="F39" s="590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5" t="s">
        <v>230</v>
      </c>
      <c r="C40" s="586"/>
      <c r="D40" s="586"/>
      <c r="E40" s="586"/>
      <c r="F40" s="586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89" t="s">
        <v>232</v>
      </c>
      <c r="C41" s="590"/>
      <c r="D41" s="590"/>
      <c r="E41" s="590"/>
      <c r="F41" s="590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89" t="s">
        <v>248</v>
      </c>
      <c r="C42" s="590"/>
      <c r="D42" s="590"/>
      <c r="E42" s="590"/>
      <c r="F42" s="590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89" t="s">
        <v>259</v>
      </c>
      <c r="C43" s="590"/>
      <c r="D43" s="590"/>
      <c r="E43" s="590"/>
      <c r="F43" s="590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89" t="s">
        <v>274</v>
      </c>
      <c r="C44" s="590"/>
      <c r="D44" s="590"/>
      <c r="E44" s="590"/>
      <c r="F44" s="590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89" t="s">
        <v>278</v>
      </c>
      <c r="C45" s="590"/>
      <c r="D45" s="590"/>
      <c r="E45" s="590"/>
      <c r="F45" s="590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87" t="s">
        <v>286</v>
      </c>
      <c r="C46" s="588"/>
      <c r="D46" s="588"/>
      <c r="E46" s="588"/>
      <c r="F46" s="588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87" t="s">
        <v>320</v>
      </c>
      <c r="C47" s="588"/>
      <c r="D47" s="588"/>
      <c r="E47" s="588"/>
      <c r="F47" s="588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1" t="s">
        <v>113</v>
      </c>
      <c r="C48" s="612"/>
      <c r="D48" s="612"/>
      <c r="E48" s="612"/>
      <c r="F48" s="612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16" t="s">
        <v>366</v>
      </c>
      <c r="C49" s="617"/>
      <c r="D49" s="617"/>
      <c r="E49" s="617"/>
      <c r="F49" s="617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75" t="s">
        <v>359</v>
      </c>
      <c r="C50" s="576"/>
      <c r="D50" s="576"/>
      <c r="E50" s="576"/>
      <c r="F50" s="576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18" t="s">
        <v>794</v>
      </c>
      <c r="C51" s="619"/>
      <c r="D51" s="619"/>
      <c r="E51" s="619"/>
      <c r="F51" s="619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0" t="s">
        <v>684</v>
      </c>
      <c r="C52" s="621"/>
      <c r="D52" s="621"/>
      <c r="E52" s="621"/>
      <c r="F52" s="621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1" t="s">
        <v>545</v>
      </c>
      <c r="C53" s="582"/>
      <c r="D53" s="582"/>
      <c r="E53" s="582"/>
      <c r="F53" s="582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3" t="s">
        <v>792</v>
      </c>
      <c r="C54" s="584"/>
      <c r="D54" s="584"/>
      <c r="E54" s="584"/>
      <c r="F54" s="584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05" t="s">
        <v>352</v>
      </c>
      <c r="C55" s="606"/>
      <c r="D55" s="606"/>
      <c r="E55" s="606"/>
      <c r="F55" s="606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73" t="s">
        <v>355</v>
      </c>
      <c r="C56" s="574"/>
      <c r="D56" s="574"/>
      <c r="E56" s="574"/>
      <c r="F56" s="574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57" t="s">
        <v>357</v>
      </c>
      <c r="C57" s="558"/>
      <c r="D57" s="558"/>
      <c r="E57" s="558"/>
      <c r="F57" s="558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0" t="s">
        <v>336</v>
      </c>
      <c r="C58" s="661"/>
      <c r="D58" s="661"/>
      <c r="E58" s="661"/>
      <c r="F58" s="661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77" t="s">
        <v>543</v>
      </c>
      <c r="C59" s="578"/>
      <c r="D59" s="578"/>
      <c r="E59" s="578"/>
      <c r="F59" s="578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79" t="s">
        <v>544</v>
      </c>
      <c r="C60" s="580"/>
      <c r="D60" s="580"/>
      <c r="E60" s="580"/>
      <c r="F60" s="580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73" t="s">
        <v>114</v>
      </c>
      <c r="C61" s="574"/>
      <c r="D61" s="574"/>
      <c r="E61" s="574"/>
      <c r="F61" s="574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57" t="s">
        <v>116</v>
      </c>
      <c r="C62" s="558"/>
      <c r="D62" s="558"/>
      <c r="E62" s="558"/>
      <c r="F62" s="558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57" t="s">
        <v>93</v>
      </c>
      <c r="C63" s="558"/>
      <c r="D63" s="558"/>
      <c r="E63" s="558"/>
      <c r="F63" s="558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28" t="s">
        <v>551</v>
      </c>
      <c r="C100" s="629"/>
      <c r="D100" s="629"/>
      <c r="E100" s="629"/>
      <c r="F100" s="629"/>
      <c r="G100" s="613">
        <v>2019</v>
      </c>
      <c r="H100" s="614"/>
      <c r="I100" s="614"/>
      <c r="J100" s="614"/>
      <c r="K100" s="614"/>
      <c r="L100" s="614"/>
      <c r="M100" s="614"/>
      <c r="N100" s="614"/>
      <c r="O100" s="614"/>
      <c r="P100" s="614"/>
      <c r="Q100" s="614"/>
      <c r="R100" s="615"/>
      <c r="S100" s="96" t="str">
        <f>+S7</f>
        <v>BDP</v>
      </c>
      <c r="T100" s="97">
        <f>+T7</f>
        <v>4951000000</v>
      </c>
    </row>
    <row r="101" spans="1:21" ht="15.75" customHeight="1">
      <c r="B101" s="630"/>
      <c r="C101" s="631"/>
      <c r="D101" s="631"/>
      <c r="E101" s="631"/>
      <c r="F101" s="632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13" t="s">
        <v>806</v>
      </c>
      <c r="T101" s="615">
        <f>+T8</f>
        <v>0</v>
      </c>
    </row>
    <row r="102" spans="1:21" ht="13.5" thickBot="1">
      <c r="B102" s="633"/>
      <c r="C102" s="634"/>
      <c r="D102" s="634"/>
      <c r="E102" s="634"/>
      <c r="F102" s="635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58" t="s">
        <v>680</v>
      </c>
      <c r="C103" s="659"/>
      <c r="D103" s="659"/>
      <c r="E103" s="659"/>
      <c r="F103" s="659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24" t="s">
        <v>21</v>
      </c>
      <c r="C104" s="625"/>
      <c r="D104" s="625"/>
      <c r="E104" s="625"/>
      <c r="F104" s="625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6" t="s">
        <v>23</v>
      </c>
      <c r="C105" s="627"/>
      <c r="D105" s="627"/>
      <c r="E105" s="627"/>
      <c r="F105" s="627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6" t="s">
        <v>25</v>
      </c>
      <c r="C106" s="627"/>
      <c r="D106" s="627"/>
      <c r="E106" s="627"/>
      <c r="F106" s="627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6" t="s">
        <v>27</v>
      </c>
      <c r="C107" s="627"/>
      <c r="D107" s="627"/>
      <c r="E107" s="627"/>
      <c r="F107" s="627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6" t="s">
        <v>29</v>
      </c>
      <c r="C108" s="627"/>
      <c r="D108" s="627"/>
      <c r="E108" s="627"/>
      <c r="F108" s="627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6" t="s">
        <v>31</v>
      </c>
      <c r="C109" s="627"/>
      <c r="D109" s="627"/>
      <c r="E109" s="627"/>
      <c r="F109" s="627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6" t="s">
        <v>33</v>
      </c>
      <c r="C110" s="627"/>
      <c r="D110" s="627"/>
      <c r="E110" s="627"/>
      <c r="F110" s="627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6" t="s">
        <v>721</v>
      </c>
      <c r="C111" s="627"/>
      <c r="D111" s="627"/>
      <c r="E111" s="627"/>
      <c r="F111" s="627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56" t="s">
        <v>37</v>
      </c>
      <c r="C112" s="657"/>
      <c r="D112" s="657"/>
      <c r="E112" s="657"/>
      <c r="F112" s="657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6" t="s">
        <v>39</v>
      </c>
      <c r="C113" s="627"/>
      <c r="D113" s="627"/>
      <c r="E113" s="627"/>
      <c r="F113" s="627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6" t="s">
        <v>41</v>
      </c>
      <c r="C114" s="627"/>
      <c r="D114" s="627"/>
      <c r="E114" s="627"/>
      <c r="F114" s="627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6" t="s">
        <v>43</v>
      </c>
      <c r="C115" s="627"/>
      <c r="D115" s="627"/>
      <c r="E115" s="627"/>
      <c r="F115" s="627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6" t="s">
        <v>45</v>
      </c>
      <c r="C116" s="627"/>
      <c r="D116" s="627"/>
      <c r="E116" s="627"/>
      <c r="F116" s="627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6" t="s">
        <v>47</v>
      </c>
      <c r="C117" s="637"/>
      <c r="D117" s="637"/>
      <c r="E117" s="637"/>
      <c r="F117" s="637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6" t="s">
        <v>61</v>
      </c>
      <c r="C118" s="637"/>
      <c r="D118" s="637"/>
      <c r="E118" s="637"/>
      <c r="F118" s="637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6" t="s">
        <v>81</v>
      </c>
      <c r="C119" s="637"/>
      <c r="D119" s="637"/>
      <c r="E119" s="637"/>
      <c r="F119" s="637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6" t="s">
        <v>99</v>
      </c>
      <c r="C120" s="637"/>
      <c r="D120" s="637"/>
      <c r="E120" s="637"/>
      <c r="F120" s="637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38" t="s">
        <v>105</v>
      </c>
      <c r="C121" s="639"/>
      <c r="D121" s="639"/>
      <c r="E121" s="639"/>
      <c r="F121" s="639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22" t="s">
        <v>808</v>
      </c>
      <c r="C122" s="623"/>
      <c r="D122" s="623"/>
      <c r="E122" s="623"/>
      <c r="F122" s="623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4" t="s">
        <v>773</v>
      </c>
      <c r="C123" s="665"/>
      <c r="D123" s="665"/>
      <c r="E123" s="665"/>
      <c r="F123" s="665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0" t="e">
        <v>#REF!</v>
      </c>
      <c r="C124" s="641"/>
      <c r="D124" s="641"/>
      <c r="E124" s="641"/>
      <c r="F124" s="641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6" t="s">
        <v>122</v>
      </c>
      <c r="C125" s="627"/>
      <c r="D125" s="627"/>
      <c r="E125" s="627"/>
      <c r="F125" s="627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6" t="s">
        <v>133</v>
      </c>
      <c r="C126" s="627"/>
      <c r="D126" s="627"/>
      <c r="E126" s="627"/>
      <c r="F126" s="627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6" t="s">
        <v>148</v>
      </c>
      <c r="C127" s="627"/>
      <c r="D127" s="627"/>
      <c r="E127" s="627"/>
      <c r="F127" s="627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6" t="s">
        <v>162</v>
      </c>
      <c r="C128" s="627"/>
      <c r="D128" s="627"/>
      <c r="E128" s="627"/>
      <c r="F128" s="627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6" t="s">
        <v>182</v>
      </c>
      <c r="C129" s="627"/>
      <c r="D129" s="627"/>
      <c r="E129" s="627"/>
      <c r="F129" s="627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6" t="s">
        <v>190</v>
      </c>
      <c r="C130" s="627"/>
      <c r="D130" s="627"/>
      <c r="E130" s="627"/>
      <c r="F130" s="627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6" t="s">
        <v>196</v>
      </c>
      <c r="C131" s="627"/>
      <c r="D131" s="627"/>
      <c r="E131" s="627"/>
      <c r="F131" s="627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6" t="s">
        <v>204</v>
      </c>
      <c r="C132" s="627"/>
      <c r="D132" s="627"/>
      <c r="E132" s="627"/>
      <c r="F132" s="627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6" t="s">
        <v>212</v>
      </c>
      <c r="C133" s="627"/>
      <c r="D133" s="627"/>
      <c r="E133" s="627"/>
      <c r="F133" s="627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6" t="e">
        <v>#REF!</v>
      </c>
      <c r="C134" s="627"/>
      <c r="D134" s="627"/>
      <c r="E134" s="627"/>
      <c r="F134" s="627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46" t="s">
        <v>230</v>
      </c>
      <c r="C135" s="647"/>
      <c r="D135" s="647"/>
      <c r="E135" s="647"/>
      <c r="F135" s="647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6" t="s">
        <v>232</v>
      </c>
      <c r="C136" s="627"/>
      <c r="D136" s="627"/>
      <c r="E136" s="627"/>
      <c r="F136" s="627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6" t="s">
        <v>248</v>
      </c>
      <c r="C137" s="627"/>
      <c r="D137" s="627"/>
      <c r="E137" s="627"/>
      <c r="F137" s="627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6" t="s">
        <v>259</v>
      </c>
      <c r="C138" s="627"/>
      <c r="D138" s="627"/>
      <c r="E138" s="627"/>
      <c r="F138" s="627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6" t="s">
        <v>274</v>
      </c>
      <c r="C139" s="627"/>
      <c r="D139" s="627"/>
      <c r="E139" s="627"/>
      <c r="F139" s="627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6" t="s">
        <v>278</v>
      </c>
      <c r="C140" s="627"/>
      <c r="D140" s="627"/>
      <c r="E140" s="627"/>
      <c r="F140" s="627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42" t="s">
        <v>286</v>
      </c>
      <c r="C141" s="643"/>
      <c r="D141" s="643"/>
      <c r="E141" s="643"/>
      <c r="F141" s="643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42" t="s">
        <v>809</v>
      </c>
      <c r="C142" s="643"/>
      <c r="D142" s="643"/>
      <c r="E142" s="643"/>
      <c r="F142" s="643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44" t="s">
        <v>113</v>
      </c>
      <c r="C143" s="645"/>
      <c r="D143" s="645"/>
      <c r="E143" s="645"/>
      <c r="F143" s="645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44" t="s">
        <v>366</v>
      </c>
      <c r="C144" s="645"/>
      <c r="D144" s="645"/>
      <c r="E144" s="645"/>
      <c r="F144" s="645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44" t="s">
        <v>359</v>
      </c>
      <c r="C145" s="645"/>
      <c r="D145" s="645"/>
      <c r="E145" s="645"/>
      <c r="F145" s="645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44" t="s">
        <v>365</v>
      </c>
      <c r="C146" s="645"/>
      <c r="D146" s="645"/>
      <c r="E146" s="645"/>
      <c r="F146" s="645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2" t="s">
        <v>685</v>
      </c>
      <c r="C147" s="663"/>
      <c r="D147" s="663"/>
      <c r="E147" s="663"/>
      <c r="F147" s="663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52" t="s">
        <v>545</v>
      </c>
      <c r="C148" s="653"/>
      <c r="D148" s="653"/>
      <c r="E148" s="653"/>
      <c r="F148" s="653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54" t="s">
        <v>810</v>
      </c>
      <c r="C149" s="655"/>
      <c r="D149" s="655"/>
      <c r="E149" s="655"/>
      <c r="F149" s="655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46" t="s">
        <v>352</v>
      </c>
      <c r="C150" s="647"/>
      <c r="D150" s="647"/>
      <c r="E150" s="647"/>
      <c r="F150" s="647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0" t="s">
        <v>355</v>
      </c>
      <c r="C151" s="651"/>
      <c r="D151" s="651"/>
      <c r="E151" s="651"/>
      <c r="F151" s="651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44" t="s">
        <v>357</v>
      </c>
      <c r="C152" s="645"/>
      <c r="D152" s="645"/>
      <c r="E152" s="645"/>
      <c r="F152" s="645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0" t="s">
        <v>336</v>
      </c>
      <c r="C153" s="661"/>
      <c r="D153" s="661"/>
      <c r="E153" s="661"/>
      <c r="F153" s="661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48" t="s">
        <v>543</v>
      </c>
      <c r="C154" s="649"/>
      <c r="D154" s="649"/>
      <c r="E154" s="649"/>
      <c r="F154" s="649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22" t="s">
        <v>544</v>
      </c>
      <c r="C155" s="623"/>
      <c r="D155" s="623"/>
      <c r="E155" s="623"/>
      <c r="F155" s="623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0" t="s">
        <v>114</v>
      </c>
      <c r="C156" s="651"/>
      <c r="D156" s="651"/>
      <c r="E156" s="651"/>
      <c r="F156" s="651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44" t="s">
        <v>116</v>
      </c>
      <c r="C157" s="645"/>
      <c r="D157" s="645"/>
      <c r="E157" s="645"/>
      <c r="F157" s="645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44" t="s">
        <v>93</v>
      </c>
      <c r="C158" s="645"/>
      <c r="D158" s="645"/>
      <c r="E158" s="645"/>
      <c r="F158" s="645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Pregled</vt:lpstr>
      <vt:lpstr>Analitika 2024</vt:lpstr>
      <vt:lpstr>2024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Bojan Paunovic</cp:lastModifiedBy>
  <cp:lastPrinted>2024-04-29T12:09:16Z</cp:lastPrinted>
  <dcterms:created xsi:type="dcterms:W3CDTF">2014-09-15T13:41:17Z</dcterms:created>
  <dcterms:modified xsi:type="dcterms:W3CDTF">2024-07-01T05:36:32Z</dcterms:modified>
</cp:coreProperties>
</file>