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jubica.radovic\Desktop\Bojan GDDS 11\"/>
    </mc:Choice>
  </mc:AlternateContent>
  <xr:revisionPtr revIDLastSave="0" documentId="13_ncr:1_{2047F82C-F551-4D86-9762-8968975DEEF9}" xr6:coauthVersionLast="36" xr6:coauthVersionMax="36" xr10:uidLastSave="{00000000-0000-0000-0000-000000000000}"/>
  <workbookProtection workbookAlgorithmName="SHA-512" workbookHashValue="N1o36zCNOB/7FkhoYN1W8Nh+W43w23UH8IfPjgpBIasdBDGAHG1yXT2RAcQUKRi1aOO7TbPTYhlKzFEcWz780w==" workbookSaltValue="NCGh0xO1rF8MDqyMX/yTlw==" workbookSpinCount="100000" lockStructure="1"/>
  <bookViews>
    <workbookView xWindow="0" yWindow="0" windowWidth="24000" windowHeight="9525" tabRatio="587" firstSheet="1" activeTab="3" xr2:uid="{00000000-000D-0000-FFFF-FFFF00000000}"/>
  </bookViews>
  <sheets>
    <sheet name="Analitika - 2014" sheetId="3" state="hidden" r:id="rId1"/>
    <sheet name="Pregled" sheetId="1" r:id="rId2"/>
    <sheet name="Analitika 2023" sheetId="11" r:id="rId3"/>
    <sheet name="2023" sheetId="26" r:id="rId4"/>
    <sheet name="2022" sheetId="25" state="hidden" r:id="rId5"/>
    <sheet name="2021" sheetId="22" state="hidden" r:id="rId6"/>
    <sheet name="2020" sheetId="19" state="hidden" r:id="rId7"/>
    <sheet name="2019" sheetId="20" state="hidden" r:id="rId8"/>
    <sheet name="2018" sheetId="21" state="hidden" r:id="rId9"/>
    <sheet name="DataEx" sheetId="6" state="hidden" r:id="rId10"/>
    <sheet name="Master" sheetId="2" state="hidden" r:id="rId11"/>
  </sheets>
  <externalReferences>
    <externalReference r:id="rId12"/>
  </externalReferences>
  <definedNames>
    <definedName name="_2015plan" localSheetId="8">'2018'!$A$103:$A$162</definedName>
    <definedName name="_2015plan" localSheetId="7">'2019'!$A$100:$A$159</definedName>
    <definedName name="_2015plan" localSheetId="6">'2020'!$A$100:$A$157</definedName>
    <definedName name="_2015plan" localSheetId="5">'2021'!$A$81:$A$138</definedName>
    <definedName name="_2015plan" localSheetId="4">'2022'!$A$83:$A$140</definedName>
    <definedName name="_2015plan" localSheetId="3">'2023'!$A$83:$A$142</definedName>
  </definedNames>
  <calcPr calcId="191029"/>
</workbook>
</file>

<file path=xl/calcChain.xml><?xml version="1.0" encoding="utf-8"?>
<calcChain xmlns="http://schemas.openxmlformats.org/spreadsheetml/2006/main"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10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59" i="11"/>
  <c r="N62" i="11"/>
  <c r="N63" i="11"/>
  <c r="N64" i="11"/>
  <c r="N65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Q59" i="11" l="1"/>
  <c r="T59" i="11"/>
  <c r="S135" i="26"/>
  <c r="T135" i="26" s="1"/>
  <c r="S59" i="11" l="1"/>
  <c r="P59" i="11"/>
  <c r="S141" i="26" l="1"/>
  <c r="T141" i="26" s="1"/>
  <c r="L131" i="26" l="1"/>
  <c r="L123" i="26"/>
  <c r="L116" i="26"/>
  <c r="L106" i="26"/>
  <c r="L95" i="26"/>
  <c r="L87" i="26"/>
  <c r="L86" i="26" s="1"/>
  <c r="L82" i="26"/>
  <c r="L55" i="26"/>
  <c r="L40" i="26"/>
  <c r="L30" i="26"/>
  <c r="L19" i="26"/>
  <c r="L11" i="26"/>
  <c r="L8" i="26"/>
  <c r="L84" i="26" s="1"/>
  <c r="L5" i="26"/>
  <c r="K131" i="26"/>
  <c r="K123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23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23" i="26"/>
  <c r="I116" i="26"/>
  <c r="I106" i="26"/>
  <c r="I95" i="26"/>
  <c r="I87" i="26"/>
  <c r="I82" i="26"/>
  <c r="I55" i="26"/>
  <c r="I40" i="26"/>
  <c r="I30" i="26"/>
  <c r="I11" i="26"/>
  <c r="I10" i="26" s="1"/>
  <c r="I8" i="26"/>
  <c r="I84" i="26" s="1"/>
  <c r="I5" i="26"/>
  <c r="H131" i="26"/>
  <c r="H123" i="26"/>
  <c r="H116" i="26"/>
  <c r="H106" i="26"/>
  <c r="H95" i="26"/>
  <c r="H87" i="26"/>
  <c r="H82" i="26"/>
  <c r="H55" i="26"/>
  <c r="H40" i="26"/>
  <c r="H30" i="26"/>
  <c r="H11" i="26"/>
  <c r="H10" i="26" s="1"/>
  <c r="H8" i="26"/>
  <c r="H84" i="26" s="1"/>
  <c r="H5" i="26"/>
  <c r="G131" i="26"/>
  <c r="G123" i="26"/>
  <c r="G116" i="26"/>
  <c r="G106" i="26"/>
  <c r="G95" i="26"/>
  <c r="G87" i="26"/>
  <c r="G82" i="26"/>
  <c r="G55" i="26"/>
  <c r="G40" i="26"/>
  <c r="G30" i="26"/>
  <c r="G29" i="26" s="1"/>
  <c r="G11" i="26"/>
  <c r="G10" i="26" s="1"/>
  <c r="G8" i="26"/>
  <c r="G84" i="26" s="1"/>
  <c r="G5" i="26"/>
  <c r="L29" i="26" l="1"/>
  <c r="H29" i="26"/>
  <c r="H53" i="26" s="1"/>
  <c r="H60" i="26" s="1"/>
  <c r="H66" i="26" s="1"/>
  <c r="H61" i="26" s="1"/>
  <c r="J10" i="26"/>
  <c r="J29" i="26"/>
  <c r="J86" i="26"/>
  <c r="H86" i="26"/>
  <c r="K29" i="26"/>
  <c r="L10" i="26"/>
  <c r="L105" i="26"/>
  <c r="L129" i="26" s="1"/>
  <c r="I29" i="26"/>
  <c r="I53" i="26" s="1"/>
  <c r="I60" i="26" s="1"/>
  <c r="I66" i="26" s="1"/>
  <c r="I61" i="26" s="1"/>
  <c r="I86" i="26"/>
  <c r="G105" i="26"/>
  <c r="H105" i="26"/>
  <c r="K10" i="26"/>
  <c r="I105" i="26"/>
  <c r="K86" i="26"/>
  <c r="G86" i="26"/>
  <c r="J105" i="26"/>
  <c r="K105" i="26"/>
  <c r="G53" i="26"/>
  <c r="G60" i="26" s="1"/>
  <c r="G66" i="26" s="1"/>
  <c r="G61" i="26" s="1"/>
  <c r="I129" i="26"/>
  <c r="H129" i="26" l="1"/>
  <c r="H130" i="26" s="1"/>
  <c r="L53" i="26"/>
  <c r="L54" i="26" s="1"/>
  <c r="J129" i="26"/>
  <c r="J53" i="26"/>
  <c r="J54" i="26" s="1"/>
  <c r="G54" i="26"/>
  <c r="K53" i="26"/>
  <c r="K54" i="26" s="1"/>
  <c r="I54" i="26"/>
  <c r="G129" i="26"/>
  <c r="H54" i="26"/>
  <c r="K129" i="26"/>
  <c r="L130" i="26"/>
  <c r="L136" i="26"/>
  <c r="L142" i="26" s="1"/>
  <c r="L137" i="26" s="1"/>
  <c r="J130" i="26"/>
  <c r="J136" i="26"/>
  <c r="J142" i="26" s="1"/>
  <c r="J137" i="26" s="1"/>
  <c r="I130" i="26"/>
  <c r="I136" i="26"/>
  <c r="I142" i="26" s="1"/>
  <c r="I137" i="26" s="1"/>
  <c r="J60" i="26" l="1"/>
  <c r="J66" i="26" s="1"/>
  <c r="J61" i="26" s="1"/>
  <c r="H136" i="26"/>
  <c r="H142" i="26" s="1"/>
  <c r="H137" i="26" s="1"/>
  <c r="L60" i="26"/>
  <c r="L66" i="26" s="1"/>
  <c r="L61" i="26" s="1"/>
  <c r="K60" i="26"/>
  <c r="K66" i="26" s="1"/>
  <c r="K61" i="26" s="1"/>
  <c r="G136" i="26"/>
  <c r="G130" i="26"/>
  <c r="K136" i="26"/>
  <c r="K142" i="26" s="1"/>
  <c r="K130" i="26"/>
  <c r="T65" i="11"/>
  <c r="S65" i="11"/>
  <c r="G142" i="26" l="1"/>
  <c r="K137" i="26"/>
  <c r="S59" i="26"/>
  <c r="S65" i="26"/>
  <c r="S59" i="25"/>
  <c r="S65" i="25"/>
  <c r="G137" i="26" l="1"/>
  <c r="T59" i="26"/>
  <c r="G59" i="11"/>
  <c r="T65" i="26"/>
  <c r="G65" i="11"/>
  <c r="T65" i="25"/>
  <c r="L59" i="11" l="1"/>
  <c r="J59" i="11"/>
  <c r="M59" i="11"/>
  <c r="I59" i="11"/>
  <c r="M65" i="11"/>
  <c r="L65" i="11"/>
  <c r="D17" i="1"/>
  <c r="D21" i="1" s="1"/>
  <c r="R40" i="25" l="1"/>
  <c r="G245" i="2" l="1"/>
  <c r="R123" i="26" l="1"/>
  <c r="Q123" i="26"/>
  <c r="P123" i="26"/>
  <c r="O123" i="26"/>
  <c r="N123" i="26"/>
  <c r="M123" i="26"/>
  <c r="R125" i="26"/>
  <c r="R122" i="26"/>
  <c r="R113" i="26"/>
  <c r="R115" i="26"/>
  <c r="R110" i="26"/>
  <c r="R109" i="26"/>
  <c r="R107" i="26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N55" i="11" s="1"/>
  <c r="P55" i="26"/>
  <c r="O55" i="26"/>
  <c r="N55" i="26"/>
  <c r="M55" i="26"/>
  <c r="S52" i="26"/>
  <c r="S51" i="26"/>
  <c r="S50" i="26"/>
  <c r="S49" i="26"/>
  <c r="G49" i="11" s="1"/>
  <c r="I49" i="11" s="1"/>
  <c r="S48" i="26"/>
  <c r="S47" i="26"/>
  <c r="S46" i="26"/>
  <c r="S45" i="26"/>
  <c r="S44" i="26"/>
  <c r="S43" i="26"/>
  <c r="S42" i="26"/>
  <c r="S41" i="26"/>
  <c r="Q40" i="26"/>
  <c r="N40" i="11" s="1"/>
  <c r="P40" i="26"/>
  <c r="O40" i="26"/>
  <c r="N40" i="26"/>
  <c r="M40" i="26"/>
  <c r="S39" i="26"/>
  <c r="S38" i="26"/>
  <c r="S37" i="26"/>
  <c r="S36" i="26"/>
  <c r="S35" i="26"/>
  <c r="S34" i="26"/>
  <c r="S33" i="26"/>
  <c r="S32" i="26"/>
  <c r="S31" i="26"/>
  <c r="R30" i="26"/>
  <c r="Q30" i="26"/>
  <c r="N30" i="11" s="1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N19" i="11" s="1"/>
  <c r="P19" i="26"/>
  <c r="O19" i="26"/>
  <c r="N19" i="26"/>
  <c r="M19" i="26"/>
  <c r="S18" i="26"/>
  <c r="S17" i="26"/>
  <c r="S16" i="26"/>
  <c r="S15" i="26"/>
  <c r="S14" i="26"/>
  <c r="S13" i="26"/>
  <c r="S12" i="26"/>
  <c r="R11" i="26"/>
  <c r="Q11" i="26"/>
  <c r="N11" i="11" s="1"/>
  <c r="P11" i="26"/>
  <c r="O11" i="26"/>
  <c r="N11" i="26"/>
  <c r="M11" i="26"/>
  <c r="R5" i="26"/>
  <c r="Q5" i="26"/>
  <c r="P5" i="26"/>
  <c r="O5" i="26"/>
  <c r="N5" i="26"/>
  <c r="M5" i="26"/>
  <c r="Q29" i="26" l="1"/>
  <c r="N29" i="11" s="1"/>
  <c r="N29" i="26"/>
  <c r="M29" i="26"/>
  <c r="Q10" i="26"/>
  <c r="N10" i="11" s="1"/>
  <c r="N105" i="26"/>
  <c r="T58" i="26"/>
  <c r="G58" i="11"/>
  <c r="T52" i="26"/>
  <c r="G52" i="11"/>
  <c r="T64" i="26"/>
  <c r="G64" i="11"/>
  <c r="T63" i="26"/>
  <c r="G63" i="11"/>
  <c r="T62" i="26"/>
  <c r="G62" i="11"/>
  <c r="T57" i="26"/>
  <c r="G57" i="11"/>
  <c r="T56" i="26"/>
  <c r="G56" i="11"/>
  <c r="T51" i="26"/>
  <c r="G51" i="11"/>
  <c r="T50" i="26"/>
  <c r="G50" i="11"/>
  <c r="T49" i="26"/>
  <c r="T48" i="26"/>
  <c r="G48" i="11"/>
  <c r="T47" i="26"/>
  <c r="G47" i="11"/>
  <c r="T46" i="26"/>
  <c r="G46" i="11"/>
  <c r="T45" i="26"/>
  <c r="G45" i="11"/>
  <c r="T44" i="26"/>
  <c r="G44" i="11"/>
  <c r="T43" i="26"/>
  <c r="G43" i="11"/>
  <c r="T42" i="26"/>
  <c r="G42" i="11"/>
  <c r="T41" i="26"/>
  <c r="G41" i="11"/>
  <c r="T39" i="26"/>
  <c r="G39" i="11"/>
  <c r="T38" i="26"/>
  <c r="G38" i="11"/>
  <c r="T37" i="26"/>
  <c r="G37" i="11"/>
  <c r="T36" i="26"/>
  <c r="G36" i="11"/>
  <c r="T35" i="26"/>
  <c r="G35" i="11"/>
  <c r="T34" i="26"/>
  <c r="G34" i="11"/>
  <c r="T33" i="26"/>
  <c r="G33" i="11"/>
  <c r="T32" i="26"/>
  <c r="G32" i="11"/>
  <c r="T28" i="26"/>
  <c r="G28" i="11"/>
  <c r="T27" i="26"/>
  <c r="G27" i="11"/>
  <c r="T26" i="26"/>
  <c r="G26" i="11"/>
  <c r="T25" i="26"/>
  <c r="G25" i="11"/>
  <c r="T24" i="26"/>
  <c r="G24" i="11"/>
  <c r="T20" i="26"/>
  <c r="G20" i="11"/>
  <c r="T21" i="26"/>
  <c r="G21" i="11"/>
  <c r="T23" i="26"/>
  <c r="G23" i="11"/>
  <c r="T22" i="26"/>
  <c r="G22" i="11"/>
  <c r="T18" i="26"/>
  <c r="G18" i="11"/>
  <c r="T15" i="26"/>
  <c r="G15" i="11"/>
  <c r="T14" i="26"/>
  <c r="G14" i="11"/>
  <c r="T12" i="26"/>
  <c r="G12" i="11"/>
  <c r="L12" i="11" s="1"/>
  <c r="T16" i="26"/>
  <c r="G16" i="11"/>
  <c r="T13" i="26"/>
  <c r="G13" i="11"/>
  <c r="T17" i="26"/>
  <c r="G17" i="11"/>
  <c r="T31" i="26"/>
  <c r="G31" i="11"/>
  <c r="M31" i="11" s="1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S40" i="26"/>
  <c r="O10" i="26"/>
  <c r="P10" i="26"/>
  <c r="M10" i="26"/>
  <c r="S11" i="26"/>
  <c r="S30" i="26"/>
  <c r="S87" i="26"/>
  <c r="T87" i="26" s="1"/>
  <c r="N53" i="26" l="1"/>
  <c r="N54" i="26" s="1"/>
  <c r="D12" i="1"/>
  <c r="E12" i="1" s="1"/>
  <c r="Q53" i="26"/>
  <c r="O129" i="26"/>
  <c r="M53" i="26"/>
  <c r="M60" i="26" s="1"/>
  <c r="N129" i="26"/>
  <c r="R53" i="26"/>
  <c r="R129" i="26"/>
  <c r="R130" i="26" s="1"/>
  <c r="P53" i="26"/>
  <c r="T55" i="26"/>
  <c r="G55" i="11"/>
  <c r="T40" i="26"/>
  <c r="G40" i="11"/>
  <c r="D16" i="1"/>
  <c r="E16" i="1" s="1"/>
  <c r="T19" i="26"/>
  <c r="G19" i="11"/>
  <c r="T11" i="26"/>
  <c r="G11" i="11"/>
  <c r="T30" i="26"/>
  <c r="G30" i="11"/>
  <c r="O53" i="26"/>
  <c r="P129" i="26"/>
  <c r="P130" i="26" s="1"/>
  <c r="S29" i="26"/>
  <c r="G29" i="11" s="1"/>
  <c r="T106" i="26"/>
  <c r="Q129" i="26"/>
  <c r="Q136" i="26" s="1"/>
  <c r="Q142" i="26" s="1"/>
  <c r="Q137" i="26" s="1"/>
  <c r="M129" i="26"/>
  <c r="S105" i="26"/>
  <c r="S86" i="26"/>
  <c r="T86" i="26" s="1"/>
  <c r="S10" i="26"/>
  <c r="Q60" i="26" l="1"/>
  <c r="N60" i="11" s="1"/>
  <c r="N53" i="11"/>
  <c r="P60" i="26"/>
  <c r="D20" i="1"/>
  <c r="E20" i="1" s="1"/>
  <c r="O130" i="26"/>
  <c r="O60" i="26"/>
  <c r="N130" i="26"/>
  <c r="Q54" i="26"/>
  <c r="N54" i="11" s="1"/>
  <c r="N60" i="26"/>
  <c r="N136" i="26"/>
  <c r="O136" i="26"/>
  <c r="M136" i="26"/>
  <c r="M54" i="26"/>
  <c r="R136" i="26"/>
  <c r="R142" i="26" s="1"/>
  <c r="R137" i="26" s="1"/>
  <c r="R54" i="26"/>
  <c r="R60" i="26"/>
  <c r="R66" i="26" s="1"/>
  <c r="R61" i="26" s="1"/>
  <c r="P54" i="26"/>
  <c r="M66" i="26"/>
  <c r="O54" i="26"/>
  <c r="T29" i="26"/>
  <c r="G16" i="1"/>
  <c r="H16" i="1" s="1"/>
  <c r="P136" i="26"/>
  <c r="P142" i="26" s="1"/>
  <c r="P137" i="26" s="1"/>
  <c r="T10" i="26"/>
  <c r="G10" i="11"/>
  <c r="T105" i="26"/>
  <c r="Q130" i="26"/>
  <c r="M130" i="26"/>
  <c r="S129" i="26"/>
  <c r="T129" i="26" s="1"/>
  <c r="S53" i="26"/>
  <c r="S60" i="26" s="1"/>
  <c r="G11" i="2"/>
  <c r="Q66" i="26" l="1"/>
  <c r="N66" i="11" s="1"/>
  <c r="P66" i="26"/>
  <c r="P61" i="26" s="1"/>
  <c r="O142" i="26"/>
  <c r="P60" i="11"/>
  <c r="O66" i="26"/>
  <c r="O61" i="26" s="1"/>
  <c r="N142" i="26"/>
  <c r="N66" i="26"/>
  <c r="N61" i="26" s="1"/>
  <c r="M61" i="26"/>
  <c r="M142" i="26"/>
  <c r="G12" i="1"/>
  <c r="H12" i="1" s="1"/>
  <c r="I10" i="11"/>
  <c r="T53" i="26"/>
  <c r="G53" i="11"/>
  <c r="G20" i="1" s="1"/>
  <c r="H20" i="1" s="1"/>
  <c r="S54" i="26"/>
  <c r="S130" i="26"/>
  <c r="T130" i="26" s="1"/>
  <c r="S136" i="26"/>
  <c r="T136" i="26" s="1"/>
  <c r="S66" i="26"/>
  <c r="Q61" i="26" l="1"/>
  <c r="N61" i="11" s="1"/>
  <c r="O137" i="26"/>
  <c r="N137" i="26"/>
  <c r="M137" i="26"/>
  <c r="Q65" i="11"/>
  <c r="J65" i="11"/>
  <c r="I65" i="11"/>
  <c r="P65" i="11"/>
  <c r="T54" i="26"/>
  <c r="G54" i="11"/>
  <c r="T60" i="26"/>
  <c r="G60" i="11"/>
  <c r="S142" i="26"/>
  <c r="T142" i="26" s="1"/>
  <c r="J19" i="25"/>
  <c r="J11" i="25"/>
  <c r="P61" i="11" l="1"/>
  <c r="J10" i="25"/>
  <c r="S137" i="26"/>
  <c r="T137" i="26" s="1"/>
  <c r="T66" i="26"/>
  <c r="G66" i="11"/>
  <c r="S61" i="26"/>
  <c r="T61" i="26" s="1"/>
  <c r="G61" i="11" l="1"/>
  <c r="S86" i="22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L60" i="11" l="1"/>
  <c r="O61" i="25"/>
  <c r="M66" i="25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M61" i="25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L61" i="11" l="1"/>
  <c r="S61" i="25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2" i="2" l="1"/>
  <c r="Q28" i="11" l="1"/>
  <c r="Q26" i="11"/>
  <c r="Q24" i="11"/>
  <c r="Q22" i="11"/>
  <c r="Q20" i="11"/>
  <c r="Q64" i="11"/>
  <c r="Q62" i="11"/>
  <c r="Q57" i="11"/>
  <c r="Q51" i="11"/>
  <c r="Q49" i="11"/>
  <c r="Q47" i="11"/>
  <c r="Q45" i="11"/>
  <c r="Q43" i="11"/>
  <c r="Q41" i="11"/>
  <c r="Q39" i="11"/>
  <c r="Q37" i="11"/>
  <c r="Q35" i="11"/>
  <c r="Q33" i="11"/>
  <c r="Q15" i="11"/>
  <c r="Q13" i="11"/>
  <c r="Q63" i="11"/>
  <c r="Q58" i="11"/>
  <c r="Q56" i="11"/>
  <c r="Q52" i="11"/>
  <c r="Q50" i="11"/>
  <c r="Q48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J48" i="11"/>
  <c r="I48" i="11"/>
  <c r="J47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L30" i="20" l="1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P29" i="20" s="1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I29" i="20" l="1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60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6" i="11" l="1"/>
  <c r="M54" i="11"/>
  <c r="L54" i="11"/>
  <c r="M60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1" i="11" l="1"/>
  <c r="L66" i="11"/>
  <c r="M66" i="11"/>
  <c r="S153" i="19"/>
  <c r="T153" i="19" s="1"/>
  <c r="S60" i="19"/>
  <c r="T60" i="19" s="1"/>
  <c r="G14" i="2"/>
  <c r="M61" i="11" l="1"/>
  <c r="G15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M217" i="6" l="1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6" s="1"/>
  <c r="G249" i="2"/>
  <c r="G243" i="2"/>
  <c r="R8" i="26" s="1"/>
  <c r="R84" i="26" s="1"/>
  <c r="G242" i="2"/>
  <c r="Q8" i="26" s="1"/>
  <c r="Q84" i="26" s="1"/>
  <c r="G241" i="2"/>
  <c r="G240" i="2"/>
  <c r="O8" i="26" s="1"/>
  <c r="O84" i="26" s="1"/>
  <c r="G239" i="2"/>
  <c r="N8" i="26" s="1"/>
  <c r="N84" i="26" s="1"/>
  <c r="G238" i="2"/>
  <c r="M8" i="26" s="1"/>
  <c r="M84" i="26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B59" i="11" s="1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B65" i="11" s="1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6" s="1"/>
  <c r="G7" i="2"/>
  <c r="E3" i="26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S350" i="6" s="1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CZ50" i="6"/>
  <c r="CY50" i="6"/>
  <c r="CX50" i="6"/>
  <c r="DI49" i="6"/>
  <c r="DH49" i="6"/>
  <c r="DG49" i="6"/>
  <c r="DF49" i="6"/>
  <c r="DE49" i="6"/>
  <c r="DD49" i="6"/>
  <c r="DC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DE350" i="6"/>
  <c r="DP385" i="6"/>
  <c r="ED217" i="6" l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T9" i="26" l="1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G254" i="2" s="1"/>
  <c r="B7" i="11" s="1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60" i="11"/>
  <c r="S64" i="11"/>
  <c r="S63" i="11"/>
  <c r="S58" i="11"/>
  <c r="S48" i="11" s="1"/>
  <c r="S62" i="11"/>
  <c r="CU190" i="6"/>
  <c r="S66" i="1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1" i="11" l="1"/>
  <c r="P16" i="11"/>
  <c r="P45" i="11"/>
  <c r="P49" i="11"/>
  <c r="P56" i="11"/>
  <c r="P62" i="11"/>
  <c r="P63" i="11"/>
  <c r="P64" i="11"/>
  <c r="P42" i="11"/>
  <c r="P47" i="11"/>
  <c r="P24" i="11"/>
  <c r="P36" i="11"/>
  <c r="P37" i="11"/>
  <c r="P33" i="11"/>
  <c r="P13" i="11"/>
  <c r="P12" i="11"/>
  <c r="P14" i="11"/>
  <c r="P18" i="11"/>
  <c r="P27" i="11"/>
  <c r="P50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5" i="2"/>
  <c r="P40" i="11"/>
  <c r="S40" i="11"/>
  <c r="CO190" i="6"/>
  <c r="P30" i="11"/>
  <c r="CU192" i="6" l="1"/>
  <c r="CT192" i="6"/>
  <c r="CN192" i="6"/>
  <c r="CW192" i="6"/>
  <c r="S53" i="11"/>
  <c r="CR192" i="6"/>
  <c r="CO192" i="6"/>
  <c r="CL190" i="6"/>
  <c r="CL192" i="6" l="1"/>
  <c r="S54" i="11" l="1"/>
  <c r="P46" i="11"/>
  <c r="I46" i="11"/>
  <c r="J46" i="11"/>
  <c r="Q105" i="25"/>
  <c r="Q129" i="25" s="1"/>
  <c r="R105" i="25"/>
  <c r="S122" i="25"/>
  <c r="T122" i="25" s="1"/>
  <c r="P105" i="25"/>
  <c r="S105" i="25" s="1"/>
  <c r="T105" i="25" s="1"/>
  <c r="R129" i="25" l="1"/>
  <c r="R135" i="25" s="1"/>
  <c r="Q135" i="25"/>
  <c r="Q140" i="25" s="1"/>
  <c r="Q130" i="25"/>
  <c r="Q46" i="11"/>
  <c r="P129" i="25"/>
  <c r="R130" i="25" l="1"/>
  <c r="R140" i="25"/>
  <c r="R136" i="25" s="1"/>
  <c r="Q136" i="25"/>
  <c r="Q29" i="11"/>
  <c r="P29" i="11"/>
  <c r="J29" i="11"/>
  <c r="I29" i="11"/>
  <c r="P135" i="25"/>
  <c r="P140" i="25" s="1"/>
  <c r="S129" i="25"/>
  <c r="T129" i="25" s="1"/>
  <c r="P130" i="25"/>
  <c r="S140" i="25" l="1"/>
  <c r="S135" i="25"/>
  <c r="T135" i="25" s="1"/>
  <c r="Q53" i="11"/>
  <c r="P53" i="11"/>
  <c r="S130" i="25"/>
  <c r="T130" i="25" s="1"/>
  <c r="I53" i="11"/>
  <c r="J53" i="11"/>
  <c r="P54" i="11" l="1"/>
  <c r="Q54" i="11"/>
  <c r="P136" i="25"/>
  <c r="I54" i="11"/>
  <c r="J54" i="11"/>
  <c r="Q60" i="11"/>
  <c r="J60" i="11"/>
  <c r="I60" i="11"/>
  <c r="T140" i="25" l="1"/>
  <c r="J66" i="11"/>
  <c r="I66" i="11"/>
  <c r="S136" i="25"/>
  <c r="T136" i="25" s="1"/>
  <c r="Q66" i="11"/>
  <c r="P66" i="11"/>
  <c r="Q61" i="11" l="1"/>
  <c r="J61" i="11"/>
  <c r="I6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<sst xmlns="http://schemas.openxmlformats.org/spreadsheetml/2006/main" count="1820" uniqueCount="857">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</sst>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\ _€_-;\-* #,##0.00\ _€_-;_-* &quot;-&quot;??\ _€_-;_-@_-"/>
    <numFmt numFmtId="164" formatCode="_(* #,##0.00_);_(* \(#,##0.00\);_(* &quot;-&quot;??_);_(@_)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6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23" fillId="0" borderId="0" applyFont="0" applyFill="0" applyBorder="0" applyAlignment="0" applyProtection="0"/>
  </cellStyleXfs>
  <cellXfs count="615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164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6">
    <cellStyle name="1 indent" xfId="42" xr:uid="{00000000-0005-0000-0000-000000000000}"/>
    <cellStyle name="1 indent 2" xfId="111" xr:uid="{00000000-0005-0000-0000-000001000000}"/>
    <cellStyle name="2 indents" xfId="43" xr:uid="{00000000-0005-0000-0000-000002000000}"/>
    <cellStyle name="2 indents 2" xfId="112" xr:uid="{00000000-0005-0000-0000-000003000000}"/>
    <cellStyle name="20% - Accent1" xfId="19" builtinId="30" customBuiltin="1"/>
    <cellStyle name="20% - Accent1 2" xfId="99" xr:uid="{00000000-0005-0000-0000-000005000000}"/>
    <cellStyle name="20% - Accent1 2 2" xfId="170" xr:uid="{00000000-0005-0000-0000-000006000000}"/>
    <cellStyle name="20% - Accent1 3" xfId="136" xr:uid="{00000000-0005-0000-0000-000007000000}"/>
    <cellStyle name="20% - Accent2" xfId="23" builtinId="34" customBuiltin="1"/>
    <cellStyle name="20% - Accent2 2" xfId="101" xr:uid="{00000000-0005-0000-0000-000009000000}"/>
    <cellStyle name="20% - Accent2 2 2" xfId="172" xr:uid="{00000000-0005-0000-0000-00000A000000}"/>
    <cellStyle name="20% - Accent2 3" xfId="138" xr:uid="{00000000-0005-0000-0000-00000B000000}"/>
    <cellStyle name="20% - Accent3" xfId="27" builtinId="38" customBuiltin="1"/>
    <cellStyle name="20% - Accent3 2" xfId="103" xr:uid="{00000000-0005-0000-0000-00000D000000}"/>
    <cellStyle name="20% - Accent3 2 2" xfId="174" xr:uid="{00000000-0005-0000-0000-00000E000000}"/>
    <cellStyle name="20% - Accent3 3" xfId="140" xr:uid="{00000000-0005-0000-0000-00000F000000}"/>
    <cellStyle name="20% - Accent4" xfId="31" builtinId="42" customBuiltin="1"/>
    <cellStyle name="20% - Accent4 2" xfId="105" xr:uid="{00000000-0005-0000-0000-000011000000}"/>
    <cellStyle name="20% - Accent4 2 2" xfId="176" xr:uid="{00000000-0005-0000-0000-000012000000}"/>
    <cellStyle name="20% - Accent4 3" xfId="142" xr:uid="{00000000-0005-0000-0000-000013000000}"/>
    <cellStyle name="20% - Accent5" xfId="35" builtinId="46" customBuiltin="1"/>
    <cellStyle name="20% - Accent5 2" xfId="107" xr:uid="{00000000-0005-0000-0000-000015000000}"/>
    <cellStyle name="20% - Accent5 2 2" xfId="178" xr:uid="{00000000-0005-0000-0000-000016000000}"/>
    <cellStyle name="20% - Accent5 3" xfId="144" xr:uid="{00000000-0005-0000-0000-000017000000}"/>
    <cellStyle name="20% - Accent6" xfId="39" builtinId="50" customBuiltin="1"/>
    <cellStyle name="20% - Accent6 2" xfId="109" xr:uid="{00000000-0005-0000-0000-000019000000}"/>
    <cellStyle name="20% - Accent6 2 2" xfId="180" xr:uid="{00000000-0005-0000-0000-00001A000000}"/>
    <cellStyle name="20% - Accent6 3" xfId="146" xr:uid="{00000000-0005-0000-0000-00001B000000}"/>
    <cellStyle name="3 indents" xfId="44" xr:uid="{00000000-0005-0000-0000-00001C000000}"/>
    <cellStyle name="3 indents 2" xfId="113" xr:uid="{00000000-0005-0000-0000-00001D000000}"/>
    <cellStyle name="4 indents" xfId="45" xr:uid="{00000000-0005-0000-0000-00001E000000}"/>
    <cellStyle name="4 indents 2" xfId="122" xr:uid="{00000000-0005-0000-0000-00001F000000}"/>
    <cellStyle name="40% - Accent1" xfId="20" builtinId="31" customBuiltin="1"/>
    <cellStyle name="40% - Accent1 2" xfId="100" xr:uid="{00000000-0005-0000-0000-000021000000}"/>
    <cellStyle name="40% - Accent1 2 2" xfId="171" xr:uid="{00000000-0005-0000-0000-000022000000}"/>
    <cellStyle name="40% - Accent1 3" xfId="137" xr:uid="{00000000-0005-0000-0000-000023000000}"/>
    <cellStyle name="40% - Accent2" xfId="24" builtinId="35" customBuiltin="1"/>
    <cellStyle name="40% - Accent2 2" xfId="102" xr:uid="{00000000-0005-0000-0000-000025000000}"/>
    <cellStyle name="40% - Accent2 2 2" xfId="173" xr:uid="{00000000-0005-0000-0000-000026000000}"/>
    <cellStyle name="40% - Accent2 3" xfId="139" xr:uid="{00000000-0005-0000-0000-000027000000}"/>
    <cellStyle name="40% - Accent3" xfId="28" builtinId="39" customBuiltin="1"/>
    <cellStyle name="40% - Accent3 2" xfId="104" xr:uid="{00000000-0005-0000-0000-000029000000}"/>
    <cellStyle name="40% - Accent3 2 2" xfId="175" xr:uid="{00000000-0005-0000-0000-00002A000000}"/>
    <cellStyle name="40% - Accent3 3" xfId="141" xr:uid="{00000000-0005-0000-0000-00002B000000}"/>
    <cellStyle name="40% - Accent4" xfId="32" builtinId="43" customBuiltin="1"/>
    <cellStyle name="40% - Accent4 2" xfId="106" xr:uid="{00000000-0005-0000-0000-00002D000000}"/>
    <cellStyle name="40% - Accent4 2 2" xfId="177" xr:uid="{00000000-0005-0000-0000-00002E000000}"/>
    <cellStyle name="40% - Accent4 3" xfId="143" xr:uid="{00000000-0005-0000-0000-00002F000000}"/>
    <cellStyle name="40% - Accent5" xfId="36" builtinId="47" customBuiltin="1"/>
    <cellStyle name="40% - Accent5 2" xfId="108" xr:uid="{00000000-0005-0000-0000-000031000000}"/>
    <cellStyle name="40% - Accent5 2 2" xfId="179" xr:uid="{00000000-0005-0000-0000-000032000000}"/>
    <cellStyle name="40% - Accent5 3" xfId="145" xr:uid="{00000000-0005-0000-0000-000033000000}"/>
    <cellStyle name="40% - Accent6" xfId="40" builtinId="51" customBuiltin="1"/>
    <cellStyle name="40% - Accent6 2" xfId="110" xr:uid="{00000000-0005-0000-0000-000035000000}"/>
    <cellStyle name="40% - Accent6 2 2" xfId="181" xr:uid="{00000000-0005-0000-0000-000036000000}"/>
    <cellStyle name="40% - Accent6 3" xfId="147" xr:uid="{00000000-0005-0000-0000-00003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 xr:uid="{00000000-0005-0000-0000-000045000000}"/>
    <cellStyle name="Calculation" xfId="12" builtinId="22" customBuiltin="1"/>
    <cellStyle name="Check Cell" xfId="14" builtinId="23" customBuiltin="1"/>
    <cellStyle name="Comma" xfId="130" builtinId="3"/>
    <cellStyle name="Comma 2" xfId="185" xr:uid="{00000000-0005-0000-0000-000049000000}"/>
    <cellStyle name="Currency" xfId="131" builtinId="4"/>
    <cellStyle name="Date" xfId="46" xr:uid="{00000000-0005-0000-0000-00004B000000}"/>
    <cellStyle name="Explanatory Text" xfId="16" builtinId="53" customBuiltin="1"/>
    <cellStyle name="F2" xfId="47" xr:uid="{00000000-0005-0000-0000-00004D000000}"/>
    <cellStyle name="F3" xfId="48" xr:uid="{00000000-0005-0000-0000-00004E000000}"/>
    <cellStyle name="F4" xfId="49" xr:uid="{00000000-0005-0000-0000-00004F000000}"/>
    <cellStyle name="F5" xfId="50" xr:uid="{00000000-0005-0000-0000-000050000000}"/>
    <cellStyle name="F6" xfId="51" xr:uid="{00000000-0005-0000-0000-000051000000}"/>
    <cellStyle name="F7" xfId="52" xr:uid="{00000000-0005-0000-0000-000052000000}"/>
    <cellStyle name="F8" xfId="53" xr:uid="{00000000-0005-0000-0000-000053000000}"/>
    <cellStyle name="Fixed" xfId="54" xr:uid="{00000000-0005-0000-0000-000054000000}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 xr:uid="{00000000-0005-0000-0000-00005A000000}"/>
    <cellStyle name="HEADING2" xfId="56" xr:uid="{00000000-0005-0000-0000-00005B000000}"/>
    <cellStyle name="imf-one decimal" xfId="57" xr:uid="{00000000-0005-0000-0000-00005C000000}"/>
    <cellStyle name="imf-one decimal 2" xfId="114" xr:uid="{00000000-0005-0000-0000-00005D000000}"/>
    <cellStyle name="imf-zero decimal" xfId="58" xr:uid="{00000000-0005-0000-0000-00005E000000}"/>
    <cellStyle name="imf-zero decimal 2" xfId="115" xr:uid="{00000000-0005-0000-0000-00005F000000}"/>
    <cellStyle name="Input" xfId="10" builtinId="20" customBuiltin="1"/>
    <cellStyle name="Label" xfId="59" xr:uid="{00000000-0005-0000-0000-000061000000}"/>
    <cellStyle name="Linked Cell" xfId="13" builtinId="24" customBuiltin="1"/>
    <cellStyle name="Neutral" xfId="9" builtinId="28" customBuiltin="1"/>
    <cellStyle name="Normal" xfId="0" builtinId="0"/>
    <cellStyle name="Normal - Style1" xfId="60" xr:uid="{00000000-0005-0000-0000-000065000000}"/>
    <cellStyle name="Normal - Style2" xfId="61" xr:uid="{00000000-0005-0000-0000-000066000000}"/>
    <cellStyle name="Normal - Style3" xfId="62" xr:uid="{00000000-0005-0000-0000-000067000000}"/>
    <cellStyle name="Normal 10" xfId="74" xr:uid="{00000000-0005-0000-0000-000068000000}"/>
    <cellStyle name="Normal 10 2" xfId="154" xr:uid="{00000000-0005-0000-0000-000069000000}"/>
    <cellStyle name="Normal 11" xfId="75" xr:uid="{00000000-0005-0000-0000-00006A000000}"/>
    <cellStyle name="Normal 11 2" xfId="155" xr:uid="{00000000-0005-0000-0000-00006B000000}"/>
    <cellStyle name="Normal 12" xfId="76" xr:uid="{00000000-0005-0000-0000-00006C000000}"/>
    <cellStyle name="Normal 12 2" xfId="156" xr:uid="{00000000-0005-0000-0000-00006D000000}"/>
    <cellStyle name="Normal 13" xfId="77" xr:uid="{00000000-0005-0000-0000-00006E000000}"/>
    <cellStyle name="Normal 14" xfId="86" xr:uid="{00000000-0005-0000-0000-00006F000000}"/>
    <cellStyle name="Normal 14 2" xfId="157" xr:uid="{00000000-0005-0000-0000-000070000000}"/>
    <cellStyle name="Normal 15" xfId="88" xr:uid="{00000000-0005-0000-0000-000071000000}"/>
    <cellStyle name="Normal 15 2" xfId="159" xr:uid="{00000000-0005-0000-0000-000072000000}"/>
    <cellStyle name="Normal 16" xfId="92" xr:uid="{00000000-0005-0000-0000-000073000000}"/>
    <cellStyle name="Normal 16 2" xfId="116" xr:uid="{00000000-0005-0000-0000-000074000000}"/>
    <cellStyle name="Normal 16 2 2" xfId="182" xr:uid="{00000000-0005-0000-0000-000075000000}"/>
    <cellStyle name="Normal 16 3" xfId="163" xr:uid="{00000000-0005-0000-0000-000076000000}"/>
    <cellStyle name="Normal 17" xfId="94" xr:uid="{00000000-0005-0000-0000-000077000000}"/>
    <cellStyle name="Normal 17 2" xfId="117" xr:uid="{00000000-0005-0000-0000-000078000000}"/>
    <cellStyle name="Normal 17 2 2" xfId="183" xr:uid="{00000000-0005-0000-0000-000079000000}"/>
    <cellStyle name="Normal 17 3" xfId="165" xr:uid="{00000000-0005-0000-0000-00007A000000}"/>
    <cellStyle name="Normal 18" xfId="95" xr:uid="{00000000-0005-0000-0000-00007B000000}"/>
    <cellStyle name="Normal 18 2" xfId="166" xr:uid="{00000000-0005-0000-0000-00007C000000}"/>
    <cellStyle name="Normal 19" xfId="90" xr:uid="{00000000-0005-0000-0000-00007D000000}"/>
    <cellStyle name="Normal 19 2" xfId="118" xr:uid="{00000000-0005-0000-0000-00007E000000}"/>
    <cellStyle name="Normal 19 2 2" xfId="184" xr:uid="{00000000-0005-0000-0000-00007F000000}"/>
    <cellStyle name="Normal 19 3" xfId="161" xr:uid="{00000000-0005-0000-0000-000080000000}"/>
    <cellStyle name="Normal 2" xfId="63" xr:uid="{00000000-0005-0000-0000-000081000000}"/>
    <cellStyle name="Normal 2 2" xfId="2" xr:uid="{00000000-0005-0000-0000-000082000000}"/>
    <cellStyle name="Normal 2 3" xfId="133" xr:uid="{00000000-0005-0000-0000-000083000000}"/>
    <cellStyle name="Normal 20" xfId="89" xr:uid="{00000000-0005-0000-0000-000084000000}"/>
    <cellStyle name="Normal 20 2" xfId="160" xr:uid="{00000000-0005-0000-0000-000085000000}"/>
    <cellStyle name="Normal 21" xfId="91" xr:uid="{00000000-0005-0000-0000-000086000000}"/>
    <cellStyle name="Normal 21 2" xfId="162" xr:uid="{00000000-0005-0000-0000-000087000000}"/>
    <cellStyle name="Normal 22" xfId="93" xr:uid="{00000000-0005-0000-0000-000088000000}"/>
    <cellStyle name="Normal 22 2" xfId="164" xr:uid="{00000000-0005-0000-0000-000089000000}"/>
    <cellStyle name="Normal 23" xfId="96" xr:uid="{00000000-0005-0000-0000-00008A000000}"/>
    <cellStyle name="Normal 23 2" xfId="167" xr:uid="{00000000-0005-0000-0000-00008B000000}"/>
    <cellStyle name="Normal 24" xfId="97" xr:uid="{00000000-0005-0000-0000-00008C000000}"/>
    <cellStyle name="Normal 24 2" xfId="168" xr:uid="{00000000-0005-0000-0000-00008D000000}"/>
    <cellStyle name="Normal 25" xfId="82" xr:uid="{00000000-0005-0000-0000-00008E000000}"/>
    <cellStyle name="Normal 26" xfId="124" xr:uid="{00000000-0005-0000-0000-00008F000000}"/>
    <cellStyle name="Normal 27" xfId="81" xr:uid="{00000000-0005-0000-0000-000090000000}"/>
    <cellStyle name="Normal 28" xfId="85" xr:uid="{00000000-0005-0000-0000-000091000000}"/>
    <cellStyle name="Normal 29" xfId="129" xr:uid="{00000000-0005-0000-0000-000092000000}"/>
    <cellStyle name="Normal 3" xfId="67" xr:uid="{00000000-0005-0000-0000-000093000000}"/>
    <cellStyle name="Normal 30" xfId="125" xr:uid="{00000000-0005-0000-0000-000094000000}"/>
    <cellStyle name="Normal 31" xfId="80" xr:uid="{00000000-0005-0000-0000-000095000000}"/>
    <cellStyle name="Normal 32" xfId="128" xr:uid="{00000000-0005-0000-0000-000096000000}"/>
    <cellStyle name="Normal 33" xfId="127" xr:uid="{00000000-0005-0000-0000-000097000000}"/>
    <cellStyle name="Normal 34" xfId="126" xr:uid="{00000000-0005-0000-0000-000098000000}"/>
    <cellStyle name="Normal 35" xfId="83" xr:uid="{00000000-0005-0000-0000-000099000000}"/>
    <cellStyle name="Normal 36" xfId="84" xr:uid="{00000000-0005-0000-0000-00009A000000}"/>
    <cellStyle name="Normal 37" xfId="132" xr:uid="{00000000-0005-0000-0000-00009B000000}"/>
    <cellStyle name="Normal 38" xfId="134" xr:uid="{00000000-0005-0000-0000-00009C000000}"/>
    <cellStyle name="Normal 39" xfId="135" xr:uid="{00000000-0005-0000-0000-00009D000000}"/>
    <cellStyle name="Normal 4" xfId="68" xr:uid="{00000000-0005-0000-0000-00009E000000}"/>
    <cellStyle name="Normal 4 2" xfId="119" xr:uid="{00000000-0005-0000-0000-00009F000000}"/>
    <cellStyle name="Normal 4 3" xfId="148" xr:uid="{00000000-0005-0000-0000-0000A0000000}"/>
    <cellStyle name="Normal 5" xfId="69" xr:uid="{00000000-0005-0000-0000-0000A1000000}"/>
    <cellStyle name="Normal 5 2" xfId="123" xr:uid="{00000000-0005-0000-0000-0000A2000000}"/>
    <cellStyle name="Normal 5 3" xfId="149" xr:uid="{00000000-0005-0000-0000-0000A3000000}"/>
    <cellStyle name="Normal 6" xfId="70" xr:uid="{00000000-0005-0000-0000-0000A4000000}"/>
    <cellStyle name="Normal 6 2" xfId="150" xr:uid="{00000000-0005-0000-0000-0000A5000000}"/>
    <cellStyle name="Normal 7" xfId="71" xr:uid="{00000000-0005-0000-0000-0000A6000000}"/>
    <cellStyle name="Normal 7 2" xfId="151" xr:uid="{00000000-0005-0000-0000-0000A7000000}"/>
    <cellStyle name="Normal 8" xfId="72" xr:uid="{00000000-0005-0000-0000-0000A8000000}"/>
    <cellStyle name="Normal 8 2" xfId="152" xr:uid="{00000000-0005-0000-0000-0000A9000000}"/>
    <cellStyle name="Normal 9" xfId="73" xr:uid="{00000000-0005-0000-0000-0000AA000000}"/>
    <cellStyle name="Normal 9 2" xfId="153" xr:uid="{00000000-0005-0000-0000-0000AB000000}"/>
    <cellStyle name="Note 2" xfId="87" xr:uid="{00000000-0005-0000-0000-0000AC000000}"/>
    <cellStyle name="Note 2 2" xfId="158" xr:uid="{00000000-0005-0000-0000-0000AD000000}"/>
    <cellStyle name="Note 3" xfId="98" xr:uid="{00000000-0005-0000-0000-0000AE000000}"/>
    <cellStyle name="Note 3 2" xfId="169" xr:uid="{00000000-0005-0000-0000-0000AF000000}"/>
    <cellStyle name="Obično_KnjigaZIKS i Min pomorstva i saobracaja" xfId="64" xr:uid="{00000000-0005-0000-0000-0000B0000000}"/>
    <cellStyle name="Output" xfId="11" builtinId="21" customBuiltin="1"/>
    <cellStyle name="Percent" xfId="1" builtinId="5"/>
    <cellStyle name="percentage difference" xfId="65" xr:uid="{00000000-0005-0000-0000-0000B3000000}"/>
    <cellStyle name="percentage difference 2" xfId="120" xr:uid="{00000000-0005-0000-0000-0000B4000000}"/>
    <cellStyle name="Publication" xfId="66" xr:uid="{00000000-0005-0000-0000-0000B5000000}"/>
    <cellStyle name="Standard_Tabellenteil in EURO" xfId="121" xr:uid="{00000000-0005-0000-0000-0000B6000000}"/>
    <cellStyle name="Title 2" xfId="79" xr:uid="{00000000-0005-0000-0000-0000B7000000}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54851" y="1323976"/>
          <a:ext cx="3173941" cy="293581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-novembar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2023.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 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2.312,7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37,5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 i veći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391,8 mil. € ili 20,4%.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veći za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535,7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30,1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endParaRPr lang="en-US">
            <a:effectLst/>
          </a:endParaRPr>
        </a:p>
        <a:p>
          <a:pPr algn="just" eaLnBrk="1" fontAlgn="auto" latinLnBrk="0" hangingPunct="1"/>
          <a:endParaRPr lang="sr-Latn-RS" sz="1100" b="1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istom periodu iznosili su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2.154,2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34,9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122,7 mil. € ili 5,4 % dok su u odnosu na isti period 2022. godine veći za 277,4 mil. € ili 14,8%.</a:t>
          </a:r>
          <a:endParaRPr lang="sr-Latn-RS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endParaRPr lang="sr-Latn-RS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januar-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novembar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2023. godine zabilježen je suficit budžeta u iznosu od 158,5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2,6% procijenjenog BDP-a.</a:t>
          </a:r>
          <a:endParaRPr lang="en-GB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323851</xdr:colOff>
      <xdr:row>6</xdr:row>
      <xdr:rowOff>180976</xdr:rowOff>
    </xdr:from>
    <xdr:to>
      <xdr:col>21</xdr:col>
      <xdr:colOff>400051</xdr:colOff>
      <xdr:row>30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6" y="1323976"/>
          <a:ext cx="3124200" cy="4505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Napomena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U obračunu deficita došlo je do metodološke promjene definicije deficita. Naime, izmjena Zakona o budžetu i fiskalnoj dogovornosti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("Sl list CG"</a:t>
          </a:r>
          <a:r>
            <a:rPr lang="sr-Latn-ME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027/23 od 08.03.2023)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izvršena je primjena međunarodnog računovodstvenog standarda IPSAS 2 – Izvještaja o novčanim tokovima, kojim se utvrđuje da date pozajmice i primici od povraćaja datih pozajmica pripadaju akt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vnostima finansiranja i ne ulaze u obračun finansijskog rezultata. I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plikacija ove korekcije je imala negativan uticaj na iznos deficita, imajući u vidu da su projektovani primici od datih pozajmica i kredita veći od planiranih izdataka po osnovu pozajmica i kredita.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4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4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5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5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6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6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7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7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8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8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2023-11</v>
      </c>
      <c r="O6" s="128" t="str">
        <f>+CONCATENATE(N6,"p")</f>
        <v>2023-11p</v>
      </c>
      <c r="P6" s="116"/>
      <c r="Q6" s="116"/>
      <c r="R6" s="128" t="str">
        <f>+IF(Master!B3-10&gt;=0,CONCATENATE(Master!B4-1,"-",Master!B3),CONCATENATE(Master!B4-1,"-0",Master!B3))</f>
        <v>2022-11</v>
      </c>
      <c r="S6" s="116"/>
      <c r="T6" s="116"/>
    </row>
    <row r="7" spans="1:20">
      <c r="A7" s="129"/>
      <c r="B7" s="500" t="s">
        <v>691</v>
      </c>
      <c r="C7" s="501"/>
      <c r="D7" s="501"/>
      <c r="E7" s="501"/>
      <c r="F7" s="501"/>
      <c r="G7" s="509" t="s">
        <v>690</v>
      </c>
      <c r="H7" s="510"/>
      <c r="I7" s="510"/>
      <c r="J7" s="510"/>
      <c r="K7" s="510"/>
      <c r="L7" s="510"/>
      <c r="M7" s="511"/>
      <c r="N7" s="512" t="str">
        <f>+Master!G243</f>
        <v>Decembar</v>
      </c>
      <c r="O7" s="510"/>
      <c r="P7" s="510"/>
      <c r="Q7" s="510"/>
      <c r="R7" s="510"/>
      <c r="S7" s="510"/>
      <c r="T7" s="513"/>
    </row>
    <row r="8" spans="1:20">
      <c r="A8" s="129"/>
      <c r="B8" s="502"/>
      <c r="C8" s="503"/>
      <c r="D8" s="503"/>
      <c r="E8" s="503"/>
      <c r="F8" s="504"/>
      <c r="G8" s="130" t="str">
        <f>+Master!G26</f>
        <v>Ostvarenje</v>
      </c>
      <c r="H8" s="130" t="str">
        <f>+Master!G25</f>
        <v>Plan</v>
      </c>
      <c r="I8" s="496" t="str">
        <f>+Master!G261</f>
        <v>Odstupanje</v>
      </c>
      <c r="J8" s="496"/>
      <c r="K8" s="130" t="str">
        <f>+CONCATENATE(Master!G246," ",Master!B4-1)</f>
        <v>Jan - Nov 2022</v>
      </c>
      <c r="L8" s="496" t="str">
        <f>+I8</f>
        <v>Odstupanje</v>
      </c>
      <c r="M8" s="508"/>
      <c r="N8" s="131" t="str">
        <f>+G8</f>
        <v>Ostvarenje</v>
      </c>
      <c r="O8" s="130" t="str">
        <f>+H8</f>
        <v>Plan</v>
      </c>
      <c r="P8" s="496" t="str">
        <f>+I8</f>
        <v>Odstupanje</v>
      </c>
      <c r="Q8" s="496"/>
      <c r="R8" s="130" t="str">
        <f>+CONCATENATE(Master!G245," ",Master!B4-1)</f>
        <v>Novembar 2022</v>
      </c>
      <c r="S8" s="496" t="str">
        <f>+P8</f>
        <v>Odstupanje</v>
      </c>
      <c r="T8" s="497"/>
    </row>
    <row r="9" spans="1:20" ht="15.75" thickBot="1">
      <c r="A9" s="129"/>
      <c r="B9" s="505"/>
      <c r="C9" s="506"/>
      <c r="D9" s="506"/>
      <c r="E9" s="506"/>
      <c r="F9" s="507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542" t="str">
        <f>+VLOOKUP($A10,Master!$D$30:$G$226,4,FALSE)</f>
        <v>Prihodi budžeta</v>
      </c>
      <c r="C10" s="543"/>
      <c r="D10" s="543"/>
      <c r="E10" s="543"/>
      <c r="F10" s="543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544" t="str">
        <f>+VLOOKUP($A11,Master!$D$30:$G$226,4,FALSE)</f>
        <v>Porezi</v>
      </c>
      <c r="C11" s="545"/>
      <c r="D11" s="545"/>
      <c r="E11" s="545"/>
      <c r="F11" s="545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30" t="str">
        <f>+VLOOKUP($A12,Master!$D$30:$G$226,4,FALSE)</f>
        <v>Porez na dohodak fizičkih lica</v>
      </c>
      <c r="C12" s="531"/>
      <c r="D12" s="531"/>
      <c r="E12" s="531"/>
      <c r="F12" s="531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30" t="str">
        <f>+VLOOKUP($A13,Master!$D$30:$G$226,4,FALSE)</f>
        <v>Porez na dobit pravnih lica</v>
      </c>
      <c r="C13" s="531"/>
      <c r="D13" s="531"/>
      <c r="E13" s="531"/>
      <c r="F13" s="531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30" t="str">
        <f>+VLOOKUP($A14,Master!$D$30:$G$226,4,FALSE)</f>
        <v>Porez na promet nepokretnosti</v>
      </c>
      <c r="C14" s="531"/>
      <c r="D14" s="531"/>
      <c r="E14" s="531"/>
      <c r="F14" s="531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30" t="str">
        <f>+VLOOKUP($A15,Master!$D$30:$G$226,4,FALSE)</f>
        <v>Porez na dodatu vrijednost</v>
      </c>
      <c r="C15" s="531"/>
      <c r="D15" s="531"/>
      <c r="E15" s="531"/>
      <c r="F15" s="531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30" t="str">
        <f>+VLOOKUP($A16,Master!$D$30:$G$226,4,FALSE)</f>
        <v>Akcize</v>
      </c>
      <c r="C16" s="531"/>
      <c r="D16" s="531"/>
      <c r="E16" s="531"/>
      <c r="F16" s="531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30" t="str">
        <f>+VLOOKUP($A17,Master!$D$30:$G$226,4,FALSE)</f>
        <v>Porez na međunarodnu trgovinu i transakcije</v>
      </c>
      <c r="C17" s="531"/>
      <c r="D17" s="531"/>
      <c r="E17" s="531"/>
      <c r="F17" s="531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30" t="e">
        <f>+VLOOKUP($A18,Master!$D$30:$G$226,4,FALSE)</f>
        <v>#N/A</v>
      </c>
      <c r="C18" s="531"/>
      <c r="D18" s="531"/>
      <c r="E18" s="531"/>
      <c r="F18" s="531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30" t="str">
        <f>+VLOOKUP($A19,Master!$D$30:$G$226,4,FALSE)</f>
        <v>Ostali državni porezi</v>
      </c>
      <c r="C19" s="531"/>
      <c r="D19" s="531"/>
      <c r="E19" s="531"/>
      <c r="F19" s="531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540" t="str">
        <f>+VLOOKUP($A20,Master!$D$30:$G$226,4,FALSE)</f>
        <v>Doprinosi</v>
      </c>
      <c r="C20" s="541"/>
      <c r="D20" s="541"/>
      <c r="E20" s="541"/>
      <c r="F20" s="541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30" t="str">
        <f>+VLOOKUP($A21,Master!$D$30:$G$226,4,FALSE)</f>
        <v>Doprinosi za penzijsko i invalidsko osiguranje</v>
      </c>
      <c r="C21" s="531"/>
      <c r="D21" s="531"/>
      <c r="E21" s="531"/>
      <c r="F21" s="531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30" t="str">
        <f>+VLOOKUP($A22,Master!$D$30:$G$226,4,FALSE)</f>
        <v>Doprinosi za zdravstveno osiguranje</v>
      </c>
      <c r="C22" s="531"/>
      <c r="D22" s="531"/>
      <c r="E22" s="531"/>
      <c r="F22" s="531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30" t="str">
        <f>+VLOOKUP($A23,Master!$D$30:$G$226,4,FALSE)</f>
        <v>Doprinosi za osiguranje od nezaposlenosti</v>
      </c>
      <c r="C23" s="531"/>
      <c r="D23" s="531"/>
      <c r="E23" s="531"/>
      <c r="F23" s="531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30" t="str">
        <f>+VLOOKUP($A24,Master!$D$30:$G$226,4,FALSE)</f>
        <v>Ostali doprinosi</v>
      </c>
      <c r="C24" s="531"/>
      <c r="D24" s="531"/>
      <c r="E24" s="531"/>
      <c r="F24" s="531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32" t="str">
        <f>+VLOOKUP($A25,Master!$D$30:$G$226,4,FALSE)</f>
        <v>Takse</v>
      </c>
      <c r="C25" s="533"/>
      <c r="D25" s="533"/>
      <c r="E25" s="533"/>
      <c r="F25" s="533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32" t="str">
        <f>+VLOOKUP($A26,Master!$D$30:$G$226,4,FALSE)</f>
        <v>Naknade</v>
      </c>
      <c r="C26" s="533"/>
      <c r="D26" s="533"/>
      <c r="E26" s="533"/>
      <c r="F26" s="533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32" t="str">
        <f>+VLOOKUP($A27,Master!$D$30:$G$226,4,FALSE)</f>
        <v>Ostali prihodi</v>
      </c>
      <c r="C27" s="533"/>
      <c r="D27" s="533"/>
      <c r="E27" s="533"/>
      <c r="F27" s="533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32" t="str">
        <f>+VLOOKUP($A28,Master!$D$30:$G$226,4,FALSE)</f>
        <v>Primici od otplate kredita i sredstva prenesena iz prethodne godine</v>
      </c>
      <c r="C28" s="533"/>
      <c r="D28" s="533"/>
      <c r="E28" s="533"/>
      <c r="F28" s="533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34" t="str">
        <f>+VLOOKUP($A29,Master!$D$30:$G$226,4,FALSE)</f>
        <v>Donacije i transferi</v>
      </c>
      <c r="C29" s="535"/>
      <c r="D29" s="535"/>
      <c r="E29" s="535"/>
      <c r="F29" s="535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20" t="str">
        <f>+VLOOKUP($A30,Master!$D$30:$G$226,4,FALSE)</f>
        <v>Izdaci budžeta</v>
      </c>
      <c r="C30" s="521"/>
      <c r="D30" s="521"/>
      <c r="E30" s="521"/>
      <c r="F30" s="521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536" t="str">
        <f>+VLOOKUP($A31,Master!$D$30:$G$226,4,FALSE)</f>
        <v>Tekući izdaci</v>
      </c>
      <c r="C31" s="537"/>
      <c r="D31" s="537"/>
      <c r="E31" s="537"/>
      <c r="F31" s="537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538" t="str">
        <f>+VLOOKUP($A32,Master!$D$30:$G$226,4,FALSE)</f>
        <v>Tekuća budžetska potrošnja</v>
      </c>
      <c r="C32" s="539"/>
      <c r="D32" s="539"/>
      <c r="E32" s="539"/>
      <c r="F32" s="539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30" t="str">
        <f>+VLOOKUP($A33,Master!$D$30:$G$226,4,FALSE)</f>
        <v>Bruto zarade i doprinosi na teret poslodavca</v>
      </c>
      <c r="C33" s="531"/>
      <c r="D33" s="531"/>
      <c r="E33" s="531"/>
      <c r="F33" s="531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30" t="str">
        <f>+VLOOKUP($A34,Master!$D$30:$G$226,4,FALSE)</f>
        <v>Ostala lična primanja</v>
      </c>
      <c r="C34" s="531"/>
      <c r="D34" s="531"/>
      <c r="E34" s="531"/>
      <c r="F34" s="531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30" t="str">
        <f>+VLOOKUP($A35,Master!$D$30:$G$226,4,FALSE)</f>
        <v>Rashodi za materijal</v>
      </c>
      <c r="C35" s="531"/>
      <c r="D35" s="531"/>
      <c r="E35" s="531"/>
      <c r="F35" s="531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30" t="str">
        <f>+VLOOKUP($A36,Master!$D$30:$G$226,4,FALSE)</f>
        <v>Rashodi za usluge</v>
      </c>
      <c r="C36" s="531"/>
      <c r="D36" s="531"/>
      <c r="E36" s="531"/>
      <c r="F36" s="531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30" t="str">
        <f>+VLOOKUP($A37,Master!$D$30:$G$226,4,FALSE)</f>
        <v>Rashodi za tekuće održavanje</v>
      </c>
      <c r="C37" s="531"/>
      <c r="D37" s="531"/>
      <c r="E37" s="531"/>
      <c r="F37" s="531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30" t="str">
        <f>+VLOOKUP($A38,Master!$D$30:$G$226,4,FALSE)</f>
        <v>Kamate</v>
      </c>
      <c r="C38" s="531"/>
      <c r="D38" s="531"/>
      <c r="E38" s="531"/>
      <c r="F38" s="531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30" t="str">
        <f>+VLOOKUP($A39,Master!$D$30:$G$226,4,FALSE)</f>
        <v>Renta</v>
      </c>
      <c r="C39" s="531"/>
      <c r="D39" s="531"/>
      <c r="E39" s="531"/>
      <c r="F39" s="531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30" t="str">
        <f>+VLOOKUP($A40,Master!$D$30:$G$226,4,FALSE)</f>
        <v>Subvencije</v>
      </c>
      <c r="C40" s="531"/>
      <c r="D40" s="531"/>
      <c r="E40" s="531"/>
      <c r="F40" s="531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30" t="str">
        <f>+VLOOKUP($A41,Master!$D$30:$G$226,4,FALSE)</f>
        <v>Ostali izdaci</v>
      </c>
      <c r="C41" s="531"/>
      <c r="D41" s="531"/>
      <c r="E41" s="531"/>
      <c r="F41" s="531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30" t="e">
        <f>+VLOOKUP($A42,Master!$D$30:$G$226,4,FALSE)</f>
        <v>#N/A</v>
      </c>
      <c r="C42" s="531"/>
      <c r="D42" s="531"/>
      <c r="E42" s="531"/>
      <c r="F42" s="531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26" t="str">
        <f>+VLOOKUP($A43,Master!$D$30:$G$226,4,FALSE)</f>
        <v>Transferi za socijalnu zaštitu</v>
      </c>
      <c r="C43" s="527"/>
      <c r="D43" s="527"/>
      <c r="E43" s="527"/>
      <c r="F43" s="527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30" t="str">
        <f>+VLOOKUP($A44,Master!$D$30:$G$226,4,FALSE)</f>
        <v>Prava iz oblasti socijalne zaštite</v>
      </c>
      <c r="C44" s="531"/>
      <c r="D44" s="531"/>
      <c r="E44" s="531"/>
      <c r="F44" s="531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30" t="str">
        <f>+VLOOKUP($A45,Master!$D$30:$G$226,4,FALSE)</f>
        <v>Sredstva za tehnološke viškove</v>
      </c>
      <c r="C45" s="531"/>
      <c r="D45" s="531"/>
      <c r="E45" s="531"/>
      <c r="F45" s="531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30" t="str">
        <f>+VLOOKUP($A46,Master!$D$30:$G$226,4,FALSE)</f>
        <v>Prava iz oblasti penzijskog i invalidskog osiguranja</v>
      </c>
      <c r="C46" s="531"/>
      <c r="D46" s="531"/>
      <c r="E46" s="531"/>
      <c r="F46" s="531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30" t="str">
        <f>+VLOOKUP($A47,Master!$D$30:$G$226,4,FALSE)</f>
        <v>Ostala prava iz oblasti zdravstvene zaštite</v>
      </c>
      <c r="C47" s="531"/>
      <c r="D47" s="531"/>
      <c r="E47" s="531"/>
      <c r="F47" s="531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30" t="str">
        <f>+VLOOKUP($A48,Master!$D$30:$G$226,4,FALSE)</f>
        <v>Ostala prava iz zdravstvenog osiguranja</v>
      </c>
      <c r="C48" s="531"/>
      <c r="D48" s="531"/>
      <c r="E48" s="531"/>
      <c r="F48" s="531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28" t="str">
        <f>+VLOOKUP($A49,Master!$D$30:$G$226,4,FALSE)</f>
        <v xml:space="preserve">Transferi institucijama, pojedincima, nevladinom i javnom sektoru </v>
      </c>
      <c r="C49" s="529"/>
      <c r="D49" s="529"/>
      <c r="E49" s="529"/>
      <c r="F49" s="529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28" t="str">
        <f>+VLOOKUP($A50,Master!$D$30:$G$226,4,FALSE)</f>
        <v>Kapitalni izdaci</v>
      </c>
      <c r="C50" s="529"/>
      <c r="D50" s="529"/>
      <c r="E50" s="529"/>
      <c r="F50" s="529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498" t="str">
        <f>+VLOOKUP($A51,Master!$D$30:$G$226,4,FALSE)</f>
        <v>Pozajmice i krediti</v>
      </c>
      <c r="C51" s="499"/>
      <c r="D51" s="499"/>
      <c r="E51" s="499"/>
      <c r="F51" s="499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498" t="str">
        <f>+VLOOKUP($A52,Master!$D$30:$G$226,4,FALSE)</f>
        <v>Rezerve</v>
      </c>
      <c r="C52" s="499"/>
      <c r="D52" s="499"/>
      <c r="E52" s="499"/>
      <c r="F52" s="499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16" t="str">
        <f>+VLOOKUP($A53,Master!$D$30:$G$226,4,FALSE)</f>
        <v>Otplata garancija</v>
      </c>
      <c r="C53" s="517"/>
      <c r="D53" s="517"/>
      <c r="E53" s="517"/>
      <c r="F53" s="517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16" t="str">
        <f>+VLOOKUP($A54,Master!$D$30:$G$226,4,FALSE)</f>
        <v>Otplata obaveza iz prethodnog perioda</v>
      </c>
      <c r="C54" s="517"/>
      <c r="D54" s="517"/>
      <c r="E54" s="517"/>
      <c r="F54" s="517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16" t="str">
        <f>+VLOOKUP($A55,Master!$D$30:$G$228,4,FALSE)</f>
        <v>Neto povećanje obaveza</v>
      </c>
      <c r="C55" s="517"/>
      <c r="D55" s="517"/>
      <c r="E55" s="517"/>
      <c r="F55" s="517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22" t="str">
        <f>+VLOOKUP($A56,Master!$D$30:$G$226,4,FALSE)</f>
        <v>Suficit / deficit</v>
      </c>
      <c r="C56" s="523"/>
      <c r="D56" s="523"/>
      <c r="E56" s="523"/>
      <c r="F56" s="523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24" t="str">
        <f>+VLOOKUP($A57,Master!$D$30:$G$226,4,FALSE)</f>
        <v>Primarni suficit/deficit</v>
      </c>
      <c r="C57" s="525"/>
      <c r="D57" s="525"/>
      <c r="E57" s="525"/>
      <c r="F57" s="525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26" t="str">
        <f>+VLOOKUP($A58,Master!$D$30:$G$226,4,FALSE)</f>
        <v>Otplata dugova</v>
      </c>
      <c r="C58" s="527"/>
      <c r="D58" s="527"/>
      <c r="E58" s="527"/>
      <c r="F58" s="527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514" t="str">
        <f>+VLOOKUP($A59,Master!$D$30:$G$226,4,FALSE)</f>
        <v>Otplata hartija od vrijednosti i kredita rezidentima</v>
      </c>
      <c r="C59" s="515"/>
      <c r="D59" s="515"/>
      <c r="E59" s="515"/>
      <c r="F59" s="515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498" t="str">
        <f>+VLOOKUP($A60,Master!$D$30:$G$226,4,FALSE)</f>
        <v>Otplata hartija od vrijednosti i kredita nerezidentima</v>
      </c>
      <c r="C60" s="499"/>
      <c r="D60" s="499"/>
      <c r="E60" s="499"/>
      <c r="F60" s="499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518" t="str">
        <f>+VLOOKUP($A62,Master!$D$30:$G$226,4,FALSE)</f>
        <v>Nedostajuća sredstva</v>
      </c>
      <c r="C62" s="519"/>
      <c r="D62" s="519"/>
      <c r="E62" s="519"/>
      <c r="F62" s="519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20" t="str">
        <f>+VLOOKUP($A63,Master!$D$30:$G$226,4,FALSE)</f>
        <v>Finansiranje</v>
      </c>
      <c r="C63" s="521"/>
      <c r="D63" s="521"/>
      <c r="E63" s="521"/>
      <c r="F63" s="521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514" t="str">
        <f>+VLOOKUP($A64,Master!$D$30:$G$226,4,FALSE)</f>
        <v>Pozajmice i krediti od domaćih izvora</v>
      </c>
      <c r="C64" s="515"/>
      <c r="D64" s="515"/>
      <c r="E64" s="515"/>
      <c r="F64" s="515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498" t="str">
        <f>+VLOOKUP($A65,Master!$D$30:$G$226,4,FALSE)</f>
        <v>Pozajmice i krediti od inostranih izvora</v>
      </c>
      <c r="C65" s="499"/>
      <c r="D65" s="499"/>
      <c r="E65" s="499"/>
      <c r="F65" s="499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498" t="str">
        <f>+VLOOKUP($A66,Master!$D$30:$G$226,4,FALSE)</f>
        <v>Primici od prodaje imovine</v>
      </c>
      <c r="C66" s="499"/>
      <c r="D66" s="499"/>
      <c r="E66" s="499"/>
      <c r="F66" s="499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14" t="s">
        <v>554</v>
      </c>
      <c r="F6" s="611">
        <v>2006</v>
      </c>
      <c r="G6" s="612"/>
      <c r="H6" s="612"/>
      <c r="I6" s="612"/>
      <c r="J6" s="612"/>
      <c r="K6" s="612"/>
      <c r="L6" s="612"/>
      <c r="M6" s="612"/>
      <c r="N6" s="612"/>
      <c r="O6" s="612"/>
      <c r="P6" s="612"/>
      <c r="Q6" s="613"/>
      <c r="R6" s="611">
        <v>2007</v>
      </c>
      <c r="S6" s="612"/>
      <c r="T6" s="612"/>
      <c r="U6" s="612"/>
      <c r="V6" s="612"/>
      <c r="W6" s="612"/>
      <c r="X6" s="612"/>
      <c r="Y6" s="612"/>
      <c r="Z6" s="612"/>
      <c r="AA6" s="612"/>
      <c r="AB6" s="612"/>
      <c r="AC6" s="613"/>
      <c r="AD6" s="611">
        <v>2008</v>
      </c>
      <c r="AE6" s="612"/>
      <c r="AF6" s="612"/>
      <c r="AG6" s="612"/>
      <c r="AH6" s="612"/>
      <c r="AI6" s="612"/>
      <c r="AJ6" s="612"/>
      <c r="AK6" s="612"/>
      <c r="AL6" s="612"/>
      <c r="AM6" s="612"/>
      <c r="AN6" s="612"/>
      <c r="AO6" s="613"/>
      <c r="AP6" s="611">
        <v>2009</v>
      </c>
      <c r="AQ6" s="612"/>
      <c r="AR6" s="612"/>
      <c r="AS6" s="612"/>
      <c r="AT6" s="612"/>
      <c r="AU6" s="612"/>
      <c r="AV6" s="612"/>
      <c r="AW6" s="612"/>
      <c r="AX6" s="612"/>
      <c r="AY6" s="612"/>
      <c r="AZ6" s="612"/>
      <c r="BA6" s="613"/>
      <c r="BB6" s="611">
        <v>2010</v>
      </c>
      <c r="BC6" s="612"/>
      <c r="BD6" s="612"/>
      <c r="BE6" s="612"/>
      <c r="BF6" s="612"/>
      <c r="BG6" s="612"/>
      <c r="BH6" s="612"/>
      <c r="BI6" s="612"/>
      <c r="BJ6" s="612"/>
      <c r="BK6" s="612"/>
      <c r="BL6" s="612"/>
      <c r="BM6" s="613"/>
      <c r="BN6" s="611">
        <v>2011</v>
      </c>
      <c r="BO6" s="612"/>
      <c r="BP6" s="612"/>
      <c r="BQ6" s="612"/>
      <c r="BR6" s="612"/>
      <c r="BS6" s="612"/>
      <c r="BT6" s="612"/>
      <c r="BU6" s="612"/>
      <c r="BV6" s="612"/>
      <c r="BW6" s="612"/>
      <c r="BX6" s="612"/>
      <c r="BY6" s="613"/>
      <c r="BZ6" s="612">
        <v>2012</v>
      </c>
      <c r="CA6" s="612"/>
      <c r="CB6" s="612"/>
      <c r="CC6" s="612"/>
      <c r="CD6" s="612"/>
      <c r="CE6" s="612"/>
      <c r="CF6" s="612"/>
      <c r="CG6" s="612"/>
      <c r="CH6" s="612"/>
      <c r="CI6" s="612"/>
      <c r="CJ6" s="612"/>
      <c r="CK6" s="612"/>
      <c r="CL6" s="611">
        <v>2013</v>
      </c>
      <c r="CM6" s="612"/>
      <c r="CN6" s="612"/>
      <c r="CO6" s="612"/>
      <c r="CP6" s="612"/>
      <c r="CQ6" s="612"/>
      <c r="CR6" s="612"/>
      <c r="CS6" s="612"/>
      <c r="CT6" s="612"/>
      <c r="CU6" s="612"/>
      <c r="CV6" s="612"/>
      <c r="CW6" s="613"/>
      <c r="CX6" s="611">
        <v>2014</v>
      </c>
      <c r="CY6" s="612"/>
      <c r="CZ6" s="612"/>
      <c r="DA6" s="612"/>
      <c r="DB6" s="612"/>
      <c r="DC6" s="612"/>
      <c r="DD6" s="612"/>
      <c r="DE6" s="612"/>
      <c r="DF6" s="612"/>
      <c r="DG6" s="612"/>
      <c r="DH6" s="612"/>
      <c r="DI6" s="613"/>
      <c r="DJ6" s="611">
        <v>2015</v>
      </c>
      <c r="DK6" s="612"/>
      <c r="DL6" s="612"/>
      <c r="DM6" s="612"/>
      <c r="DN6" s="612"/>
      <c r="DO6" s="612"/>
      <c r="DP6" s="612"/>
      <c r="DQ6" s="612"/>
      <c r="DR6" s="612"/>
      <c r="DS6" s="612"/>
      <c r="DT6" s="612"/>
      <c r="DU6" s="613"/>
    </row>
    <row r="7" spans="1:321">
      <c r="E7" s="614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14" t="s">
        <v>675</v>
      </c>
      <c r="F214" s="611">
        <v>2006</v>
      </c>
      <c r="G214" s="612"/>
      <c r="H214" s="612"/>
      <c r="I214" s="612"/>
      <c r="J214" s="612"/>
      <c r="K214" s="612"/>
      <c r="L214" s="612"/>
      <c r="M214" s="612"/>
      <c r="N214" s="612"/>
      <c r="O214" s="612"/>
      <c r="P214" s="612"/>
      <c r="Q214" s="613"/>
      <c r="R214" s="611">
        <v>2007</v>
      </c>
      <c r="S214" s="612"/>
      <c r="T214" s="612"/>
      <c r="U214" s="612"/>
      <c r="V214" s="612"/>
      <c r="W214" s="612"/>
      <c r="X214" s="612"/>
      <c r="Y214" s="612"/>
      <c r="Z214" s="612"/>
      <c r="AA214" s="612"/>
      <c r="AB214" s="612"/>
      <c r="AC214" s="613"/>
      <c r="AD214" s="611">
        <v>2008</v>
      </c>
      <c r="AE214" s="612"/>
      <c r="AF214" s="612"/>
      <c r="AG214" s="612"/>
      <c r="AH214" s="612"/>
      <c r="AI214" s="612"/>
      <c r="AJ214" s="612"/>
      <c r="AK214" s="612"/>
      <c r="AL214" s="612"/>
      <c r="AM214" s="612"/>
      <c r="AN214" s="612"/>
      <c r="AO214" s="613"/>
      <c r="AP214" s="611">
        <v>2009</v>
      </c>
      <c r="AQ214" s="612"/>
      <c r="AR214" s="612"/>
      <c r="AS214" s="612"/>
      <c r="AT214" s="612"/>
      <c r="AU214" s="612"/>
      <c r="AV214" s="612"/>
      <c r="AW214" s="612"/>
      <c r="AX214" s="612"/>
      <c r="AY214" s="612"/>
      <c r="AZ214" s="612"/>
      <c r="BA214" s="613"/>
      <c r="BB214" s="611">
        <v>2010</v>
      </c>
      <c r="BC214" s="612"/>
      <c r="BD214" s="612"/>
      <c r="BE214" s="612"/>
      <c r="BF214" s="612"/>
      <c r="BG214" s="612"/>
      <c r="BH214" s="612"/>
      <c r="BI214" s="612"/>
      <c r="BJ214" s="612"/>
      <c r="BK214" s="612"/>
      <c r="BL214" s="612"/>
      <c r="BM214" s="613"/>
      <c r="BN214" s="611">
        <v>2011</v>
      </c>
      <c r="BO214" s="612"/>
      <c r="BP214" s="612"/>
      <c r="BQ214" s="612"/>
      <c r="BR214" s="612"/>
      <c r="BS214" s="612"/>
      <c r="BT214" s="612"/>
      <c r="BU214" s="612"/>
      <c r="BV214" s="612"/>
      <c r="BW214" s="612"/>
      <c r="BX214" s="612"/>
      <c r="BY214" s="613"/>
      <c r="BZ214" s="612">
        <v>2012</v>
      </c>
      <c r="CA214" s="612"/>
      <c r="CB214" s="612"/>
      <c r="CC214" s="612"/>
      <c r="CD214" s="612"/>
      <c r="CE214" s="612"/>
      <c r="CF214" s="612"/>
      <c r="CG214" s="612"/>
      <c r="CH214" s="612"/>
      <c r="CI214" s="612"/>
      <c r="CJ214" s="612"/>
      <c r="CK214" s="612"/>
      <c r="CL214" s="611">
        <v>2013</v>
      </c>
      <c r="CM214" s="612"/>
      <c r="CN214" s="612"/>
      <c r="CO214" s="612"/>
      <c r="CP214" s="612"/>
      <c r="CQ214" s="612"/>
      <c r="CR214" s="612"/>
      <c r="CS214" s="612"/>
      <c r="CT214" s="612"/>
      <c r="CU214" s="612"/>
      <c r="CV214" s="612"/>
      <c r="CW214" s="613"/>
      <c r="CX214" s="611">
        <v>2014</v>
      </c>
      <c r="CY214" s="612"/>
      <c r="CZ214" s="612"/>
      <c r="DA214" s="612"/>
      <c r="DB214" s="612"/>
      <c r="DC214" s="612"/>
      <c r="DD214" s="612"/>
      <c r="DE214" s="612"/>
      <c r="DF214" s="612"/>
      <c r="DG214" s="612"/>
      <c r="DH214" s="612"/>
      <c r="DI214" s="613"/>
      <c r="DJ214" s="611">
        <v>2015</v>
      </c>
      <c r="DK214" s="612"/>
      <c r="DL214" s="612"/>
      <c r="DM214" s="612"/>
      <c r="DN214" s="612"/>
      <c r="DO214" s="612"/>
      <c r="DP214" s="612"/>
      <c r="DQ214" s="612"/>
      <c r="DR214" s="612"/>
      <c r="DS214" s="612"/>
      <c r="DT214" s="612"/>
      <c r="DU214" s="613"/>
    </row>
    <row r="215" spans="1:187">
      <c r="E215" s="614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"/>
  <dimension ref="B1:G286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11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2023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Novembar</v>
      </c>
    </row>
    <row r="246" spans="4:7">
      <c r="D246" s="41"/>
      <c r="G246" s="44" t="str">
        <f>+CONCATENATE("Jan - ",LEFT(G245,3))</f>
        <v>Jan - Nov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Nov</v>
      </c>
      <c r="F254" s="6" t="str">
        <f>+CONCATENATE("Analytics for period ",G246)</f>
        <v>Analytics for period Jan - Nov</v>
      </c>
      <c r="G254" s="44" t="str">
        <f>+IF(ISBLANK(IF($B$2=1,E254,F254)),"",IF($B$2=1,E254,F254))</f>
        <v>Analitika za period Jan - Nov</v>
      </c>
    </row>
    <row r="255" spans="4:7">
      <c r="E255" s="5" t="str">
        <f>+CONCATENATE("Analitika za period ",G245)</f>
        <v>Analitika za period Novembar</v>
      </c>
      <c r="F255" s="6" t="str">
        <f>+CONCATENATE("Analytics for period ",G245)</f>
        <v>Analytics for period Novembar</v>
      </c>
      <c r="G255" s="44" t="str">
        <f>+IF(ISBLANK(IF($B$2=1,E255,F255)),"",IF($B$2=1,E255,F255))</f>
        <v>Analitika za period Novembar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Novembar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Novembar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Novembar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Novembar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Novembar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Novembar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L32"/>
  <sheetViews>
    <sheetView showRowColHeaders="0" topLeftCell="B1" zoomScale="90" zoomScaleNormal="90" workbookViewId="0">
      <pane ySplit="5" topLeftCell="A6" activePane="bottomLeft" state="frozen"/>
      <selection activeCell="DK219" sqref="DK219"/>
      <selection pane="bottomLeft" activeCell="E18" sqref="E18"/>
    </sheetView>
  </sheetViews>
  <sheetFormatPr defaultColWidth="9.140625" defaultRowHeight="15"/>
  <cols>
    <col min="1" max="3" width="9.140625" style="116"/>
    <col min="4" max="4" width="10" style="116" bestFit="1" customWidth="1"/>
    <col min="5" max="7" width="9.140625" style="116"/>
    <col min="8" max="8" width="11" style="116" bestFit="1" customWidth="1"/>
    <col min="9" max="16384" width="9.140625" style="116"/>
  </cols>
  <sheetData>
    <row r="1" spans="3:11" s="113" customFormat="1"/>
    <row r="2" spans="3:11" s="113" customFormat="1">
      <c r="C2" s="114"/>
      <c r="E2" s="484" t="str">
        <f>+Master!G6</f>
        <v>Crna Gora</v>
      </c>
      <c r="F2" s="484"/>
      <c r="G2" s="484"/>
      <c r="I2" s="115"/>
    </row>
    <row r="3" spans="3:11" s="113" customFormat="1">
      <c r="E3" s="485" t="str">
        <f>+Master!G7</f>
        <v>Ministarstvo finansija</v>
      </c>
      <c r="F3" s="484"/>
      <c r="G3" s="484"/>
    </row>
    <row r="4" spans="3:11" s="113" customFormat="1">
      <c r="E4" s="485" t="str">
        <f>+Master!G8</f>
        <v>Direktorat za državni budžet</v>
      </c>
      <c r="F4" s="484"/>
      <c r="G4" s="484"/>
    </row>
    <row r="5" spans="3:11" s="113" customFormat="1"/>
    <row r="7" spans="3:11" ht="15.75" thickBot="1"/>
    <row r="8" spans="3:11">
      <c r="C8" s="117"/>
      <c r="D8" s="118"/>
      <c r="E8" s="118"/>
      <c r="F8" s="118"/>
      <c r="G8" s="118"/>
      <c r="H8" s="118"/>
      <c r="I8" s="118"/>
      <c r="J8" s="118"/>
      <c r="K8" s="119"/>
    </row>
    <row r="9" spans="3:11">
      <c r="C9" s="120"/>
      <c r="K9" s="121"/>
    </row>
    <row r="10" spans="3:11">
      <c r="C10" s="120"/>
      <c r="K10" s="121"/>
    </row>
    <row r="11" spans="3:11">
      <c r="C11" s="120"/>
      <c r="D11" s="122" t="str">
        <f>+Master!G270</f>
        <v>Prihodi za mjesec Novembar</v>
      </c>
      <c r="G11" s="122" t="str">
        <f>+Master!G274</f>
        <v>Prihodi za period Januar - Novembar</v>
      </c>
      <c r="K11" s="121"/>
    </row>
    <row r="12" spans="3:11">
      <c r="C12" s="120"/>
      <c r="D12" s="123">
        <f>+'Analitika 2023'!N10</f>
        <v>188878680.22</v>
      </c>
      <c r="E12" s="427">
        <f>+D12/'2023'!T7</f>
        <v>3.0589622035435495E-2</v>
      </c>
      <c r="G12" s="123">
        <f>+'Analitika 2023'!G10</f>
        <v>2312710138.7199993</v>
      </c>
      <c r="H12" s="427">
        <f>+G12/'2023'!T7</f>
        <v>0.37455222017944473</v>
      </c>
      <c r="K12" s="121"/>
    </row>
    <row r="13" spans="3:11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K13" s="121"/>
    </row>
    <row r="14" spans="3:11">
      <c r="C14" s="120"/>
      <c r="K14" s="121"/>
    </row>
    <row r="15" spans="3:11">
      <c r="C15" s="120"/>
      <c r="D15" s="122" t="str">
        <f>+Master!G271</f>
        <v>Rashodi za mjesec Novembar</v>
      </c>
      <c r="G15" s="122" t="str">
        <f>+Master!G275</f>
        <v>Rashodi za period Januar - Novembar</v>
      </c>
      <c r="K15" s="121"/>
    </row>
    <row r="16" spans="3:11">
      <c r="C16" s="120"/>
      <c r="D16" s="123">
        <f>+'Analitika 2023'!N29</f>
        <v>214056199.77000001</v>
      </c>
      <c r="E16" s="427">
        <f>+D16/'2023'!T7</f>
        <v>3.4667217272373922E-2</v>
      </c>
      <c r="G16" s="123">
        <f>+'Analitika 2023'!G29</f>
        <v>2154205591.8899999</v>
      </c>
      <c r="H16" s="427">
        <f>+G16/'2023'!T7</f>
        <v>0.34888180479545233</v>
      </c>
      <c r="K16" s="121"/>
    </row>
    <row r="17" spans="3:12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K17" s="121"/>
    </row>
    <row r="18" spans="3:12">
      <c r="C18" s="120"/>
      <c r="K18" s="121"/>
    </row>
    <row r="19" spans="3:12">
      <c r="C19" s="120"/>
      <c r="D19" s="122" t="str">
        <f>+Master!G272</f>
        <v>Suficit/Deficit za mjesec Novembar</v>
      </c>
      <c r="G19" s="122" t="str">
        <f>+Master!G276</f>
        <v>Suficit/Deficit za period Januar - Novembar</v>
      </c>
      <c r="K19" s="121"/>
    </row>
    <row r="20" spans="3:12">
      <c r="C20" s="120"/>
      <c r="D20" s="123">
        <f>+'Analitika 2023'!N53</f>
        <v>-25177519.550000012</v>
      </c>
      <c r="E20" s="427">
        <f>+D20/'2023'!T7</f>
        <v>-4.077595236938427E-3</v>
      </c>
      <c r="G20" s="123">
        <f>+'Analitika 2023'!G53</f>
        <v>158504546.83000037</v>
      </c>
      <c r="H20" s="427">
        <f>+G20/'2023'!T7</f>
        <v>2.5670415383992545E-2</v>
      </c>
      <c r="K20" s="121"/>
    </row>
    <row r="21" spans="3:12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K21" s="121"/>
    </row>
    <row r="22" spans="3:12" ht="15.75" thickBot="1">
      <c r="C22" s="125"/>
      <c r="D22" s="126"/>
      <c r="E22" s="126"/>
      <c r="F22" s="126"/>
      <c r="G22" s="126"/>
      <c r="H22" s="126"/>
      <c r="I22" s="126"/>
      <c r="J22" s="126"/>
      <c r="K22" s="127"/>
    </row>
    <row r="25" spans="3:12">
      <c r="H25" s="218"/>
    </row>
    <row r="32" spans="3:12">
      <c r="L32" s="428"/>
    </row>
  </sheetData>
  <sheetProtection algorithmName="SHA-512" hashValue="YgHBXzlBGnhppWPhTpVcR0T6VwzTj4f+pPIySYs2qWCbcOgFtqqR5HVJ52zFM4ViROJwx3ipvgJ463sOlCMBWA==" saltValue="aEoYGpMhBXqjHXUMz651L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42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topLeftCell="L1" zoomScale="90" zoomScaleNormal="90" workbookViewId="0">
      <pane ySplit="5" topLeftCell="A39" activePane="bottomLeft" state="frozen"/>
      <selection activeCell="DK219" sqref="DK219"/>
      <selection pane="bottomLeft" activeCell="O49" sqref="O49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2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2" width="9.140625" style="4"/>
    <col min="23" max="23" width="11.710937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2023-11</v>
      </c>
      <c r="O6" s="128" t="str">
        <f>+CONCATENATE(N6,"p")</f>
        <v>2023-11p</v>
      </c>
      <c r="P6" s="116"/>
      <c r="Q6" s="116"/>
      <c r="R6" s="128" t="str">
        <f>+IF(Master!B3-10&gt;=0,CONCATENATE(Master!B4-1,"-",Master!B3),CONCATENATE(Master!B4-1,"-0",Master!B3))</f>
        <v>2022-11</v>
      </c>
      <c r="S6" s="116"/>
      <c r="T6" s="116"/>
    </row>
    <row r="7" spans="1:25" ht="14.25" customHeight="1">
      <c r="A7" s="129"/>
      <c r="B7" s="500" t="str">
        <f>+Master!G254</f>
        <v>Analitika za period Jan - Nov</v>
      </c>
      <c r="C7" s="501"/>
      <c r="D7" s="501"/>
      <c r="E7" s="501"/>
      <c r="F7" s="501"/>
      <c r="G7" s="509" t="str">
        <f>+Master!G246</f>
        <v>Jan - Nov</v>
      </c>
      <c r="H7" s="510"/>
      <c r="I7" s="510"/>
      <c r="J7" s="510"/>
      <c r="K7" s="510"/>
      <c r="L7" s="510"/>
      <c r="M7" s="513"/>
      <c r="N7" s="510" t="str">
        <f>+Master!G245</f>
        <v>Novembar</v>
      </c>
      <c r="O7" s="510"/>
      <c r="P7" s="510"/>
      <c r="Q7" s="510"/>
      <c r="R7" s="510"/>
      <c r="S7" s="510"/>
      <c r="T7" s="513"/>
    </row>
    <row r="8" spans="1:25" ht="29.25" customHeight="1">
      <c r="A8" s="129"/>
      <c r="B8" s="502"/>
      <c r="C8" s="503"/>
      <c r="D8" s="503"/>
      <c r="E8" s="503"/>
      <c r="F8" s="504"/>
      <c r="G8" s="487" t="str">
        <f>+Master!G26</f>
        <v>Ostvarenje</v>
      </c>
      <c r="H8" s="330" t="str">
        <f>+Master!G25</f>
        <v>Plan</v>
      </c>
      <c r="I8" s="496" t="str">
        <f>+Master!G261</f>
        <v>Odstupanje</v>
      </c>
      <c r="J8" s="496"/>
      <c r="K8" s="130" t="str">
        <f>+CONCATENATE(Master!G246," ",Master!B4-1)</f>
        <v>Jan - Nov 2022</v>
      </c>
      <c r="L8" s="496" t="str">
        <f>+I8</f>
        <v>Odstupanje</v>
      </c>
      <c r="M8" s="497"/>
      <c r="N8" s="487" t="str">
        <f>+G8</f>
        <v>Ostvarenje</v>
      </c>
      <c r="O8" s="130" t="str">
        <f>+H8</f>
        <v>Plan</v>
      </c>
      <c r="P8" s="496" t="str">
        <f>+I8</f>
        <v>Odstupanje</v>
      </c>
      <c r="Q8" s="496"/>
      <c r="R8" s="130" t="str">
        <f>+CONCATENATE(Master!G245," ",Master!B4-1)</f>
        <v>Novembar 2022</v>
      </c>
      <c r="S8" s="496" t="str">
        <f>+P8</f>
        <v>Odstupanje</v>
      </c>
      <c r="T8" s="497"/>
    </row>
    <row r="9" spans="1:25" ht="15.75" thickBot="1">
      <c r="A9" s="129"/>
      <c r="B9" s="505"/>
      <c r="C9" s="506"/>
      <c r="D9" s="506"/>
      <c r="E9" s="506"/>
      <c r="F9" s="507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20" t="str">
        <f>+VLOOKUP($A10,Master!$D$30:$G$226,4,FALSE)</f>
        <v>Prihodi budžeta</v>
      </c>
      <c r="C10" s="521"/>
      <c r="D10" s="521"/>
      <c r="E10" s="521"/>
      <c r="F10" s="521"/>
      <c r="G10" s="136">
        <f>'2023'!S10</f>
        <v>2312710138.7199993</v>
      </c>
      <c r="H10" s="136">
        <f>SUM('2023'!G86:Q86)</f>
        <v>1920872472.5624943</v>
      </c>
      <c r="I10" s="137">
        <f>+G10-H10</f>
        <v>391837666.15750504</v>
      </c>
      <c r="J10" s="139">
        <f>IF(+IF(ISERROR(G10/H10),"…",G10/H10-1)&gt;200%,"...",IF(ISERROR(G10/H10),"…",G10/H10-1))</f>
        <v>0.20398942238720474</v>
      </c>
      <c r="K10" s="136">
        <f>SUM('2022'!G10:Q10)</f>
        <v>1777036506.9999998</v>
      </c>
      <c r="L10" s="137">
        <f>+G10-K10</f>
        <v>535673631.71999955</v>
      </c>
      <c r="M10" s="141">
        <f>IF(+IF(ISERROR(G10/K10),"…",G10/K10-1)&gt;200%,"...",IF(ISERROR(G10/K10),"…",G10/K10-1))</f>
        <v>0.30144210859478959</v>
      </c>
      <c r="N10" s="136">
        <f>'2023'!Q10</f>
        <v>188878680.22</v>
      </c>
      <c r="O10" s="136">
        <f>'2023'!Q86</f>
        <v>168967337.33964974</v>
      </c>
      <c r="P10" s="137">
        <f>+N10-O10</f>
        <v>19911342.880350262</v>
      </c>
      <c r="Q10" s="139">
        <f>IF(+IF(ISERROR(N10/O10),"…",N10/O10-1)&gt;200%,"...",IF(ISERROR(N10/O10),"…",N10/O10-1))</f>
        <v>0.11784137214830737</v>
      </c>
      <c r="R10" s="136">
        <f>'2022'!Q10</f>
        <v>161479932</v>
      </c>
      <c r="S10" s="137">
        <f>+N10-R10</f>
        <v>27398748.219999999</v>
      </c>
      <c r="T10" s="141">
        <f>IF(+IF(ISERROR(N10/R10),"…",N10/R10-1)&gt;200%,"...",IF(ISERROR(N10/R10),"…",N10/R10-1))</f>
        <v>0.16967277531427238</v>
      </c>
      <c r="W10" s="470"/>
      <c r="Y10" s="470"/>
    </row>
    <row r="11" spans="1:25">
      <c r="A11" s="135">
        <v>711</v>
      </c>
      <c r="B11" s="544" t="str">
        <f>+VLOOKUP($A11,Master!$D$30:$G$226,4,FALSE)</f>
        <v>Porezi</v>
      </c>
      <c r="C11" s="545"/>
      <c r="D11" s="545"/>
      <c r="E11" s="545"/>
      <c r="F11" s="545"/>
      <c r="G11" s="262">
        <f>'2023'!S11</f>
        <v>1529004363.9299998</v>
      </c>
      <c r="H11" s="262">
        <f>SUM('2023'!G87:Q87)</f>
        <v>1334907440.6099794</v>
      </c>
      <c r="I11" s="143">
        <f t="shared" ref="I11:I57" si="0">+G11-H11</f>
        <v>194096923.32002044</v>
      </c>
      <c r="J11" s="145">
        <f t="shared" ref="J11:J66" si="1">IF(+IF(ISERROR(G11/H11-1),"…",G11/H11-1)&gt;200%,"...",IF(ISERROR(G11/H11-1),"…",G11/H11-1))</f>
        <v>0.14540103486975009</v>
      </c>
      <c r="K11" s="262">
        <f>SUM('2022'!G11:Q11)</f>
        <v>1262036791.3900001</v>
      </c>
      <c r="L11" s="143">
        <f>+G11-K11</f>
        <v>266967572.53999972</v>
      </c>
      <c r="M11" s="147">
        <f t="shared" ref="M11:M66" si="2">IF(+IF(ISERROR(G11/K11),"…",G11/K11-1)&gt;200%,"...",IF(ISERROR(G11/K11),"…",G11/K11-1))</f>
        <v>0.21153707590882753</v>
      </c>
      <c r="N11" s="262">
        <f>'2023'!Q11</f>
        <v>117280381.45999999</v>
      </c>
      <c r="O11" s="262">
        <f>'2023'!Q87</f>
        <v>112197774.08556552</v>
      </c>
      <c r="P11" s="143">
        <f>+N11-O11</f>
        <v>5082607.3744344711</v>
      </c>
      <c r="Q11" s="145">
        <f t="shared" ref="Q11:Q66" si="3">IF(+IF(ISERROR(N11/O11),"…",N11/O11-1)&gt;200%,"...",IF(ISERROR(N11/O11),"…",N11/O11-1))</f>
        <v>4.5300429673037046E-2</v>
      </c>
      <c r="R11" s="262">
        <f>'2022'!Q11</f>
        <v>102838730.77</v>
      </c>
      <c r="S11" s="143">
        <f t="shared" ref="S11:S57" si="4">+N11-R11</f>
        <v>14441650.689999998</v>
      </c>
      <c r="T11" s="147">
        <f t="shared" ref="T11:T66" si="5">IF(+IF(ISERROR(N11/R11),"…",N11/R11-1)&gt;200%,"...",IF(ISERROR(N11/R11),"…",N11/R11-1))</f>
        <v>0.14043007514648265</v>
      </c>
      <c r="W11" s="470"/>
      <c r="Y11" s="470"/>
    </row>
    <row r="12" spans="1:25">
      <c r="A12" s="135">
        <v>7111</v>
      </c>
      <c r="B12" s="530" t="str">
        <f>+VLOOKUP($A12,Master!$D$30:$G$226,4,FALSE)</f>
        <v>Porez na dohodak fizičkih lica</v>
      </c>
      <c r="C12" s="531"/>
      <c r="D12" s="531"/>
      <c r="E12" s="531"/>
      <c r="F12" s="531"/>
      <c r="G12" s="148">
        <f>'2023'!S12</f>
        <v>55813473.740000002</v>
      </c>
      <c r="H12" s="148">
        <f>SUM('2023'!G88:Q88)</f>
        <v>51937145.985122412</v>
      </c>
      <c r="I12" s="149">
        <f t="shared" si="0"/>
        <v>3876327.7548775896</v>
      </c>
      <c r="J12" s="151">
        <f t="shared" si="1"/>
        <v>7.463497813276021E-2</v>
      </c>
      <c r="K12" s="148">
        <f>SUM('2022'!G12:Q12)</f>
        <v>74989910.840000004</v>
      </c>
      <c r="L12" s="149">
        <f>+G12-K12</f>
        <v>-19176437.100000001</v>
      </c>
      <c r="M12" s="153">
        <f t="shared" si="2"/>
        <v>-0.25572022803061112</v>
      </c>
      <c r="N12" s="148">
        <f>'2023'!Q12</f>
        <v>5681629.2400000002</v>
      </c>
      <c r="O12" s="148">
        <f>'2023'!Q88</f>
        <v>4877225.8311620513</v>
      </c>
      <c r="P12" s="149">
        <f t="shared" ref="P12:P57" si="6">+N12-O12</f>
        <v>804403.40883794893</v>
      </c>
      <c r="Q12" s="151">
        <f t="shared" si="3"/>
        <v>0.16493052335169223</v>
      </c>
      <c r="R12" s="148">
        <f>'2022'!Q12</f>
        <v>4566627.0199999996</v>
      </c>
      <c r="S12" s="149">
        <f t="shared" si="4"/>
        <v>1115002.2200000007</v>
      </c>
      <c r="T12" s="153">
        <f t="shared" si="5"/>
        <v>0.24416318983721186</v>
      </c>
      <c r="W12" s="470"/>
      <c r="Y12" s="470"/>
    </row>
    <row r="13" spans="1:25">
      <c r="A13" s="135">
        <v>7112</v>
      </c>
      <c r="B13" s="530" t="str">
        <f>+VLOOKUP($A13,Master!$D$30:$G$226,4,FALSE)</f>
        <v>Porez na dobit pravnih lica</v>
      </c>
      <c r="C13" s="531"/>
      <c r="D13" s="531"/>
      <c r="E13" s="531"/>
      <c r="F13" s="531"/>
      <c r="G13" s="148">
        <f>'2023'!S13</f>
        <v>146826819.96000001</v>
      </c>
      <c r="H13" s="148">
        <f>SUM('2023'!G89:Q89)</f>
        <v>115231817.09192902</v>
      </c>
      <c r="I13" s="149">
        <f t="shared" si="0"/>
        <v>31595002.86807099</v>
      </c>
      <c r="J13" s="151">
        <f t="shared" si="1"/>
        <v>0.27418645010922016</v>
      </c>
      <c r="K13" s="148">
        <f>SUM('2022'!G13:Q13)</f>
        <v>85412995.549999997</v>
      </c>
      <c r="L13" s="149">
        <f t="shared" ref="L13:L57" si="7">+G13-K13</f>
        <v>61413824.410000011</v>
      </c>
      <c r="M13" s="153">
        <f t="shared" si="2"/>
        <v>0.71902201783859598</v>
      </c>
      <c r="N13" s="148">
        <f>'2023'!Q13</f>
        <v>3538790.81</v>
      </c>
      <c r="O13" s="148">
        <f>'2023'!Q89</f>
        <v>2887333.7182166665</v>
      </c>
      <c r="P13" s="149">
        <f t="shared" si="6"/>
        <v>651457.09178333357</v>
      </c>
      <c r="Q13" s="151">
        <f t="shared" si="3"/>
        <v>0.22562583870135366</v>
      </c>
      <c r="R13" s="148">
        <f>'2022'!Q13</f>
        <v>2140171.25</v>
      </c>
      <c r="S13" s="149">
        <f t="shared" si="4"/>
        <v>1398619.56</v>
      </c>
      <c r="T13" s="153">
        <f t="shared" si="5"/>
        <v>0.65350824612750036</v>
      </c>
      <c r="W13" s="470"/>
      <c r="Y13" s="470"/>
    </row>
    <row r="14" spans="1:25">
      <c r="A14" s="135">
        <v>7113</v>
      </c>
      <c r="B14" s="530" t="str">
        <f>+VLOOKUP($A14,Master!$D$30:$G$226,4,FALSE)</f>
        <v>Porez na promet nepokretnosti</v>
      </c>
      <c r="C14" s="531"/>
      <c r="D14" s="531"/>
      <c r="E14" s="531"/>
      <c r="F14" s="531"/>
      <c r="G14" s="148">
        <f>'2023'!S14</f>
        <v>0</v>
      </c>
      <c r="H14" s="148">
        <f>SUM('2023'!G90:Q90)</f>
        <v>0</v>
      </c>
      <c r="I14" s="149">
        <f t="shared" si="0"/>
        <v>0</v>
      </c>
      <c r="J14" s="151" t="str">
        <f t="shared" si="1"/>
        <v>...</v>
      </c>
      <c r="K14" s="148">
        <f>SUM('2022'!G14:Q14)</f>
        <v>1481541.77</v>
      </c>
      <c r="L14" s="149">
        <f t="shared" si="7"/>
        <v>-1481541.77</v>
      </c>
      <c r="M14" s="153">
        <f t="shared" si="2"/>
        <v>-1</v>
      </c>
      <c r="N14" s="148">
        <f>'2023'!Q14</f>
        <v>0</v>
      </c>
      <c r="O14" s="148">
        <f>'2023'!Q90</f>
        <v>0</v>
      </c>
      <c r="P14" s="149">
        <f t="shared" si="6"/>
        <v>0</v>
      </c>
      <c r="Q14" s="151" t="str">
        <f t="shared" si="3"/>
        <v>...</v>
      </c>
      <c r="R14" s="148">
        <f>'2022'!Q14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30" t="str">
        <f>+VLOOKUP($A15,Master!$D$30:$G$226,4,FALSE)</f>
        <v>Porez na dodatu vrijednost</v>
      </c>
      <c r="C15" s="531"/>
      <c r="D15" s="531"/>
      <c r="E15" s="531"/>
      <c r="F15" s="531"/>
      <c r="G15" s="148">
        <f>'2023'!S15</f>
        <v>971337653.3900001</v>
      </c>
      <c r="H15" s="148">
        <f>SUM('2023'!G91:Q91)</f>
        <v>875255737.64720809</v>
      </c>
      <c r="I15" s="149">
        <f t="shared" si="0"/>
        <v>96081915.74279201</v>
      </c>
      <c r="J15" s="151">
        <f t="shared" si="1"/>
        <v>0.10977581935203484</v>
      </c>
      <c r="K15" s="148">
        <f>SUM('2022'!G15:Q15)</f>
        <v>828768001.21000004</v>
      </c>
      <c r="L15" s="149">
        <f t="shared" si="7"/>
        <v>142569652.18000007</v>
      </c>
      <c r="M15" s="153">
        <f t="shared" si="2"/>
        <v>0.17202600965752612</v>
      </c>
      <c r="N15" s="148">
        <f>'2023'!Q15</f>
        <v>78394633.030000001</v>
      </c>
      <c r="O15" s="148">
        <f>'2023'!Q91</f>
        <v>80002523.512198836</v>
      </c>
      <c r="P15" s="149">
        <f t="shared" si="6"/>
        <v>-1607890.4821988344</v>
      </c>
      <c r="Q15" s="151">
        <f t="shared" si="3"/>
        <v>-2.0097997058226125E-2</v>
      </c>
      <c r="R15" s="148">
        <f>'2022'!Q15</f>
        <v>75753324.030000001</v>
      </c>
      <c r="S15" s="149">
        <f t="shared" si="4"/>
        <v>2641309</v>
      </c>
      <c r="T15" s="153">
        <f t="shared" si="5"/>
        <v>3.4867235647032313E-2</v>
      </c>
      <c r="W15" s="470"/>
      <c r="Y15" s="470"/>
    </row>
    <row r="16" spans="1:25">
      <c r="A16" s="135">
        <v>7115</v>
      </c>
      <c r="B16" s="530" t="str">
        <f>+VLOOKUP($A16,Master!$D$30:$G$226,4,FALSE)</f>
        <v>Akcize</v>
      </c>
      <c r="C16" s="531"/>
      <c r="D16" s="531"/>
      <c r="E16" s="531"/>
      <c r="F16" s="531"/>
      <c r="G16" s="148">
        <f>'2023'!S16</f>
        <v>294627441.06</v>
      </c>
      <c r="H16" s="148">
        <f>SUM('2023'!G92:Q92)</f>
        <v>245047607.44633394</v>
      </c>
      <c r="I16" s="149">
        <f t="shared" si="0"/>
        <v>49579833.613666058</v>
      </c>
      <c r="J16" s="151">
        <f t="shared" si="1"/>
        <v>0.2023273523473359</v>
      </c>
      <c r="K16" s="148">
        <f>SUM('2022'!G16:Q16)</f>
        <v>223784251.21000004</v>
      </c>
      <c r="L16" s="149">
        <f t="shared" si="7"/>
        <v>70843189.849999964</v>
      </c>
      <c r="M16" s="153">
        <f t="shared" si="2"/>
        <v>0.31656914848543316</v>
      </c>
      <c r="N16" s="148">
        <f>'2023'!Q16</f>
        <v>24175706.739999998</v>
      </c>
      <c r="O16" s="148">
        <f>'2023'!Q92</f>
        <v>19387116.28225591</v>
      </c>
      <c r="P16" s="149">
        <f t="shared" si="6"/>
        <v>4788590.457744088</v>
      </c>
      <c r="Q16" s="151">
        <f t="shared" si="3"/>
        <v>0.24699859370662836</v>
      </c>
      <c r="R16" s="148">
        <f>'2022'!Q16</f>
        <v>15318077.359999999</v>
      </c>
      <c r="S16" s="149">
        <f t="shared" si="4"/>
        <v>8857629.379999999</v>
      </c>
      <c r="T16" s="153">
        <f t="shared" si="5"/>
        <v>0.57824681073421602</v>
      </c>
      <c r="W16" s="470"/>
      <c r="Y16" s="470"/>
    </row>
    <row r="17" spans="1:25">
      <c r="A17" s="135">
        <v>7116</v>
      </c>
      <c r="B17" s="530" t="str">
        <f>+VLOOKUP($A17,Master!$D$30:$G$226,4,FALSE)</f>
        <v>Porez na međunarodnu trgovinu i transakcije</v>
      </c>
      <c r="C17" s="531"/>
      <c r="D17" s="531"/>
      <c r="E17" s="531"/>
      <c r="F17" s="531"/>
      <c r="G17" s="148">
        <f>'2023'!S17</f>
        <v>47788230.600000001</v>
      </c>
      <c r="H17" s="148">
        <f>SUM('2023'!G93:Q93)</f>
        <v>36365017.979960673</v>
      </c>
      <c r="I17" s="149">
        <f t="shared" si="0"/>
        <v>11423212.620039329</v>
      </c>
      <c r="J17" s="151">
        <f t="shared" si="1"/>
        <v>0.31412641199116709</v>
      </c>
      <c r="K17" s="148">
        <f>SUM('2022'!G17:Q17)</f>
        <v>36353403.060000002</v>
      </c>
      <c r="L17" s="149">
        <f t="shared" si="7"/>
        <v>11434827.539999999</v>
      </c>
      <c r="M17" s="153">
        <f t="shared" si="2"/>
        <v>0.31454627565752835</v>
      </c>
      <c r="N17" s="148">
        <f>'2023'!Q17</f>
        <v>4266242.05</v>
      </c>
      <c r="O17" s="148">
        <f>'2023'!Q93</f>
        <v>3902366.8888178305</v>
      </c>
      <c r="P17" s="149">
        <f t="shared" si="6"/>
        <v>363875.16118216934</v>
      </c>
      <c r="Q17" s="151">
        <f>IF(+IF(ISERROR(N17/O17),"…",N17/O17-1)&gt;200%,"...",IF(ISERROR(N17/O17),"…",N17/O17-1))</f>
        <v>9.3244733657629197E-2</v>
      </c>
      <c r="R17" s="148">
        <f>'2022'!Q17</f>
        <v>3901120.48</v>
      </c>
      <c r="S17" s="149">
        <f t="shared" si="4"/>
        <v>365121.56999999983</v>
      </c>
      <c r="T17" s="153">
        <f t="shared" si="5"/>
        <v>9.3594025581081208E-2</v>
      </c>
      <c r="W17" s="470"/>
      <c r="Y17" s="470"/>
    </row>
    <row r="18" spans="1:25">
      <c r="A18" s="135">
        <v>7118</v>
      </c>
      <c r="B18" s="530" t="str">
        <f>+VLOOKUP($A18,Master!$D$30:$G$226,4,FALSE)</f>
        <v>Ostali državni porezi</v>
      </c>
      <c r="C18" s="531"/>
      <c r="D18" s="531"/>
      <c r="E18" s="531"/>
      <c r="F18" s="531"/>
      <c r="G18" s="148">
        <f>'2023'!S18</f>
        <v>12610745.180000002</v>
      </c>
      <c r="H18" s="148">
        <f>SUM('2023'!G94:Q94)</f>
        <v>11070114.459425049</v>
      </c>
      <c r="I18" s="149">
        <f t="shared" si="0"/>
        <v>1540630.7205749527</v>
      </c>
      <c r="J18" s="151">
        <f t="shared" si="1"/>
        <v>0.13917026117677267</v>
      </c>
      <c r="K18" s="148">
        <f>SUM('2022'!G18:Q18)</f>
        <v>11246687.75</v>
      </c>
      <c r="L18" s="149">
        <f t="shared" si="7"/>
        <v>1364057.4300000016</v>
      </c>
      <c r="M18" s="153">
        <f t="shared" si="2"/>
        <v>0.12128525840863702</v>
      </c>
      <c r="N18" s="148">
        <f>'2023'!Q18</f>
        <v>1223379.5900000001</v>
      </c>
      <c r="O18" s="148">
        <f>'2023'!Q94</f>
        <v>1141207.8529142153</v>
      </c>
      <c r="P18" s="149">
        <f t="shared" si="6"/>
        <v>82171.737085784785</v>
      </c>
      <c r="Q18" s="151">
        <f t="shared" si="3"/>
        <v>7.2004181250548749E-2</v>
      </c>
      <c r="R18" s="148">
        <f>'2022'!Q18</f>
        <v>1159410.6299999999</v>
      </c>
      <c r="S18" s="149">
        <f t="shared" si="4"/>
        <v>63968.960000000196</v>
      </c>
      <c r="T18" s="153">
        <f t="shared" si="5"/>
        <v>5.5173687686475903E-2</v>
      </c>
      <c r="W18" s="470"/>
      <c r="Y18" s="470"/>
    </row>
    <row r="19" spans="1:25">
      <c r="A19" s="135">
        <v>712</v>
      </c>
      <c r="B19" s="532" t="str">
        <f>+VLOOKUP($A19,Master!$D$30:$G$226,4,FALSE)</f>
        <v>Doprinosi</v>
      </c>
      <c r="C19" s="533"/>
      <c r="D19" s="533"/>
      <c r="E19" s="533"/>
      <c r="F19" s="533"/>
      <c r="G19" s="154">
        <f>'2023'!S19</f>
        <v>486644745.66000003</v>
      </c>
      <c r="H19" s="154">
        <f>SUM('2023'!G95:Q95)</f>
        <v>398194791.3742072</v>
      </c>
      <c r="I19" s="155">
        <f t="shared" si="0"/>
        <v>88449954.285792828</v>
      </c>
      <c r="J19" s="157">
        <f t="shared" si="1"/>
        <v>0.22212735124069249</v>
      </c>
      <c r="K19" s="154">
        <f>SUM('2022'!G19:Q19)</f>
        <v>386690596.45999992</v>
      </c>
      <c r="L19" s="155">
        <f t="shared" si="7"/>
        <v>99954149.200000107</v>
      </c>
      <c r="M19" s="159">
        <f t="shared" si="2"/>
        <v>0.25848611296742408</v>
      </c>
      <c r="N19" s="154">
        <f>'2023'!Q19</f>
        <v>47289989.949999996</v>
      </c>
      <c r="O19" s="154">
        <f>'2023'!Q95</f>
        <v>39258499.915648282</v>
      </c>
      <c r="P19" s="155">
        <f t="shared" si="6"/>
        <v>8031490.034351714</v>
      </c>
      <c r="Q19" s="157">
        <f t="shared" si="3"/>
        <v>0.20457964648696092</v>
      </c>
      <c r="R19" s="154">
        <f>'2022'!Q19</f>
        <v>40329720.409999996</v>
      </c>
      <c r="S19" s="155">
        <f t="shared" si="4"/>
        <v>6960269.5399999991</v>
      </c>
      <c r="T19" s="159">
        <f t="shared" si="5"/>
        <v>0.17258412578219007</v>
      </c>
      <c r="W19" s="470"/>
      <c r="Y19" s="470"/>
    </row>
    <row r="20" spans="1:25">
      <c r="A20" s="135">
        <v>7121</v>
      </c>
      <c r="B20" s="530" t="str">
        <f>+VLOOKUP($A20,Master!$D$30:$G$226,4,FALSE)</f>
        <v>Doprinosi za penzijsko i invalidsko osiguranje</v>
      </c>
      <c r="C20" s="531"/>
      <c r="D20" s="531"/>
      <c r="E20" s="531"/>
      <c r="F20" s="531"/>
      <c r="G20" s="148">
        <f>'2023'!S20</f>
        <v>444989222.21000004</v>
      </c>
      <c r="H20" s="148">
        <f>SUM('2023'!G96:Q96)</f>
        <v>367841996.19624418</v>
      </c>
      <c r="I20" s="149">
        <f t="shared" si="0"/>
        <v>77147226.013755858</v>
      </c>
      <c r="J20" s="151">
        <f t="shared" si="1"/>
        <v>0.20972925008975252</v>
      </c>
      <c r="K20" s="148">
        <f>SUM('2022'!G20:Q20)</f>
        <v>336250237.17000002</v>
      </c>
      <c r="L20" s="149">
        <f t="shared" si="7"/>
        <v>108738985.04000002</v>
      </c>
      <c r="M20" s="153">
        <f t="shared" si="2"/>
        <v>0.32338708800679372</v>
      </c>
      <c r="N20" s="148">
        <f>'2023'!Q20</f>
        <v>43114463.939999998</v>
      </c>
      <c r="O20" s="148">
        <f>'2023'!Q96</f>
        <v>36305288.307839207</v>
      </c>
      <c r="P20" s="149">
        <f t="shared" si="6"/>
        <v>6809175.6321607903</v>
      </c>
      <c r="Q20" s="151">
        <f t="shared" si="3"/>
        <v>0.18755327252670573</v>
      </c>
      <c r="R20" s="148">
        <f>'2022'!Q20</f>
        <v>36524279.100000001</v>
      </c>
      <c r="S20" s="149">
        <f t="shared" si="4"/>
        <v>6590184.8399999961</v>
      </c>
      <c r="T20" s="153">
        <f t="shared" si="5"/>
        <v>0.18043298875130964</v>
      </c>
      <c r="W20" s="470"/>
      <c r="Y20" s="470"/>
    </row>
    <row r="21" spans="1:25">
      <c r="A21" s="135">
        <v>7122</v>
      </c>
      <c r="B21" s="530" t="str">
        <f>+VLOOKUP($A21,Master!$D$30:$G$226,4,FALSE)</f>
        <v>Doprinosi za zdravstveno osiguranje</v>
      </c>
      <c r="C21" s="531"/>
      <c r="D21" s="531"/>
      <c r="E21" s="531"/>
      <c r="F21" s="531"/>
      <c r="G21" s="148">
        <f>'2023'!S21</f>
        <v>6064573.8399999989</v>
      </c>
      <c r="H21" s="148">
        <f>SUM('2023'!G97:Q97)</f>
        <v>1100262.5556351913</v>
      </c>
      <c r="I21" s="149">
        <f t="shared" si="0"/>
        <v>4964311.2843648074</v>
      </c>
      <c r="J21" s="151" t="str">
        <f t="shared" si="1"/>
        <v>...</v>
      </c>
      <c r="K21" s="148">
        <f>SUM('2022'!G21:Q21)</f>
        <v>24043637.059999999</v>
      </c>
      <c r="L21" s="149">
        <f t="shared" si="7"/>
        <v>-17979063.219999999</v>
      </c>
      <c r="M21" s="153">
        <f t="shared" si="2"/>
        <v>-0.74776803422601656</v>
      </c>
      <c r="N21" s="148">
        <f>'2023'!Q21</f>
        <v>591360.93000000005</v>
      </c>
      <c r="O21" s="148">
        <f>'2023'!Q97</f>
        <v>100023.86869410829</v>
      </c>
      <c r="P21" s="149">
        <f t="shared" si="6"/>
        <v>491337.06130589178</v>
      </c>
      <c r="Q21" s="151" t="str">
        <f t="shared" si="3"/>
        <v>...</v>
      </c>
      <c r="R21" s="148">
        <f>'2022'!Q21</f>
        <v>970112.44</v>
      </c>
      <c r="S21" s="149">
        <f t="shared" si="4"/>
        <v>-378751.50999999989</v>
      </c>
      <c r="T21" s="153">
        <f t="shared" si="5"/>
        <v>-0.39042021768115864</v>
      </c>
      <c r="W21" s="470"/>
      <c r="Y21" s="470"/>
    </row>
    <row r="22" spans="1:25">
      <c r="A22" s="135">
        <v>7123</v>
      </c>
      <c r="B22" s="530" t="str">
        <f>+VLOOKUP($A22,Master!$D$30:$G$226,4,FALSE)</f>
        <v>Doprinosi za osiguranje od nezaposlenosti</v>
      </c>
      <c r="C22" s="531"/>
      <c r="D22" s="531"/>
      <c r="E22" s="531"/>
      <c r="F22" s="531"/>
      <c r="G22" s="148">
        <f>'2023'!S22</f>
        <v>20454282.41</v>
      </c>
      <c r="H22" s="148">
        <f>SUM('2023'!G98:Q98)</f>
        <v>17154835.069884215</v>
      </c>
      <c r="I22" s="149">
        <f t="shared" si="0"/>
        <v>3299447.3401157856</v>
      </c>
      <c r="J22" s="151">
        <f t="shared" si="1"/>
        <v>0.19233337579024923</v>
      </c>
      <c r="K22" s="148">
        <f>SUM('2022'!G22:Q22)</f>
        <v>15210701.790000001</v>
      </c>
      <c r="L22" s="149">
        <f t="shared" si="7"/>
        <v>5243580.6199999992</v>
      </c>
      <c r="M22" s="153">
        <f t="shared" si="2"/>
        <v>0.34472969705101275</v>
      </c>
      <c r="N22" s="148">
        <f>'2023'!Q22</f>
        <v>2018981.01</v>
      </c>
      <c r="O22" s="148">
        <f>'2023'!Q98</f>
        <v>1660050.5394028926</v>
      </c>
      <c r="P22" s="149">
        <f t="shared" si="6"/>
        <v>358930.47059710743</v>
      </c>
      <c r="Q22" s="151">
        <f t="shared" si="3"/>
        <v>0.21621659225279499</v>
      </c>
      <c r="R22" s="148">
        <f>'2022'!Q22</f>
        <v>1651967.4</v>
      </c>
      <c r="S22" s="149">
        <f t="shared" si="4"/>
        <v>367013.6100000001</v>
      </c>
      <c r="T22" s="153">
        <f t="shared" si="5"/>
        <v>0.2221675863579391</v>
      </c>
      <c r="W22" s="470"/>
      <c r="Y22" s="470"/>
    </row>
    <row r="23" spans="1:25">
      <c r="A23" s="135">
        <v>7124</v>
      </c>
      <c r="B23" s="530" t="str">
        <f>+VLOOKUP($A23,Master!$D$30:$G$226,4,FALSE)</f>
        <v>Ostali doprinosi</v>
      </c>
      <c r="C23" s="531"/>
      <c r="D23" s="531"/>
      <c r="E23" s="531"/>
      <c r="F23" s="531"/>
      <c r="G23" s="148">
        <f>'2023'!S23</f>
        <v>15136667.199999999</v>
      </c>
      <c r="H23" s="148">
        <f>SUM('2023'!G99:Q99)</f>
        <v>12097697.552443616</v>
      </c>
      <c r="I23" s="149">
        <f t="shared" si="0"/>
        <v>3038969.6475563832</v>
      </c>
      <c r="J23" s="151">
        <f t="shared" si="1"/>
        <v>0.25120231634014867</v>
      </c>
      <c r="K23" s="148">
        <f>SUM('2022'!G23:Q23)</f>
        <v>11186020.440000001</v>
      </c>
      <c r="L23" s="149">
        <f t="shared" si="7"/>
        <v>3950646.7599999979</v>
      </c>
      <c r="M23" s="153">
        <f t="shared" si="2"/>
        <v>0.35317714473977824</v>
      </c>
      <c r="N23" s="148">
        <f>'2023'!Q23</f>
        <v>1565184.07</v>
      </c>
      <c r="O23" s="148">
        <f>'2023'!Q99</f>
        <v>1193137.199712065</v>
      </c>
      <c r="P23" s="149">
        <f t="shared" si="6"/>
        <v>372046.87028793502</v>
      </c>
      <c r="Q23" s="151">
        <f t="shared" si="3"/>
        <v>0.31182237078662833</v>
      </c>
      <c r="R23" s="148">
        <f>'2022'!Q23</f>
        <v>1183361.47</v>
      </c>
      <c r="S23" s="149">
        <f t="shared" si="4"/>
        <v>381822.60000000009</v>
      </c>
      <c r="T23" s="153">
        <f t="shared" si="5"/>
        <v>0.32265931389501823</v>
      </c>
      <c r="W23" s="470"/>
      <c r="Y23" s="470"/>
    </row>
    <row r="24" spans="1:25">
      <c r="A24" s="135">
        <v>713</v>
      </c>
      <c r="B24" s="532" t="str">
        <f>+VLOOKUP($A24,Master!$D$30:$G$226,4,FALSE)</f>
        <v>Takse</v>
      </c>
      <c r="C24" s="533"/>
      <c r="D24" s="533"/>
      <c r="E24" s="533"/>
      <c r="F24" s="533"/>
      <c r="G24" s="160">
        <f>'2023'!S24</f>
        <v>14315884.17</v>
      </c>
      <c r="H24" s="160">
        <f>SUM('2023'!G100:Q100)</f>
        <v>12861809.325389164</v>
      </c>
      <c r="I24" s="161">
        <f t="shared" si="0"/>
        <v>1454074.8446108364</v>
      </c>
      <c r="J24" s="163">
        <f t="shared" si="1"/>
        <v>0.11305367758333174</v>
      </c>
      <c r="K24" s="160">
        <f>SUM('2022'!G24:Q24)</f>
        <v>13170227.510000002</v>
      </c>
      <c r="L24" s="161">
        <f t="shared" si="7"/>
        <v>1145656.6599999983</v>
      </c>
      <c r="M24" s="165">
        <f t="shared" si="2"/>
        <v>8.698837276198268E-2</v>
      </c>
      <c r="N24" s="160">
        <f>'2023'!Q24</f>
        <v>1258578.19</v>
      </c>
      <c r="O24" s="160">
        <f>'2023'!Q100</f>
        <v>1025348.8829897568</v>
      </c>
      <c r="P24" s="161">
        <f t="shared" si="6"/>
        <v>233229.30701024318</v>
      </c>
      <c r="Q24" s="163">
        <f t="shared" si="3"/>
        <v>0.22746336479168239</v>
      </c>
      <c r="R24" s="160">
        <f>'2022'!Q24</f>
        <v>1297347.1399999999</v>
      </c>
      <c r="S24" s="161">
        <f t="shared" si="4"/>
        <v>-38768.949999999953</v>
      </c>
      <c r="T24" s="165">
        <f t="shared" si="5"/>
        <v>-2.9883250831384989E-2</v>
      </c>
      <c r="W24" s="470"/>
      <c r="Y24" s="470"/>
    </row>
    <row r="25" spans="1:25">
      <c r="A25" s="135">
        <v>714</v>
      </c>
      <c r="B25" s="532" t="str">
        <f>+VLOOKUP($A25,Master!$D$30:$G$226,4,FALSE)</f>
        <v>Naknade</v>
      </c>
      <c r="C25" s="533"/>
      <c r="D25" s="533"/>
      <c r="E25" s="533"/>
      <c r="F25" s="533"/>
      <c r="G25" s="160">
        <f>'2023'!S25</f>
        <v>51938230.490000002</v>
      </c>
      <c r="H25" s="160">
        <f>SUM('2023'!G101:Q101)</f>
        <v>37583938.864403911</v>
      </c>
      <c r="I25" s="161">
        <f t="shared" si="0"/>
        <v>14354291.625596091</v>
      </c>
      <c r="J25" s="163">
        <f t="shared" si="1"/>
        <v>0.38192621793537374</v>
      </c>
      <c r="K25" s="160">
        <f>SUM('2022'!G25:Q25)</f>
        <v>59996494.159999996</v>
      </c>
      <c r="L25" s="161">
        <f t="shared" si="7"/>
        <v>-8058263.6699999943</v>
      </c>
      <c r="M25" s="165">
        <f t="shared" si="2"/>
        <v>-0.13431224245386797</v>
      </c>
      <c r="N25" s="160">
        <f>'2023'!Q25</f>
        <v>5546279.5099999998</v>
      </c>
      <c r="O25" s="160">
        <f>'2023'!Q101</f>
        <v>2865853.2964798021</v>
      </c>
      <c r="P25" s="161">
        <f t="shared" si="6"/>
        <v>2680426.2135201977</v>
      </c>
      <c r="Q25" s="163">
        <f t="shared" si="3"/>
        <v>0.93529777564421424</v>
      </c>
      <c r="R25" s="160">
        <f>'2022'!Q25</f>
        <v>11097392.669999998</v>
      </c>
      <c r="S25" s="161">
        <f t="shared" si="4"/>
        <v>-5551113.1599999983</v>
      </c>
      <c r="T25" s="165">
        <f t="shared" si="5"/>
        <v>-0.50021778313806387</v>
      </c>
      <c r="W25" s="470"/>
      <c r="Y25" s="470"/>
    </row>
    <row r="26" spans="1:25">
      <c r="A26" s="135">
        <v>715</v>
      </c>
      <c r="B26" s="532" t="str">
        <f>+VLOOKUP($A26,Master!$D$30:$G$226,4,FALSE)</f>
        <v>Ostali prihodi</v>
      </c>
      <c r="C26" s="533"/>
      <c r="D26" s="533"/>
      <c r="E26" s="533"/>
      <c r="F26" s="533"/>
      <c r="G26" s="160">
        <f>'2023'!S26</f>
        <v>173076150.17999998</v>
      </c>
      <c r="H26" s="160">
        <f>SUM('2023'!G102:Q102)</f>
        <v>91498964.747996628</v>
      </c>
      <c r="I26" s="161">
        <f t="shared" si="0"/>
        <v>81577185.432003349</v>
      </c>
      <c r="J26" s="163">
        <f t="shared" si="1"/>
        <v>0.89156402650762767</v>
      </c>
      <c r="K26" s="160">
        <f>SUM('2022'!G26:Q26)</f>
        <v>26366391.859999996</v>
      </c>
      <c r="L26" s="161">
        <f t="shared" si="7"/>
        <v>146709758.31999999</v>
      </c>
      <c r="M26" s="165" t="str">
        <f t="shared" si="2"/>
        <v>...</v>
      </c>
      <c r="N26" s="160">
        <f>'2023'!Q26</f>
        <v>15526842.73</v>
      </c>
      <c r="O26" s="160">
        <f>'2023'!Q102</f>
        <v>8762559.2854723595</v>
      </c>
      <c r="P26" s="161">
        <f t="shared" si="6"/>
        <v>6764283.4445276409</v>
      </c>
      <c r="Q26" s="163">
        <f t="shared" si="3"/>
        <v>0.77195294481399923</v>
      </c>
      <c r="R26" s="160">
        <f>'2022'!Q26</f>
        <v>3172754.72</v>
      </c>
      <c r="S26" s="161">
        <f t="shared" si="4"/>
        <v>12354088.01</v>
      </c>
      <c r="T26" s="165" t="str">
        <f t="shared" si="5"/>
        <v>...</v>
      </c>
      <c r="W26" s="470"/>
      <c r="Y26" s="470"/>
    </row>
    <row r="27" spans="1:25">
      <c r="A27" s="135">
        <v>73</v>
      </c>
      <c r="B27" s="532" t="str">
        <f>+VLOOKUP($A27,Master!$D$30:$G$226,4,FALSE)</f>
        <v>Primici od otplate kredita i sredstva prenesena iz prethodne godine</v>
      </c>
      <c r="C27" s="533"/>
      <c r="D27" s="533"/>
      <c r="E27" s="533"/>
      <c r="F27" s="533"/>
      <c r="G27" s="160">
        <f>'2023'!S27</f>
        <v>0</v>
      </c>
      <c r="H27" s="160">
        <f>SUM('2023'!G103:Q103)</f>
        <v>7595852.4582959246</v>
      </c>
      <c r="I27" s="161">
        <f t="shared" si="0"/>
        <v>-7595852.4582959246</v>
      </c>
      <c r="J27" s="163">
        <f t="shared" si="1"/>
        <v>-1</v>
      </c>
      <c r="K27" s="160">
        <f>SUM('2022'!G27:Q27)</f>
        <v>0</v>
      </c>
      <c r="L27" s="161">
        <f t="shared" si="7"/>
        <v>0</v>
      </c>
      <c r="M27" s="165" t="str">
        <f t="shared" si="2"/>
        <v>...</v>
      </c>
      <c r="N27" s="160">
        <f>'2023'!Q27</f>
        <v>0</v>
      </c>
      <c r="O27" s="160">
        <f>'2023'!Q103</f>
        <v>1703592.4757162347</v>
      </c>
      <c r="P27" s="161">
        <f t="shared" si="6"/>
        <v>-1703592.4757162347</v>
      </c>
      <c r="Q27" s="163">
        <f t="shared" si="3"/>
        <v>-1</v>
      </c>
      <c r="R27" s="160">
        <f>'2022'!Q27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534" t="str">
        <f>+VLOOKUP($A28,Master!$D$30:$G$226,4,FALSE)</f>
        <v>Donacije i transferi</v>
      </c>
      <c r="C28" s="535"/>
      <c r="D28" s="535"/>
      <c r="E28" s="535"/>
      <c r="F28" s="535"/>
      <c r="G28" s="160">
        <f>'2023'!S28</f>
        <v>57730764.290000014</v>
      </c>
      <c r="H28" s="160">
        <f>SUM('2023'!G104:Q104)</f>
        <v>38229675.182222225</v>
      </c>
      <c r="I28" s="161">
        <f t="shared" si="0"/>
        <v>19501089.107777789</v>
      </c>
      <c r="J28" s="163">
        <f t="shared" si="1"/>
        <v>0.51010344751362924</v>
      </c>
      <c r="K28" s="160">
        <f>SUM('2022'!G28:Q28)</f>
        <v>28776005.620000001</v>
      </c>
      <c r="L28" s="161">
        <f t="shared" si="7"/>
        <v>28954758.670000013</v>
      </c>
      <c r="M28" s="165">
        <f t="shared" si="2"/>
        <v>1.0062118784782199</v>
      </c>
      <c r="N28" s="160">
        <f>'2023'!Q28</f>
        <v>1976608.38</v>
      </c>
      <c r="O28" s="160">
        <f>'2023'!Q104</f>
        <v>3153709.3977777776</v>
      </c>
      <c r="P28" s="161">
        <f t="shared" si="6"/>
        <v>-1177101.0177777777</v>
      </c>
      <c r="Q28" s="163">
        <f t="shared" si="3"/>
        <v>-0.37324333643651741</v>
      </c>
      <c r="R28" s="160">
        <f>'2022'!Q28</f>
        <v>2743986.29</v>
      </c>
      <c r="S28" s="161">
        <f t="shared" si="4"/>
        <v>-767377.91000000015</v>
      </c>
      <c r="T28" s="165">
        <f t="shared" si="5"/>
        <v>-0.27965807001171283</v>
      </c>
      <c r="W28" s="470"/>
      <c r="Y28" s="470"/>
    </row>
    <row r="29" spans="1:25" ht="15.75" thickBot="1">
      <c r="A29" s="135">
        <v>4</v>
      </c>
      <c r="B29" s="520" t="str">
        <f>+VLOOKUP($A29,Master!$D$30:$G$226,4,FALSE)</f>
        <v>Izdaci budžeta</v>
      </c>
      <c r="C29" s="521"/>
      <c r="D29" s="521"/>
      <c r="E29" s="521"/>
      <c r="F29" s="521"/>
      <c r="G29" s="136">
        <f>'2023'!S29</f>
        <v>2154205591.8899999</v>
      </c>
      <c r="H29" s="136">
        <f>SUM('2023'!G105:Q105)</f>
        <v>2276872467.9000001</v>
      </c>
      <c r="I29" s="137">
        <f t="shared" si="0"/>
        <v>-122666876.01000023</v>
      </c>
      <c r="J29" s="139">
        <f t="shared" si="1"/>
        <v>-5.3875163294999195E-2</v>
      </c>
      <c r="K29" s="136">
        <f>SUM('2022'!G29:Q29)</f>
        <v>1876441422.4499998</v>
      </c>
      <c r="L29" s="137">
        <f t="shared" si="7"/>
        <v>277764169.44000006</v>
      </c>
      <c r="M29" s="141">
        <f t="shared" si="2"/>
        <v>0.14802709326110142</v>
      </c>
      <c r="N29" s="136">
        <f>'2023'!Q29</f>
        <v>214056199.77000001</v>
      </c>
      <c r="O29" s="136">
        <f>'2023'!Q105</f>
        <v>215801622.55000001</v>
      </c>
      <c r="P29" s="137">
        <f t="shared" si="6"/>
        <v>-1745422.7800000012</v>
      </c>
      <c r="Q29" s="139">
        <f t="shared" si="3"/>
        <v>-8.0880892338777155E-3</v>
      </c>
      <c r="R29" s="136">
        <f>'2022'!Q29</f>
        <v>201134206.55999997</v>
      </c>
      <c r="S29" s="137">
        <f t="shared" si="4"/>
        <v>12921993.210000038</v>
      </c>
      <c r="T29" s="141">
        <f t="shared" si="5"/>
        <v>6.4245626992071703E-2</v>
      </c>
      <c r="W29" s="470"/>
      <c r="Y29" s="470"/>
    </row>
    <row r="30" spans="1:25">
      <c r="A30" s="135">
        <v>41</v>
      </c>
      <c r="B30" s="538" t="str">
        <f>+VLOOKUP($A30,Master!$D$30:$G$226,4,FALSE)</f>
        <v>Tekući izdaci</v>
      </c>
      <c r="C30" s="539"/>
      <c r="D30" s="539"/>
      <c r="E30" s="539"/>
      <c r="F30" s="539"/>
      <c r="G30" s="294">
        <f>'2023'!S30</f>
        <v>909098121.91999984</v>
      </c>
      <c r="H30" s="294">
        <f>SUM('2023'!G106:Q106)</f>
        <v>941516664.58999991</v>
      </c>
      <c r="I30" s="173">
        <f t="shared" si="0"/>
        <v>-32418542.670000076</v>
      </c>
      <c r="J30" s="175">
        <f t="shared" si="1"/>
        <v>-3.4432255837040682E-2</v>
      </c>
      <c r="K30" s="294">
        <f>SUM('2022'!G30:Q30)</f>
        <v>763350366.23000002</v>
      </c>
      <c r="L30" s="173">
        <f t="shared" si="7"/>
        <v>145747755.68999982</v>
      </c>
      <c r="M30" s="177">
        <f t="shared" si="2"/>
        <v>0.19093166406641315</v>
      </c>
      <c r="N30" s="294">
        <f>'2023'!Q30</f>
        <v>92941177.74000001</v>
      </c>
      <c r="O30" s="294">
        <f>'2023'!Q106</f>
        <v>91854698.299999997</v>
      </c>
      <c r="P30" s="173">
        <f t="shared" si="6"/>
        <v>1086479.4400000125</v>
      </c>
      <c r="Q30" s="175">
        <f t="shared" si="3"/>
        <v>1.1828240254532663E-2</v>
      </c>
      <c r="R30" s="294">
        <f>'2022'!Q30</f>
        <v>81383041.340000004</v>
      </c>
      <c r="S30" s="173">
        <f t="shared" si="4"/>
        <v>11558136.400000006</v>
      </c>
      <c r="T30" s="177">
        <f t="shared" si="5"/>
        <v>0.14202143603496853</v>
      </c>
      <c r="W30" s="470"/>
      <c r="Y30" s="470"/>
    </row>
    <row r="31" spans="1:25">
      <c r="A31" s="135">
        <v>411</v>
      </c>
      <c r="B31" s="530" t="str">
        <f>+VLOOKUP($A31,Master!$D$30:$G$226,4,FALSE)</f>
        <v>Bruto zarade i doprinosi na teret poslodavca</v>
      </c>
      <c r="C31" s="531"/>
      <c r="D31" s="531"/>
      <c r="E31" s="531"/>
      <c r="F31" s="531"/>
      <c r="G31" s="148">
        <f>'2023'!S31</f>
        <v>579371381.17999983</v>
      </c>
      <c r="H31" s="148">
        <f>SUM('2023'!G107:Q107)</f>
        <v>563335054.95000005</v>
      </c>
      <c r="I31" s="149">
        <f t="shared" si="0"/>
        <v>16036326.229999781</v>
      </c>
      <c r="J31" s="151">
        <f t="shared" si="1"/>
        <v>2.8466764297888636E-2</v>
      </c>
      <c r="K31" s="148">
        <f>SUM('2022'!G31:Q31)</f>
        <v>488378747.17000002</v>
      </c>
      <c r="L31" s="149">
        <f t="shared" si="7"/>
        <v>90992634.009999812</v>
      </c>
      <c r="M31" s="153">
        <f t="shared" si="2"/>
        <v>0.18631571201096131</v>
      </c>
      <c r="N31" s="148">
        <f>'2023'!Q31</f>
        <v>53265568.850000001</v>
      </c>
      <c r="O31" s="148">
        <f>'2023'!Q107</f>
        <v>51907184.879999995</v>
      </c>
      <c r="P31" s="149">
        <f>+N31-O31</f>
        <v>1358383.9700000063</v>
      </c>
      <c r="Q31" s="151">
        <f>IF(+IF(ISERROR(N31/O31),"…",N31/O31-1)&gt;200%,"...",IF(ISERROR(N31/O31),"…",N31/O31-1))</f>
        <v>2.616947871745201E-2</v>
      </c>
      <c r="R31" s="148">
        <f>'2022'!Q31</f>
        <v>43561451.509999998</v>
      </c>
      <c r="S31" s="149">
        <f t="shared" si="4"/>
        <v>9704117.3400000036</v>
      </c>
      <c r="T31" s="153">
        <f t="shared" si="5"/>
        <v>0.22276845705594361</v>
      </c>
      <c r="W31" s="470"/>
      <c r="Y31" s="470"/>
    </row>
    <row r="32" spans="1:25">
      <c r="A32" s="135">
        <v>412</v>
      </c>
      <c r="B32" s="530" t="str">
        <f>+VLOOKUP($A32,Master!$D$30:$G$226,4,FALSE)</f>
        <v>Ostala lična primanja</v>
      </c>
      <c r="C32" s="531"/>
      <c r="D32" s="531"/>
      <c r="E32" s="531"/>
      <c r="F32" s="531"/>
      <c r="G32" s="148">
        <f>'2023'!S32</f>
        <v>15521356.789999999</v>
      </c>
      <c r="H32" s="148">
        <f>SUM('2023'!G108:Q108)</f>
        <v>17583358.739999998</v>
      </c>
      <c r="I32" s="149">
        <f t="shared" si="0"/>
        <v>-2062001.9499999993</v>
      </c>
      <c r="J32" s="151">
        <f t="shared" si="1"/>
        <v>-0.11727008363363456</v>
      </c>
      <c r="K32" s="148">
        <f>SUM('2022'!G32:Q32)</f>
        <v>14570374.409999998</v>
      </c>
      <c r="L32" s="149">
        <f t="shared" si="7"/>
        <v>950982.38000000082</v>
      </c>
      <c r="M32" s="153">
        <f t="shared" si="2"/>
        <v>6.5268218457537941E-2</v>
      </c>
      <c r="N32" s="148">
        <f>'2023'!Q32</f>
        <v>1512560.2500000005</v>
      </c>
      <c r="O32" s="148">
        <f>'2023'!Q108</f>
        <v>1850540.7499999998</v>
      </c>
      <c r="P32" s="149">
        <f t="shared" si="6"/>
        <v>-337980.4999999993</v>
      </c>
      <c r="Q32" s="151">
        <f t="shared" si="3"/>
        <v>-0.18263877734116329</v>
      </c>
      <c r="R32" s="148">
        <f>'2022'!Q32</f>
        <v>1581314.76</v>
      </c>
      <c r="S32" s="149">
        <f t="shared" si="4"/>
        <v>-68754.509999999544</v>
      </c>
      <c r="T32" s="153">
        <f t="shared" si="5"/>
        <v>-4.3479332349999456E-2</v>
      </c>
      <c r="W32" s="470"/>
      <c r="Y32" s="470"/>
    </row>
    <row r="33" spans="1:25">
      <c r="A33" s="135">
        <v>413</v>
      </c>
      <c r="B33" s="530" t="str">
        <f>+VLOOKUP($A33,Master!$D$30:$G$226,4,FALSE)</f>
        <v>Rashodi za materijal</v>
      </c>
      <c r="C33" s="531"/>
      <c r="D33" s="531"/>
      <c r="E33" s="531"/>
      <c r="F33" s="531"/>
      <c r="G33" s="148">
        <f>'2023'!S33</f>
        <v>34233919.579999998</v>
      </c>
      <c r="H33" s="148">
        <f>SUM('2023'!G109:Q109)</f>
        <v>49920795.299999997</v>
      </c>
      <c r="I33" s="149">
        <f t="shared" si="0"/>
        <v>-15686875.719999999</v>
      </c>
      <c r="J33" s="151">
        <f t="shared" si="1"/>
        <v>-0.31423529264166195</v>
      </c>
      <c r="K33" s="148">
        <f>SUM('2022'!G33:Q33)</f>
        <v>29263456.539999999</v>
      </c>
      <c r="L33" s="149">
        <f t="shared" si="7"/>
        <v>4970463.0399999991</v>
      </c>
      <c r="M33" s="153">
        <f t="shared" si="2"/>
        <v>0.16985221937831962</v>
      </c>
      <c r="N33" s="148">
        <f>'2023'!Q33</f>
        <v>3119936.27</v>
      </c>
      <c r="O33" s="148">
        <f>'2023'!Q109</f>
        <v>4526021.2399999993</v>
      </c>
      <c r="P33" s="149">
        <f t="shared" si="6"/>
        <v>-1406084.9699999993</v>
      </c>
      <c r="Q33" s="151">
        <f t="shared" si="3"/>
        <v>-0.31066689603073971</v>
      </c>
      <c r="R33" s="148">
        <f>'2022'!Q33</f>
        <v>3643902.52</v>
      </c>
      <c r="S33" s="149">
        <f t="shared" si="4"/>
        <v>-523966.25</v>
      </c>
      <c r="T33" s="153">
        <f t="shared" si="5"/>
        <v>-0.14379260891973589</v>
      </c>
      <c r="W33" s="470"/>
      <c r="Y33" s="470"/>
    </row>
    <row r="34" spans="1:25">
      <c r="A34" s="135">
        <v>414</v>
      </c>
      <c r="B34" s="530" t="str">
        <f>+VLOOKUP($A34,Master!$D$30:$G$226,4,FALSE)</f>
        <v>Rashodi za usluge</v>
      </c>
      <c r="C34" s="531"/>
      <c r="D34" s="531"/>
      <c r="E34" s="531"/>
      <c r="F34" s="531"/>
      <c r="G34" s="148">
        <f>'2023'!S34</f>
        <v>55931485.059999987</v>
      </c>
      <c r="H34" s="148">
        <f>SUM('2023'!G110:Q110)</f>
        <v>60584900.649999961</v>
      </c>
      <c r="I34" s="149">
        <f t="shared" si="0"/>
        <v>-4653415.5899999738</v>
      </c>
      <c r="J34" s="151">
        <f t="shared" si="1"/>
        <v>-7.6808173985178918E-2</v>
      </c>
      <c r="K34" s="148">
        <f>SUM('2022'!G34:Q34)</f>
        <v>48835093.780000001</v>
      </c>
      <c r="L34" s="149">
        <f t="shared" si="7"/>
        <v>7096391.2799999863</v>
      </c>
      <c r="M34" s="153">
        <f t="shared" si="2"/>
        <v>0.14531335420320723</v>
      </c>
      <c r="N34" s="148">
        <f>'2023'!Q34</f>
        <v>4560503.3</v>
      </c>
      <c r="O34" s="148">
        <f>'2023'!Q110</f>
        <v>6109468.629999999</v>
      </c>
      <c r="P34" s="149">
        <f t="shared" si="6"/>
        <v>-1548965.3299999991</v>
      </c>
      <c r="Q34" s="151">
        <f t="shared" si="3"/>
        <v>-0.25353519656258539</v>
      </c>
      <c r="R34" s="148">
        <f>'2022'!Q34</f>
        <v>8318592.5099999998</v>
      </c>
      <c r="S34" s="149">
        <f t="shared" si="4"/>
        <v>-3758089.21</v>
      </c>
      <c r="T34" s="153">
        <f t="shared" si="5"/>
        <v>-0.45176984032843315</v>
      </c>
      <c r="W34" s="470"/>
      <c r="Y34" s="470"/>
    </row>
    <row r="35" spans="1:25">
      <c r="A35" s="135">
        <v>415</v>
      </c>
      <c r="B35" s="530" t="str">
        <f>+VLOOKUP($A35,Master!$D$30:$G$226,4,FALSE)</f>
        <v>Rashodi za tekuće održavanje</v>
      </c>
      <c r="C35" s="531"/>
      <c r="D35" s="531"/>
      <c r="E35" s="531"/>
      <c r="F35" s="531"/>
      <c r="G35" s="148">
        <f>'2023'!S35</f>
        <v>21803949.27</v>
      </c>
      <c r="H35" s="148">
        <f>SUM('2023'!G111:Q111)</f>
        <v>32370751.400000002</v>
      </c>
      <c r="I35" s="149">
        <f t="shared" si="0"/>
        <v>-10566802.130000003</v>
      </c>
      <c r="J35" s="151">
        <f t="shared" si="1"/>
        <v>-0.32643054834989105</v>
      </c>
      <c r="K35" s="148">
        <f>SUM('2022'!G35:Q35)</f>
        <v>18963749.210000001</v>
      </c>
      <c r="L35" s="149">
        <f t="shared" si="7"/>
        <v>2840200.0599999987</v>
      </c>
      <c r="M35" s="153">
        <f t="shared" si="2"/>
        <v>0.14976996523990627</v>
      </c>
      <c r="N35" s="148">
        <f>'2023'!Q35</f>
        <v>1422107.5499999998</v>
      </c>
      <c r="O35" s="148">
        <f>'2023'!Q111</f>
        <v>3371550.8900000006</v>
      </c>
      <c r="P35" s="149">
        <f t="shared" si="6"/>
        <v>-1949443.3400000008</v>
      </c>
      <c r="Q35" s="151">
        <f t="shared" si="3"/>
        <v>-0.57820374172077238</v>
      </c>
      <c r="R35" s="148">
        <f>'2022'!Q35</f>
        <v>2416100.75</v>
      </c>
      <c r="S35" s="149">
        <f t="shared" si="4"/>
        <v>-993993.20000000019</v>
      </c>
      <c r="T35" s="153">
        <f t="shared" si="5"/>
        <v>-0.4114038704718751</v>
      </c>
      <c r="W35" s="470"/>
      <c r="Y35" s="470"/>
    </row>
    <row r="36" spans="1:25">
      <c r="A36" s="135">
        <v>416</v>
      </c>
      <c r="B36" s="530" t="str">
        <f>+VLOOKUP($A36,Master!$D$30:$G$226,4,FALSE)</f>
        <v>Kamate</v>
      </c>
      <c r="C36" s="531"/>
      <c r="D36" s="531"/>
      <c r="E36" s="531"/>
      <c r="F36" s="531"/>
      <c r="G36" s="148">
        <f>'2023'!S36</f>
        <v>98120740.940000013</v>
      </c>
      <c r="H36" s="148">
        <f>SUM('2023'!G112:Q112)</f>
        <v>86186700.290000007</v>
      </c>
      <c r="I36" s="149">
        <f t="shared" si="0"/>
        <v>11934040.650000006</v>
      </c>
      <c r="J36" s="151">
        <f t="shared" si="1"/>
        <v>0.13846731119586297</v>
      </c>
      <c r="K36" s="148">
        <f>SUM('2022'!G36:Q36)</f>
        <v>68850350.930000007</v>
      </c>
      <c r="L36" s="149">
        <f t="shared" si="7"/>
        <v>29270390.010000005</v>
      </c>
      <c r="M36" s="153">
        <f t="shared" si="2"/>
        <v>0.42513058560528094</v>
      </c>
      <c r="N36" s="148">
        <f>'2023'!Q36</f>
        <v>16506464.790000001</v>
      </c>
      <c r="O36" s="148">
        <f>'2023'!Q112</f>
        <v>8831135.459999999</v>
      </c>
      <c r="P36" s="149">
        <f t="shared" si="6"/>
        <v>7675329.3300000019</v>
      </c>
      <c r="Q36" s="151">
        <f t="shared" si="3"/>
        <v>0.86912145836340771</v>
      </c>
      <c r="R36" s="148">
        <f>'2022'!Q36</f>
        <v>10248475.539999999</v>
      </c>
      <c r="S36" s="149">
        <f t="shared" si="4"/>
        <v>6257989.2500000019</v>
      </c>
      <c r="T36" s="153">
        <f t="shared" si="5"/>
        <v>0.61062635370255292</v>
      </c>
      <c r="W36" s="470"/>
      <c r="Y36" s="470"/>
    </row>
    <row r="37" spans="1:25">
      <c r="A37" s="135">
        <v>417</v>
      </c>
      <c r="B37" s="530" t="str">
        <f>+VLOOKUP($A37,Master!$D$30:$G$226,4,FALSE)</f>
        <v>Renta</v>
      </c>
      <c r="C37" s="531"/>
      <c r="D37" s="531"/>
      <c r="E37" s="531"/>
      <c r="F37" s="531"/>
      <c r="G37" s="148">
        <f>'2023'!S37</f>
        <v>9336087.3700000029</v>
      </c>
      <c r="H37" s="148">
        <f>SUM('2023'!G113:Q113)</f>
        <v>11086671.549999997</v>
      </c>
      <c r="I37" s="149">
        <f t="shared" si="0"/>
        <v>-1750584.1799999941</v>
      </c>
      <c r="J37" s="151">
        <f t="shared" si="1"/>
        <v>-0.15789988655341691</v>
      </c>
      <c r="K37" s="148">
        <f>SUM('2022'!G37:Q37)</f>
        <v>9145381.5100000016</v>
      </c>
      <c r="L37" s="149">
        <f t="shared" si="7"/>
        <v>190705.86000000127</v>
      </c>
      <c r="M37" s="153">
        <f t="shared" si="2"/>
        <v>2.0852695952757516E-2</v>
      </c>
      <c r="N37" s="148">
        <f>'2023'!Q37</f>
        <v>625555.81000000041</v>
      </c>
      <c r="O37" s="148">
        <f>'2023'!Q113</f>
        <v>1121692.7700000003</v>
      </c>
      <c r="P37" s="149">
        <f t="shared" si="6"/>
        <v>-496136.95999999985</v>
      </c>
      <c r="Q37" s="151">
        <f t="shared" si="3"/>
        <v>-0.44231091905852238</v>
      </c>
      <c r="R37" s="148">
        <f>'2022'!Q37</f>
        <v>1037480.69</v>
      </c>
      <c r="S37" s="149">
        <f t="shared" si="4"/>
        <v>-411924.87999999954</v>
      </c>
      <c r="T37" s="153">
        <f t="shared" si="5"/>
        <v>-0.39704341870690585</v>
      </c>
      <c r="W37" s="470"/>
      <c r="Y37" s="470"/>
    </row>
    <row r="38" spans="1:25">
      <c r="A38" s="135">
        <v>418</v>
      </c>
      <c r="B38" s="530" t="str">
        <f>+VLOOKUP($A38,Master!$D$30:$G$226,4,FALSE)</f>
        <v>Subvencije</v>
      </c>
      <c r="C38" s="531"/>
      <c r="D38" s="531"/>
      <c r="E38" s="531"/>
      <c r="F38" s="531"/>
      <c r="G38" s="148">
        <f>'2023'!S38</f>
        <v>52643641.68</v>
      </c>
      <c r="H38" s="148">
        <f>SUM('2023'!G114:Q114)</f>
        <v>56180872.980000004</v>
      </c>
      <c r="I38" s="149">
        <f t="shared" si="0"/>
        <v>-3537231.3000000045</v>
      </c>
      <c r="J38" s="151">
        <f t="shared" si="1"/>
        <v>-6.2961486932736621E-2</v>
      </c>
      <c r="K38" s="148">
        <f>SUM('2022'!G38:Q38)</f>
        <v>49028237.700000003</v>
      </c>
      <c r="L38" s="149">
        <f t="shared" si="7"/>
        <v>3615403.9799999967</v>
      </c>
      <c r="M38" s="153">
        <f t="shared" si="2"/>
        <v>7.3741259111175461E-2</v>
      </c>
      <c r="N38" s="148">
        <f>'2023'!Q38</f>
        <v>8099742.5000000009</v>
      </c>
      <c r="O38" s="148">
        <f>'2023'!Q114</f>
        <v>4841792.9800000004</v>
      </c>
      <c r="P38" s="149">
        <f t="shared" si="6"/>
        <v>3257949.5200000005</v>
      </c>
      <c r="Q38" s="151">
        <f t="shared" si="3"/>
        <v>0.67288079714634974</v>
      </c>
      <c r="R38" s="148">
        <f>'2022'!Q38</f>
        <v>6635735.6500000004</v>
      </c>
      <c r="S38" s="149">
        <f t="shared" si="4"/>
        <v>1464006.8500000006</v>
      </c>
      <c r="T38" s="153">
        <f t="shared" si="5"/>
        <v>0.22062464920524683</v>
      </c>
      <c r="W38" s="470"/>
      <c r="Y38" s="470"/>
    </row>
    <row r="39" spans="1:25">
      <c r="A39" s="135">
        <v>419</v>
      </c>
      <c r="B39" s="530" t="str">
        <f>+VLOOKUP($A39,Master!$D$30:$G$226,4,FALSE)</f>
        <v>Ostali izdaci</v>
      </c>
      <c r="C39" s="531"/>
      <c r="D39" s="531"/>
      <c r="E39" s="531"/>
      <c r="F39" s="531"/>
      <c r="G39" s="148">
        <f>'2023'!S39</f>
        <v>42135560.050000004</v>
      </c>
      <c r="H39" s="148">
        <f>SUM('2023'!G115:Q115)</f>
        <v>64267558.730000019</v>
      </c>
      <c r="I39" s="149">
        <f t="shared" si="0"/>
        <v>-22131998.680000015</v>
      </c>
      <c r="J39" s="151">
        <f t="shared" si="1"/>
        <v>-0.34437279270215726</v>
      </c>
      <c r="K39" s="148">
        <f>SUM('2022'!G39:Q39)</f>
        <v>36314974.980000004</v>
      </c>
      <c r="L39" s="149">
        <f t="shared" si="7"/>
        <v>5820585.0700000003</v>
      </c>
      <c r="M39" s="153">
        <f t="shared" si="2"/>
        <v>0.16028057497507886</v>
      </c>
      <c r="N39" s="148">
        <f>'2023'!Q39</f>
        <v>3828738.4200000009</v>
      </c>
      <c r="O39" s="148">
        <f>'2023'!Q115</f>
        <v>9295310.6999999993</v>
      </c>
      <c r="P39" s="149">
        <f t="shared" si="6"/>
        <v>-5466572.2799999984</v>
      </c>
      <c r="Q39" s="151">
        <f t="shared" si="3"/>
        <v>-0.58810000616762581</v>
      </c>
      <c r="R39" s="148">
        <f>'2022'!Q39</f>
        <v>3939987.41</v>
      </c>
      <c r="S39" s="149">
        <f t="shared" si="4"/>
        <v>-111248.98999999929</v>
      </c>
      <c r="T39" s="153">
        <f t="shared" si="5"/>
        <v>-2.823587448976117E-2</v>
      </c>
      <c r="W39" s="470"/>
      <c r="Y39" s="470"/>
    </row>
    <row r="40" spans="1:25">
      <c r="A40" s="135">
        <v>42</v>
      </c>
      <c r="B40" s="526" t="str">
        <f>+VLOOKUP($A40,Master!$D$30:$G$226,4,FALSE)</f>
        <v>Transferi za socijalnu zaštitu</v>
      </c>
      <c r="C40" s="527"/>
      <c r="D40" s="527"/>
      <c r="E40" s="527"/>
      <c r="F40" s="527"/>
      <c r="G40" s="178">
        <f>'2023'!S40</f>
        <v>746288771.89999986</v>
      </c>
      <c r="H40" s="178">
        <f>SUM('2023'!G116:Q116)</f>
        <v>718984317.80000007</v>
      </c>
      <c r="I40" s="179">
        <f t="shared" si="0"/>
        <v>27304454.099999785</v>
      </c>
      <c r="J40" s="181">
        <f t="shared" si="1"/>
        <v>3.7976425109726986E-2</v>
      </c>
      <c r="K40" s="178">
        <f>SUM('2022'!G40:Q40)</f>
        <v>596734703.61000001</v>
      </c>
      <c r="L40" s="179">
        <f t="shared" si="7"/>
        <v>149554068.28999984</v>
      </c>
      <c r="M40" s="183">
        <f t="shared" si="2"/>
        <v>0.2506206985872601</v>
      </c>
      <c r="N40" s="178">
        <f>'2023'!Q40</f>
        <v>73224235.459999979</v>
      </c>
      <c r="O40" s="178">
        <f>'2023'!Q116</f>
        <v>66197971.850000009</v>
      </c>
      <c r="P40" s="179">
        <f t="shared" si="6"/>
        <v>7026263.6099999696</v>
      </c>
      <c r="Q40" s="181">
        <f t="shared" si="3"/>
        <v>0.10614016432287365</v>
      </c>
      <c r="R40" s="178">
        <f>'2022'!Q40</f>
        <v>63369274.630000003</v>
      </c>
      <c r="S40" s="179">
        <f t="shared" si="4"/>
        <v>9854960.8299999759</v>
      </c>
      <c r="T40" s="183">
        <f t="shared" si="5"/>
        <v>0.15551639004140472</v>
      </c>
      <c r="W40" s="470"/>
      <c r="Y40" s="470"/>
    </row>
    <row r="41" spans="1:25">
      <c r="A41" s="135">
        <v>421</v>
      </c>
      <c r="B41" s="530" t="str">
        <f>+VLOOKUP($A41,Master!$D$30:$G$226,4,FALSE)</f>
        <v>Prava iz oblasti socijalne zaštite</v>
      </c>
      <c r="C41" s="531"/>
      <c r="D41" s="531"/>
      <c r="E41" s="531"/>
      <c r="F41" s="531"/>
      <c r="G41" s="148">
        <f>'2023'!S41</f>
        <v>191322157.52000001</v>
      </c>
      <c r="H41" s="148">
        <f>SUM('2023'!G117:Q117)</f>
        <v>174311577.30000004</v>
      </c>
      <c r="I41" s="149">
        <f t="shared" si="0"/>
        <v>17010580.219999969</v>
      </c>
      <c r="J41" s="151">
        <f t="shared" si="1"/>
        <v>9.7587208397086567E-2</v>
      </c>
      <c r="K41" s="148">
        <f>SUM('2022'!G41:Q41)</f>
        <v>121094860.91</v>
      </c>
      <c r="L41" s="149">
        <f t="shared" si="7"/>
        <v>70227296.610000014</v>
      </c>
      <c r="M41" s="153">
        <f t="shared" si="2"/>
        <v>0.57993622588322946</v>
      </c>
      <c r="N41" s="148">
        <f>'2023'!Q41</f>
        <v>18268592.150000002</v>
      </c>
      <c r="O41" s="148">
        <f>'2023'!Q117</f>
        <v>15849234.300000001</v>
      </c>
      <c r="P41" s="149">
        <f t="shared" si="6"/>
        <v>2419357.8500000015</v>
      </c>
      <c r="Q41" s="151">
        <f t="shared" si="3"/>
        <v>0.15264824812388578</v>
      </c>
      <c r="R41" s="148">
        <f>'2022'!Q41</f>
        <v>14820839.539999999</v>
      </c>
      <c r="S41" s="149">
        <f t="shared" si="4"/>
        <v>3447752.6100000031</v>
      </c>
      <c r="T41" s="153">
        <f t="shared" si="5"/>
        <v>0.23262869830652</v>
      </c>
      <c r="W41" s="470"/>
      <c r="Y41" s="470"/>
    </row>
    <row r="42" spans="1:25">
      <c r="A42" s="135">
        <v>422</v>
      </c>
      <c r="B42" s="530" t="str">
        <f>+VLOOKUP($A42,Master!$D$30:$G$226,4,FALSE)</f>
        <v>Sredstva za tehnološke viškove</v>
      </c>
      <c r="C42" s="531"/>
      <c r="D42" s="531"/>
      <c r="E42" s="531"/>
      <c r="F42" s="531"/>
      <c r="G42" s="148">
        <f>'2023'!S42</f>
        <v>20340998.719999999</v>
      </c>
      <c r="H42" s="148">
        <f>SUM('2023'!G118:Q118)</f>
        <v>25751714.629999995</v>
      </c>
      <c r="I42" s="149">
        <f t="shared" si="0"/>
        <v>-5410715.9099999964</v>
      </c>
      <c r="J42" s="151">
        <f t="shared" si="1"/>
        <v>-0.21011089893395563</v>
      </c>
      <c r="K42" s="148">
        <f>SUM('2022'!G42:Q42)</f>
        <v>23180247.409999996</v>
      </c>
      <c r="L42" s="149">
        <f t="shared" si="7"/>
        <v>-2839248.6899999976</v>
      </c>
      <c r="M42" s="153">
        <f t="shared" si="2"/>
        <v>-0.12248569395230613</v>
      </c>
      <c r="N42" s="148">
        <f>'2023'!Q42</f>
        <v>1952446.41</v>
      </c>
      <c r="O42" s="148">
        <f>'2023'!Q118</f>
        <v>2859361.33</v>
      </c>
      <c r="P42" s="149">
        <f t="shared" si="6"/>
        <v>-906914.92000000016</v>
      </c>
      <c r="Q42" s="151">
        <f t="shared" si="3"/>
        <v>-0.31717394737236659</v>
      </c>
      <c r="R42" s="148">
        <f>'2022'!Q42</f>
        <v>2185736.61</v>
      </c>
      <c r="S42" s="149">
        <f t="shared" si="4"/>
        <v>-233290.19999999995</v>
      </c>
      <c r="T42" s="153">
        <f t="shared" si="5"/>
        <v>-0.10673298828992939</v>
      </c>
      <c r="W42" s="470"/>
      <c r="Y42" s="470"/>
    </row>
    <row r="43" spans="1:25">
      <c r="A43" s="135">
        <v>423</v>
      </c>
      <c r="B43" s="530" t="str">
        <f>+VLOOKUP($A43,Master!$D$30:$G$226,4,FALSE)</f>
        <v>Prava iz oblasti penzijskog i invalidskog osiguranja</v>
      </c>
      <c r="C43" s="531"/>
      <c r="D43" s="531"/>
      <c r="E43" s="531"/>
      <c r="F43" s="531"/>
      <c r="G43" s="148">
        <f>'2023'!S43</f>
        <v>503827526.00999987</v>
      </c>
      <c r="H43" s="148">
        <f>SUM('2023'!G119:Q119)</f>
        <v>485616025.87000012</v>
      </c>
      <c r="I43" s="149">
        <f t="shared" si="0"/>
        <v>18211500.139999747</v>
      </c>
      <c r="J43" s="151">
        <f t="shared" si="1"/>
        <v>3.7501851606674519E-2</v>
      </c>
      <c r="K43" s="148">
        <f>SUM('2022'!G43:Q43)</f>
        <v>427359087.55999994</v>
      </c>
      <c r="L43" s="149">
        <f t="shared" si="7"/>
        <v>76468438.449999928</v>
      </c>
      <c r="M43" s="153">
        <f t="shared" si="2"/>
        <v>0.17893251992509462</v>
      </c>
      <c r="N43" s="148">
        <f>'2023'!Q43</f>
        <v>49638526.679999977</v>
      </c>
      <c r="O43" s="148">
        <f>'2023'!Q119</f>
        <v>44134376.220000006</v>
      </c>
      <c r="P43" s="149">
        <f t="shared" si="6"/>
        <v>5504150.4599999711</v>
      </c>
      <c r="Q43" s="151">
        <f t="shared" si="3"/>
        <v>0.12471345312694604</v>
      </c>
      <c r="R43" s="148">
        <f>'2022'!Q43</f>
        <v>42921660.460000001</v>
      </c>
      <c r="S43" s="149">
        <f t="shared" si="4"/>
        <v>6716866.2199999765</v>
      </c>
      <c r="T43" s="153">
        <f t="shared" si="5"/>
        <v>0.15649129479181334</v>
      </c>
      <c r="W43" s="470"/>
      <c r="Y43" s="470"/>
    </row>
    <row r="44" spans="1:25">
      <c r="A44" s="135">
        <v>424</v>
      </c>
      <c r="B44" s="530" t="str">
        <f>+VLOOKUP($A44,Master!$D$30:$G$226,4,FALSE)</f>
        <v>Ostala prava iz oblasti zdravstvene zaštite</v>
      </c>
      <c r="C44" s="531"/>
      <c r="D44" s="531"/>
      <c r="E44" s="531"/>
      <c r="F44" s="531"/>
      <c r="G44" s="148">
        <f>'2023'!S44</f>
        <v>17199302.41</v>
      </c>
      <c r="H44" s="148">
        <f>SUM('2023'!G120:Q120)</f>
        <v>19305000</v>
      </c>
      <c r="I44" s="149">
        <f t="shared" si="0"/>
        <v>-2105697.59</v>
      </c>
      <c r="J44" s="151">
        <f t="shared" si="1"/>
        <v>-0.10907524423724424</v>
      </c>
      <c r="K44" s="148">
        <f>SUM('2022'!G44:Q44)</f>
        <v>13480140.91</v>
      </c>
      <c r="L44" s="149">
        <f t="shared" si="7"/>
        <v>3719161.5</v>
      </c>
      <c r="M44" s="153">
        <f t="shared" si="2"/>
        <v>0.27589930437900745</v>
      </c>
      <c r="N44" s="148">
        <f>'2023'!Q44</f>
        <v>1297199.3</v>
      </c>
      <c r="O44" s="148">
        <f>'2023'!Q120</f>
        <v>1755000</v>
      </c>
      <c r="P44" s="149">
        <f t="shared" si="6"/>
        <v>-457800.69999999995</v>
      </c>
      <c r="Q44" s="151">
        <f t="shared" si="3"/>
        <v>-0.26085509971509968</v>
      </c>
      <c r="R44" s="148">
        <f>'2022'!Q44</f>
        <v>1655544.57</v>
      </c>
      <c r="S44" s="149">
        <f t="shared" si="4"/>
        <v>-358345.27</v>
      </c>
      <c r="T44" s="153">
        <f t="shared" si="5"/>
        <v>-0.21645159936708924</v>
      </c>
      <c r="W44" s="470"/>
      <c r="Y44" s="470"/>
    </row>
    <row r="45" spans="1:25">
      <c r="A45" s="135">
        <v>425</v>
      </c>
      <c r="B45" s="530" t="str">
        <f>+VLOOKUP($A45,Master!$D$30:$G$226,4,FALSE)</f>
        <v>Ostala prava iz zdravstvenog osiguranja</v>
      </c>
      <c r="C45" s="531"/>
      <c r="D45" s="531"/>
      <c r="E45" s="531"/>
      <c r="F45" s="531"/>
      <c r="G45" s="148">
        <f>'2023'!S45</f>
        <v>13598787.24</v>
      </c>
      <c r="H45" s="148">
        <f>SUM('2023'!G121:Q121)</f>
        <v>14000000</v>
      </c>
      <c r="I45" s="149">
        <f t="shared" si="0"/>
        <v>-401212.75999999978</v>
      </c>
      <c r="J45" s="151">
        <f t="shared" si="1"/>
        <v>-2.8658054285714218E-2</v>
      </c>
      <c r="K45" s="148">
        <f>SUM('2022'!G45:Q45)</f>
        <v>11620366.819999998</v>
      </c>
      <c r="L45" s="149">
        <f t="shared" si="7"/>
        <v>1978420.4200000018</v>
      </c>
      <c r="M45" s="153">
        <f t="shared" si="2"/>
        <v>0.17025455828080327</v>
      </c>
      <c r="N45" s="148">
        <f>'2023'!Q45</f>
        <v>2067470.92</v>
      </c>
      <c r="O45" s="148">
        <f>'2023'!Q121</f>
        <v>1600000</v>
      </c>
      <c r="P45" s="149">
        <f t="shared" si="6"/>
        <v>467470.91999999993</v>
      </c>
      <c r="Q45" s="151">
        <f t="shared" si="3"/>
        <v>0.29216932499999992</v>
      </c>
      <c r="R45" s="148">
        <f>'2022'!Q45</f>
        <v>1785493.45</v>
      </c>
      <c r="S45" s="149">
        <f t="shared" si="4"/>
        <v>281977.46999999997</v>
      </c>
      <c r="T45" s="153">
        <f t="shared" si="5"/>
        <v>0.15792691370556411</v>
      </c>
      <c r="W45" s="470"/>
      <c r="Y45" s="470"/>
    </row>
    <row r="46" spans="1:25">
      <c r="A46" s="135">
        <v>43</v>
      </c>
      <c r="B46" s="528" t="str">
        <f>+VLOOKUP($A46,Master!$D$30:$G$226,4,FALSE)</f>
        <v xml:space="preserve">Transferi institucijama, pojedincima, nevladinom i javnom sektoru </v>
      </c>
      <c r="C46" s="529"/>
      <c r="D46" s="529"/>
      <c r="E46" s="529"/>
      <c r="F46" s="529"/>
      <c r="G46" s="160">
        <f>'2023'!S46</f>
        <v>309761595.94</v>
      </c>
      <c r="H46" s="160">
        <f>SUM('2023'!G122:Q122)</f>
        <v>321729751.77000004</v>
      </c>
      <c r="I46" s="161">
        <f t="shared" si="0"/>
        <v>-11968155.830000043</v>
      </c>
      <c r="J46" s="163">
        <f t="shared" si="1"/>
        <v>-3.719940653345577E-2</v>
      </c>
      <c r="K46" s="160">
        <f>SUM('2022'!G46:Q46)</f>
        <v>279107742.28999996</v>
      </c>
      <c r="L46" s="161">
        <f t="shared" si="7"/>
        <v>30653853.650000036</v>
      </c>
      <c r="M46" s="165">
        <f t="shared" si="2"/>
        <v>0.10982803056086454</v>
      </c>
      <c r="N46" s="160">
        <f>'2023'!Q46</f>
        <v>24735752.080000002</v>
      </c>
      <c r="O46" s="160">
        <f>'2023'!Q122</f>
        <v>30458525.310000002</v>
      </c>
      <c r="P46" s="161">
        <f t="shared" si="6"/>
        <v>-5722773.2300000004</v>
      </c>
      <c r="Q46" s="163">
        <f t="shared" si="3"/>
        <v>-0.1878874033379786</v>
      </c>
      <c r="R46" s="160">
        <f>'2022'!Q46</f>
        <v>34250449.609999999</v>
      </c>
      <c r="S46" s="161">
        <f t="shared" si="4"/>
        <v>-9514697.5299999975</v>
      </c>
      <c r="T46" s="165">
        <f t="shared" si="5"/>
        <v>-0.27779774100314347</v>
      </c>
      <c r="W46" s="470"/>
      <c r="Y46" s="470"/>
    </row>
    <row r="47" spans="1:25">
      <c r="A47" s="135">
        <v>44</v>
      </c>
      <c r="B47" s="528" t="str">
        <f>+VLOOKUP($A47,Master!$D$30:$G$226,4,FALSE)</f>
        <v>Kapitalni izdaci</v>
      </c>
      <c r="C47" s="529"/>
      <c r="D47" s="529"/>
      <c r="E47" s="529"/>
      <c r="F47" s="529"/>
      <c r="G47" s="160">
        <f>'2023'!S47</f>
        <v>158348509.91999999</v>
      </c>
      <c r="H47" s="160">
        <f>SUM('2023'!G123:Q123)</f>
        <v>230380402.03999999</v>
      </c>
      <c r="I47" s="161">
        <f t="shared" si="0"/>
        <v>-72031892.120000005</v>
      </c>
      <c r="J47" s="163">
        <f t="shared" si="1"/>
        <v>-0.31266501613055353</v>
      </c>
      <c r="K47" s="160">
        <f>SUM('2022'!G47:Q47)</f>
        <v>183847066.14999998</v>
      </c>
      <c r="L47" s="161">
        <f t="shared" si="7"/>
        <v>-25498556.229999989</v>
      </c>
      <c r="M47" s="165">
        <f t="shared" si="2"/>
        <v>-0.13869438748179874</v>
      </c>
      <c r="N47" s="160">
        <f>'2023'!Q47</f>
        <v>19772821.41</v>
      </c>
      <c r="O47" s="160">
        <f>'2023'!Q123</f>
        <v>21417329.809999999</v>
      </c>
      <c r="P47" s="161">
        <f t="shared" si="6"/>
        <v>-1644508.3999999985</v>
      </c>
      <c r="Q47" s="163">
        <f t="shared" si="3"/>
        <v>-7.6784006904173419E-2</v>
      </c>
      <c r="R47" s="160">
        <f>'2022'!Q47</f>
        <v>20280565.699999999</v>
      </c>
      <c r="S47" s="161">
        <f t="shared" si="4"/>
        <v>-507744.28999999911</v>
      </c>
      <c r="T47" s="165">
        <f t="shared" si="5"/>
        <v>-2.5036002324136275E-2</v>
      </c>
      <c r="W47" s="470"/>
      <c r="Y47" s="470"/>
    </row>
    <row r="48" spans="1:25">
      <c r="A48" s="135">
        <v>451</v>
      </c>
      <c r="B48" s="498" t="str">
        <f>+VLOOKUP($A48,Master!$D$30:$G$226,4,FALSE)</f>
        <v>Pozajmice i krediti</v>
      </c>
      <c r="C48" s="499"/>
      <c r="D48" s="499"/>
      <c r="E48" s="499"/>
      <c r="F48" s="499"/>
      <c r="G48" s="148">
        <f>'2023'!S48</f>
        <v>0</v>
      </c>
      <c r="H48" s="148">
        <f>SUM('2023'!G124:Q124)</f>
        <v>4261607</v>
      </c>
      <c r="I48" s="149">
        <f>G48-H48</f>
        <v>-4261607</v>
      </c>
      <c r="J48" s="266">
        <f t="shared" si="1"/>
        <v>-1</v>
      </c>
      <c r="K48" s="148">
        <f>SUM('2022'!G48:Q48)</f>
        <v>0</v>
      </c>
      <c r="L48" s="263">
        <f t="shared" si="7"/>
        <v>0</v>
      </c>
      <c r="M48" s="475" t="str">
        <f t="shared" si="2"/>
        <v>...</v>
      </c>
      <c r="N48" s="148">
        <f>'2023'!Q48</f>
        <v>0</v>
      </c>
      <c r="O48" s="148">
        <f>'2023'!Q124</f>
        <v>262400</v>
      </c>
      <c r="P48" s="149">
        <f t="shared" si="6"/>
        <v>-262400</v>
      </c>
      <c r="Q48" s="266">
        <f t="shared" si="3"/>
        <v>-1</v>
      </c>
      <c r="R48" s="148">
        <f>'2022'!Q48</f>
        <v>0</v>
      </c>
      <c r="S48" s="263">
        <f>+N48-R48-S58</f>
        <v>572321.46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498" t="str">
        <f>+VLOOKUP($A49,Master!$D$30:$G$226,4,FALSE)</f>
        <v>Rezerve</v>
      </c>
      <c r="C49" s="499"/>
      <c r="D49" s="499"/>
      <c r="E49" s="499"/>
      <c r="F49" s="499"/>
      <c r="G49" s="148">
        <f>'2023'!S49</f>
        <v>12858957.659999998</v>
      </c>
      <c r="H49" s="148">
        <f>SUM('2023'!G125:Q125)</f>
        <v>34927941.590000004</v>
      </c>
      <c r="I49" s="149">
        <f t="shared" ref="I49:I50" si="8">G49-H49</f>
        <v>-22068983.930000007</v>
      </c>
      <c r="J49" s="267">
        <f t="shared" si="1"/>
        <v>-0.63184324427290139</v>
      </c>
      <c r="K49" s="148">
        <f>SUM('2022'!G49:Q49)</f>
        <v>19696617.899999999</v>
      </c>
      <c r="L49" s="264">
        <f t="shared" si="7"/>
        <v>-6837660.2400000002</v>
      </c>
      <c r="M49" s="476">
        <f t="shared" si="2"/>
        <v>-0.34714895088663933</v>
      </c>
      <c r="N49" s="148">
        <f>'2023'!Q49</f>
        <v>67254.600000000006</v>
      </c>
      <c r="O49" s="148">
        <f>'2023'!Q125</f>
        <v>3237333.25</v>
      </c>
      <c r="P49" s="149">
        <f t="shared" si="6"/>
        <v>-3170078.65</v>
      </c>
      <c r="Q49" s="267">
        <f t="shared" si="3"/>
        <v>-0.97922530836144228</v>
      </c>
      <c r="R49" s="148">
        <f>'2022'!Q49</f>
        <v>608587.1</v>
      </c>
      <c r="S49" s="264">
        <f t="shared" si="4"/>
        <v>-541332.5</v>
      </c>
      <c r="T49" s="476">
        <f t="shared" si="5"/>
        <v>-0.88949059222582927</v>
      </c>
      <c r="W49" s="470"/>
      <c r="Y49" s="470"/>
    </row>
    <row r="50" spans="1:25" ht="15.75" thickBot="1">
      <c r="A50" s="135">
        <v>462</v>
      </c>
      <c r="B50" s="516" t="str">
        <f>+VLOOKUP($A50,Master!$D$30:$G$226,4,FALSE)</f>
        <v>Otplata garancija</v>
      </c>
      <c r="C50" s="517"/>
      <c r="D50" s="517"/>
      <c r="E50" s="517"/>
      <c r="F50" s="517"/>
      <c r="G50" s="148">
        <f>'2023'!S50</f>
        <v>2813572.16</v>
      </c>
      <c r="H50" s="148">
        <f>SUM('2023'!G126:Q126)</f>
        <v>1.7599999999999998</v>
      </c>
      <c r="I50" s="149">
        <f t="shared" si="8"/>
        <v>2813570.4000000004</v>
      </c>
      <c r="J50" s="268" t="str">
        <f t="shared" si="1"/>
        <v>...</v>
      </c>
      <c r="K50" s="148">
        <f>SUM('2022'!G50:Q50)</f>
        <v>500000</v>
      </c>
      <c r="L50" s="264">
        <f t="shared" si="7"/>
        <v>2313572.16</v>
      </c>
      <c r="M50" s="477" t="str">
        <f t="shared" si="2"/>
        <v>...</v>
      </c>
      <c r="N50" s="148">
        <f>'2023'!Q50</f>
        <v>0</v>
      </c>
      <c r="O50" s="148">
        <f>'2023'!Q126</f>
        <v>0.16</v>
      </c>
      <c r="P50" s="149">
        <f t="shared" si="6"/>
        <v>-0.16</v>
      </c>
      <c r="Q50" s="268">
        <f t="shared" si="3"/>
        <v>-1</v>
      </c>
      <c r="R50" s="148">
        <f>'2022'!Q50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16" t="str">
        <f>+VLOOKUP($A51,Master!$D$30:$G$226,4,FALSE)</f>
        <v>Otplata obaveza iz prethodnog perioda</v>
      </c>
      <c r="C51" s="517"/>
      <c r="D51" s="517"/>
      <c r="E51" s="517"/>
      <c r="F51" s="517"/>
      <c r="G51" s="295">
        <f>'2023'!S51</f>
        <v>15036062.390000001</v>
      </c>
      <c r="H51" s="295">
        <f>SUM('2023'!G127:Q127)</f>
        <v>25071781.350000054</v>
      </c>
      <c r="I51" s="265">
        <f>G51-H51</f>
        <v>-10035718.960000053</v>
      </c>
      <c r="J51" s="269">
        <f t="shared" si="1"/>
        <v>-0.40027945441539325</v>
      </c>
      <c r="K51" s="295">
        <f>SUM('2022'!G51:Q51)</f>
        <v>33204926.269999996</v>
      </c>
      <c r="L51" s="271">
        <f t="shared" si="7"/>
        <v>-18168863.879999995</v>
      </c>
      <c r="M51" s="478">
        <f t="shared" si="2"/>
        <v>-0.54717374561422261</v>
      </c>
      <c r="N51" s="295">
        <f>'2023'!Q51</f>
        <v>3314958.48</v>
      </c>
      <c r="O51" s="295">
        <f>'2023'!Q127</f>
        <v>2373363.8700000048</v>
      </c>
      <c r="P51" s="265">
        <f>N51-O51</f>
        <v>941594.60999999521</v>
      </c>
      <c r="Q51" s="269">
        <f t="shared" si="3"/>
        <v>0.39673419735676396</v>
      </c>
      <c r="R51" s="295">
        <f>'2022'!Q51</f>
        <v>1242288.18</v>
      </c>
      <c r="S51" s="271">
        <f>+N51-R51</f>
        <v>2072670.3</v>
      </c>
      <c r="T51" s="478">
        <f t="shared" si="5"/>
        <v>1.6684295426524947</v>
      </c>
      <c r="W51" s="470"/>
      <c r="Y51" s="470"/>
    </row>
    <row r="52" spans="1:25" ht="15.75" thickBot="1">
      <c r="A52" s="129">
        <v>1005</v>
      </c>
      <c r="B52" s="516" t="str">
        <f>+VLOOKUP($A52,Master!$D$30:$G$228,4,FALSE)</f>
        <v>Neto povećanje obaveza</v>
      </c>
      <c r="C52" s="517"/>
      <c r="D52" s="517"/>
      <c r="E52" s="517"/>
      <c r="F52" s="517"/>
      <c r="G52" s="148">
        <f>'2023'!S52</f>
        <v>0</v>
      </c>
      <c r="H52" s="148">
        <f>SUM('2023'!G128:Q128)</f>
        <v>0</v>
      </c>
      <c r="I52" s="265">
        <f>G52-H52</f>
        <v>0</v>
      </c>
      <c r="J52" s="269" t="str">
        <f t="shared" si="1"/>
        <v>...</v>
      </c>
      <c r="K52" s="148">
        <f>SUM('2022'!G52:Q52)</f>
        <v>0</v>
      </c>
      <c r="L52" s="271">
        <f t="shared" si="7"/>
        <v>0</v>
      </c>
      <c r="M52" s="478" t="str">
        <f t="shared" si="2"/>
        <v>...</v>
      </c>
      <c r="N52" s="148">
        <f>'2023'!Q52</f>
        <v>0</v>
      </c>
      <c r="O52" s="148">
        <f>'2023'!Q128</f>
        <v>0</v>
      </c>
      <c r="P52" s="265">
        <f>N52-O52</f>
        <v>0</v>
      </c>
      <c r="Q52" s="269" t="str">
        <f t="shared" si="3"/>
        <v>...</v>
      </c>
      <c r="R52" s="148">
        <f>'2022'!Q52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22" t="str">
        <f>+VLOOKUP($A53,Master!$D$30:$G$226,4,FALSE)</f>
        <v>Suficit / deficit</v>
      </c>
      <c r="C53" s="523"/>
      <c r="D53" s="523"/>
      <c r="E53" s="523"/>
      <c r="F53" s="523"/>
      <c r="G53" s="136">
        <f>'2023'!S53</f>
        <v>158504546.83000037</v>
      </c>
      <c r="H53" s="136">
        <f>SUM('2023'!G129:Q129)</f>
        <v>-355999995.3375057</v>
      </c>
      <c r="I53" s="299">
        <f>+G53-H53</f>
        <v>514504542.1675061</v>
      </c>
      <c r="J53" s="270">
        <f t="shared" si="1"/>
        <v>-1.445237496926735</v>
      </c>
      <c r="K53" s="136">
        <f>SUM('2022'!G53:Q53)</f>
        <v>-99404915.449999973</v>
      </c>
      <c r="L53" s="272">
        <f t="shared" si="7"/>
        <v>257909462.28000033</v>
      </c>
      <c r="M53" s="479">
        <f t="shared" si="2"/>
        <v>-2.5945342955371973</v>
      </c>
      <c r="N53" s="136">
        <f>'2023'!Q53</f>
        <v>-25177519.550000012</v>
      </c>
      <c r="O53" s="136">
        <f>'2023'!Q129</f>
        <v>-46834285.210350275</v>
      </c>
      <c r="P53" s="299">
        <f>N53-O53</f>
        <v>21656765.660350263</v>
      </c>
      <c r="Q53" s="270">
        <f t="shared" si="3"/>
        <v>-0.4624126441362697</v>
      </c>
      <c r="R53" s="136">
        <f>'2022'!Q53</f>
        <v>-39654274.559999973</v>
      </c>
      <c r="S53" s="272">
        <f t="shared" si="4"/>
        <v>14476755.009999961</v>
      </c>
      <c r="T53" s="479">
        <f t="shared" si="5"/>
        <v>-0.36507426174435531</v>
      </c>
      <c r="W53" s="470"/>
      <c r="Y53" s="470"/>
    </row>
    <row r="54" spans="1:25" ht="15.75" thickBot="1">
      <c r="A54" s="129">
        <v>1001</v>
      </c>
      <c r="B54" s="524" t="str">
        <f>+VLOOKUP($A54,Master!$D$30:$G$226,4,FALSE)</f>
        <v>Primarni suficit/deficit</v>
      </c>
      <c r="C54" s="525"/>
      <c r="D54" s="525"/>
      <c r="E54" s="525"/>
      <c r="F54" s="525"/>
      <c r="G54" s="136">
        <f>'2023'!S54</f>
        <v>256625287.77000034</v>
      </c>
      <c r="H54" s="136">
        <f>SUM('2023'!G130:Q130)</f>
        <v>-269813295.04750562</v>
      </c>
      <c r="I54" s="191">
        <f t="shared" si="0"/>
        <v>526438582.81750596</v>
      </c>
      <c r="J54" s="193">
        <f t="shared" si="1"/>
        <v>-1.9511217292862337</v>
      </c>
      <c r="K54" s="136">
        <f>SUM('2022'!G54:Q54)</f>
        <v>-30554564.519999973</v>
      </c>
      <c r="L54" s="191">
        <f t="shared" si="7"/>
        <v>287179852.29000032</v>
      </c>
      <c r="M54" s="195">
        <f t="shared" si="2"/>
        <v>-9.3989181911600213</v>
      </c>
      <c r="N54" s="136">
        <f>'2023'!Q54</f>
        <v>-8671054.760000011</v>
      </c>
      <c r="O54" s="136">
        <f>'2023'!Q130</f>
        <v>-38003149.750350274</v>
      </c>
      <c r="P54" s="191">
        <f t="shared" si="6"/>
        <v>29332094.990350261</v>
      </c>
      <c r="Q54" s="193">
        <f t="shared" si="3"/>
        <v>-0.77183326074386538</v>
      </c>
      <c r="R54" s="136">
        <f>'2022'!Q54</f>
        <v>-29405799.019999973</v>
      </c>
      <c r="S54" s="191">
        <f t="shared" si="4"/>
        <v>20734744.259999961</v>
      </c>
      <c r="T54" s="195">
        <f t="shared" si="5"/>
        <v>-0.70512432754836873</v>
      </c>
      <c r="W54" s="470"/>
      <c r="Y54" s="470"/>
    </row>
    <row r="55" spans="1:25">
      <c r="A55" s="129">
        <v>46</v>
      </c>
      <c r="B55" s="546" t="str">
        <f>+VLOOKUP($A55,Master!$D$30:$G$226,4,FALSE)</f>
        <v>Otplata dugova</v>
      </c>
      <c r="C55" s="547"/>
      <c r="D55" s="547"/>
      <c r="E55" s="547"/>
      <c r="F55" s="547"/>
      <c r="G55" s="460">
        <f>'2023'!S55</f>
        <v>276284467.66000003</v>
      </c>
      <c r="H55" s="460">
        <f>SUM('2023'!G131:Q131)</f>
        <v>315891353.82000005</v>
      </c>
      <c r="I55" s="461">
        <f t="shared" si="0"/>
        <v>-39606886.160000026</v>
      </c>
      <c r="J55" s="462">
        <f t="shared" si="1"/>
        <v>-0.12538135558648011</v>
      </c>
      <c r="K55" s="460">
        <f>SUM('2022'!G55:Q55)</f>
        <v>280150967.29000002</v>
      </c>
      <c r="L55" s="461">
        <f t="shared" si="7"/>
        <v>-3866499.6299999952</v>
      </c>
      <c r="M55" s="480">
        <f t="shared" si="2"/>
        <v>-1.3801485918117695E-2</v>
      </c>
      <c r="N55" s="460">
        <f>'2023'!Q55</f>
        <v>53661950.479999997</v>
      </c>
      <c r="O55" s="460">
        <f>'2023'!Q131</f>
        <v>64752298.200000003</v>
      </c>
      <c r="P55" s="461">
        <f t="shared" si="6"/>
        <v>-11090347.720000006</v>
      </c>
      <c r="Q55" s="462">
        <f t="shared" si="3"/>
        <v>-0.17127342238487542</v>
      </c>
      <c r="R55" s="460">
        <f>'2022'!Q55</f>
        <v>57191963.920000002</v>
      </c>
      <c r="S55" s="461">
        <f t="shared" si="4"/>
        <v>-3530013.4400000051</v>
      </c>
      <c r="T55" s="480">
        <f t="shared" si="5"/>
        <v>-6.1722193085339438E-2</v>
      </c>
      <c r="W55" s="470"/>
      <c r="Y55" s="470"/>
    </row>
    <row r="56" spans="1:25">
      <c r="A56" s="129">
        <v>4611</v>
      </c>
      <c r="B56" s="498" t="str">
        <f>+VLOOKUP($A56,Master!$D$30:$G$226,4,FALSE)</f>
        <v>Otplata hartija od vrijednosti i kredita rezidentima</v>
      </c>
      <c r="C56" s="499"/>
      <c r="D56" s="499"/>
      <c r="E56" s="499"/>
      <c r="F56" s="499"/>
      <c r="G56" s="148">
        <f>'2023'!S56</f>
        <v>73784803.379999995</v>
      </c>
      <c r="H56" s="148">
        <f>SUM('2023'!G132:Q132)</f>
        <v>95802298.680000007</v>
      </c>
      <c r="I56" s="197">
        <f t="shared" si="0"/>
        <v>-22017495.300000012</v>
      </c>
      <c r="J56" s="199">
        <f t="shared" si="1"/>
        <v>-0.22982220263360398</v>
      </c>
      <c r="K56" s="148">
        <f>SUM('2022'!G56:Q56)</f>
        <v>39186160.189999998</v>
      </c>
      <c r="L56" s="197">
        <f t="shared" si="7"/>
        <v>34598643.189999998</v>
      </c>
      <c r="M56" s="201">
        <f t="shared" si="2"/>
        <v>0.88293017285294773</v>
      </c>
      <c r="N56" s="148">
        <f>'2023'!Q56</f>
        <v>8658506.2599999998</v>
      </c>
      <c r="O56" s="148">
        <f>'2023'!Q132</f>
        <v>19547811.449999999</v>
      </c>
      <c r="P56" s="197">
        <f t="shared" si="6"/>
        <v>-10889305.189999999</v>
      </c>
      <c r="Q56" s="199">
        <f t="shared" si="3"/>
        <v>-0.55706006873726011</v>
      </c>
      <c r="R56" s="148">
        <f>'2022'!Q56</f>
        <v>9226106.3599999994</v>
      </c>
      <c r="S56" s="197">
        <f t="shared" si="4"/>
        <v>-567600.09999999963</v>
      </c>
      <c r="T56" s="201">
        <f t="shared" si="5"/>
        <v>-6.1521087862247414E-2</v>
      </c>
      <c r="W56" s="470"/>
      <c r="Y56" s="470"/>
    </row>
    <row r="57" spans="1:25">
      <c r="A57" s="129">
        <v>4612</v>
      </c>
      <c r="B57" s="498" t="str">
        <f>+VLOOKUP($A57,Master!$D$30:$G$226,4,FALSE)</f>
        <v>Otplata hartija od vrijednosti i kredita nerezidentima</v>
      </c>
      <c r="C57" s="499"/>
      <c r="D57" s="499"/>
      <c r="E57" s="499"/>
      <c r="F57" s="499"/>
      <c r="G57" s="148">
        <f>'2023'!S57</f>
        <v>202499664.27999997</v>
      </c>
      <c r="H57" s="148">
        <f>SUM('2023'!G133:Q133)</f>
        <v>220089055.14000002</v>
      </c>
      <c r="I57" s="197">
        <f t="shared" si="0"/>
        <v>-17589390.860000044</v>
      </c>
      <c r="J57" s="199">
        <f t="shared" si="1"/>
        <v>-7.9919425565307289E-2</v>
      </c>
      <c r="K57" s="148">
        <f>SUM('2022'!G57:Q57)</f>
        <v>240964807.09999999</v>
      </c>
      <c r="L57" s="197">
        <f t="shared" si="7"/>
        <v>-38465142.820000023</v>
      </c>
      <c r="M57" s="201">
        <f t="shared" si="2"/>
        <v>-0.15962971225103861</v>
      </c>
      <c r="N57" s="148">
        <f>'2023'!Q57</f>
        <v>45003444.219999999</v>
      </c>
      <c r="O57" s="148">
        <f>'2023'!Q133</f>
        <v>45204486.75</v>
      </c>
      <c r="P57" s="197">
        <f t="shared" si="6"/>
        <v>-201042.53000000119</v>
      </c>
      <c r="Q57" s="199">
        <f t="shared" si="3"/>
        <v>-4.4474021154549126E-3</v>
      </c>
      <c r="R57" s="148">
        <f>'2022'!Q57</f>
        <v>47965857.560000002</v>
      </c>
      <c r="S57" s="197">
        <f t="shared" si="4"/>
        <v>-2962413.3400000036</v>
      </c>
      <c r="T57" s="201">
        <f t="shared" si="5"/>
        <v>-6.1760875145291605E-2</v>
      </c>
      <c r="W57" s="470"/>
      <c r="Y57" s="470"/>
    </row>
    <row r="58" spans="1:25" ht="15.75" thickBot="1">
      <c r="A58" s="129">
        <v>4418</v>
      </c>
      <c r="B58" s="526" t="str">
        <f>+VLOOKUP($A58,Master!$D$30:$G$226,4,FALSE)</f>
        <v>Izdaci za kupovinu hartija od vrijednosti</v>
      </c>
      <c r="C58" s="527"/>
      <c r="D58" s="527"/>
      <c r="E58" s="527"/>
      <c r="F58" s="527"/>
      <c r="G58" s="313">
        <f>'2023'!S58</f>
        <v>720866.76</v>
      </c>
      <c r="H58" s="313">
        <f>SUM('2023'!G134:Q134)</f>
        <v>769000</v>
      </c>
      <c r="I58" s="314">
        <f t="shared" ref="I58:I66" si="9">+G58-H58</f>
        <v>-48133.239999999991</v>
      </c>
      <c r="J58" s="315">
        <f t="shared" si="1"/>
        <v>-6.2591989596879061E-2</v>
      </c>
      <c r="K58" s="313">
        <f>SUM('2022'!G58:Q58)</f>
        <v>15572320.390000001</v>
      </c>
      <c r="L58" s="314">
        <f t="shared" ref="L58:L66" si="10">+G58-K58</f>
        <v>-14851453.630000001</v>
      </c>
      <c r="M58" s="481">
        <f t="shared" si="2"/>
        <v>-0.95370845564782269</v>
      </c>
      <c r="N58" s="313">
        <f>'2023'!Q58</f>
        <v>0</v>
      </c>
      <c r="O58" s="313">
        <f>'2023'!Q134</f>
        <v>10000</v>
      </c>
      <c r="P58" s="314">
        <f t="shared" ref="P58:P66" si="11">+N58-O58</f>
        <v>-10000</v>
      </c>
      <c r="Q58" s="315">
        <f t="shared" si="3"/>
        <v>-1</v>
      </c>
      <c r="R58" s="313">
        <f>'2022'!Q58</f>
        <v>572321.46</v>
      </c>
      <c r="S58" s="314">
        <f t="shared" ref="S58:S66" si="12">+N58-R58</f>
        <v>-572321.46</v>
      </c>
      <c r="T58" s="481">
        <f t="shared" si="5"/>
        <v>-1</v>
      </c>
      <c r="W58" s="470"/>
      <c r="Y58" s="470"/>
    </row>
    <row r="59" spans="1:25" ht="15.75" thickBot="1">
      <c r="A59" s="129">
        <v>451</v>
      </c>
      <c r="B59" s="536" t="str">
        <f>+VLOOKUP($A59,Master!$D$30:$G$226,4,FALSE)</f>
        <v>Pozajmice i krediti</v>
      </c>
      <c r="C59" s="537"/>
      <c r="D59" s="537"/>
      <c r="E59" s="537"/>
      <c r="F59" s="537"/>
      <c r="G59" s="313">
        <f>'2023'!S59</f>
        <v>9289595.209999999</v>
      </c>
      <c r="H59" s="313">
        <f>SUM('2023'!G135:Q135)</f>
        <v>0</v>
      </c>
      <c r="I59" s="314">
        <f t="shared" si="9"/>
        <v>9289595.209999999</v>
      </c>
      <c r="J59" s="315" t="str">
        <f t="shared" si="1"/>
        <v>...</v>
      </c>
      <c r="K59" s="313">
        <f>SUM('2022'!G59:Q59)</f>
        <v>22605018.250000004</v>
      </c>
      <c r="L59" s="314">
        <f t="shared" si="10"/>
        <v>-13315423.040000005</v>
      </c>
      <c r="M59" s="481">
        <f t="shared" si="2"/>
        <v>-0.58904721477055222</v>
      </c>
      <c r="N59" s="313">
        <f>'2023'!Q59</f>
        <v>0</v>
      </c>
      <c r="O59" s="313">
        <f>'2023'!Q135</f>
        <v>0</v>
      </c>
      <c r="P59" s="314">
        <f t="shared" si="11"/>
        <v>0</v>
      </c>
      <c r="Q59" s="315" t="str">
        <f t="shared" si="3"/>
        <v>...</v>
      </c>
      <c r="R59" s="313">
        <f>'2022'!Q59</f>
        <v>245090.2</v>
      </c>
      <c r="S59" s="314">
        <f t="shared" si="12"/>
        <v>-245090.2</v>
      </c>
      <c r="T59" s="481">
        <f t="shared" si="5"/>
        <v>-1</v>
      </c>
      <c r="W59" s="470"/>
      <c r="Y59" s="470"/>
    </row>
    <row r="60" spans="1:25" ht="15.75" thickBot="1">
      <c r="A60" s="129">
        <v>1002</v>
      </c>
      <c r="B60" s="518" t="str">
        <f>+VLOOKUP($A60,Master!$D$30:$G$226,4,FALSE)</f>
        <v>Nedostajuća sredstva</v>
      </c>
      <c r="C60" s="519"/>
      <c r="D60" s="519"/>
      <c r="E60" s="519"/>
      <c r="F60" s="519"/>
      <c r="G60" s="298">
        <f>'2023'!S60</f>
        <v>-127790382.79999965</v>
      </c>
      <c r="H60" s="298">
        <f>SUM('2023'!G136:Q136)</f>
        <v>-672660349.15750575</v>
      </c>
      <c r="I60" s="300">
        <f t="shared" si="9"/>
        <v>544869966.35750604</v>
      </c>
      <c r="J60" s="301">
        <f t="shared" si="1"/>
        <v>-0.81002242370900168</v>
      </c>
      <c r="K60" s="298">
        <f>SUM('2022'!G60:Q60)</f>
        <v>-417733221.38</v>
      </c>
      <c r="L60" s="300">
        <f>+G60-K60</f>
        <v>289942838.58000034</v>
      </c>
      <c r="M60" s="482">
        <f t="shared" si="2"/>
        <v>-0.69408613856987833</v>
      </c>
      <c r="N60" s="298">
        <f>'2023'!Q60</f>
        <v>-78839470.030000001</v>
      </c>
      <c r="O60" s="298">
        <f>'2023'!Q136</f>
        <v>-111596583.41035028</v>
      </c>
      <c r="P60" s="300">
        <f t="shared" si="11"/>
        <v>32757113.380350277</v>
      </c>
      <c r="Q60" s="301">
        <f t="shared" si="3"/>
        <v>-0.29353150767976055</v>
      </c>
      <c r="R60" s="298">
        <f>'2022'!Q60</f>
        <v>-97663650.139999971</v>
      </c>
      <c r="S60" s="300">
        <f t="shared" si="12"/>
        <v>18824180.10999997</v>
      </c>
      <c r="T60" s="482">
        <f t="shared" si="5"/>
        <v>-0.19274499860506622</v>
      </c>
      <c r="W60" s="470"/>
      <c r="Y60" s="470"/>
    </row>
    <row r="61" spans="1:25" ht="15.75" thickBot="1">
      <c r="A61" s="129">
        <v>1003</v>
      </c>
      <c r="B61" s="520" t="str">
        <f>+VLOOKUP($A61,Master!$D$30:$G$226,4,FALSE)</f>
        <v>Finansiranje</v>
      </c>
      <c r="C61" s="521"/>
      <c r="D61" s="521"/>
      <c r="E61" s="521"/>
      <c r="F61" s="521"/>
      <c r="G61" s="136">
        <f>'2023'!S61</f>
        <v>127790382.79999964</v>
      </c>
      <c r="H61" s="136">
        <f>SUM('2023'!G137:Q137)</f>
        <v>672660349.15750575</v>
      </c>
      <c r="I61" s="299">
        <f t="shared" si="9"/>
        <v>-544869966.35750616</v>
      </c>
      <c r="J61" s="302">
        <f t="shared" si="1"/>
        <v>-0.81002242370900168</v>
      </c>
      <c r="K61" s="136">
        <f>SUM('2022'!G61:Q61)</f>
        <v>417733221.37999988</v>
      </c>
      <c r="L61" s="299">
        <f t="shared" si="10"/>
        <v>-289942838.58000022</v>
      </c>
      <c r="M61" s="483">
        <f t="shared" si="2"/>
        <v>-0.69408613856987822</v>
      </c>
      <c r="N61" s="136">
        <f>'2023'!Q61</f>
        <v>78839470.030000001</v>
      </c>
      <c r="O61" s="136">
        <f>'2023'!Q137</f>
        <v>111596583.41035028</v>
      </c>
      <c r="P61" s="300">
        <f t="shared" si="11"/>
        <v>-32757113.380350277</v>
      </c>
      <c r="Q61" s="302">
        <f t="shared" si="3"/>
        <v>-0.29353150767976055</v>
      </c>
      <c r="R61" s="136">
        <f>'2022'!Q61</f>
        <v>97663650.139999971</v>
      </c>
      <c r="S61" s="299">
        <f t="shared" si="12"/>
        <v>-18824180.10999997</v>
      </c>
      <c r="T61" s="483">
        <f t="shared" si="5"/>
        <v>-0.19274499860506622</v>
      </c>
      <c r="W61" s="470"/>
      <c r="Y61" s="470"/>
    </row>
    <row r="62" spans="1:25">
      <c r="A62" s="129">
        <v>7511</v>
      </c>
      <c r="B62" s="514" t="str">
        <f>+VLOOKUP($A62,Master!$D$30:$G$226,4,FALSE)</f>
        <v>Pozajmice i krediti od domaćih izvora</v>
      </c>
      <c r="C62" s="515"/>
      <c r="D62" s="515"/>
      <c r="E62" s="515"/>
      <c r="F62" s="515"/>
      <c r="G62" s="148">
        <f>'2023'!S62</f>
        <v>0</v>
      </c>
      <c r="H62" s="148">
        <f>SUM('2023'!G138:Q138)</f>
        <v>100000000</v>
      </c>
      <c r="I62" s="197">
        <f t="shared" si="9"/>
        <v>-100000000</v>
      </c>
      <c r="J62" s="199">
        <f t="shared" si="1"/>
        <v>-1</v>
      </c>
      <c r="K62" s="148">
        <f>SUM('2022'!G62:Q62)</f>
        <v>52000000</v>
      </c>
      <c r="L62" s="197">
        <f t="shared" si="10"/>
        <v>-52000000</v>
      </c>
      <c r="M62" s="201">
        <f t="shared" si="2"/>
        <v>-1</v>
      </c>
      <c r="N62" s="148">
        <f>'2023'!Q62</f>
        <v>0</v>
      </c>
      <c r="O62" s="148">
        <f>'2023'!Q138</f>
        <v>0</v>
      </c>
      <c r="P62" s="197">
        <f t="shared" si="11"/>
        <v>0</v>
      </c>
      <c r="Q62" s="199" t="str">
        <f t="shared" si="3"/>
        <v>...</v>
      </c>
      <c r="R62" s="148">
        <f>'2022'!Q62</f>
        <v>52000000</v>
      </c>
      <c r="S62" s="197">
        <f t="shared" si="12"/>
        <v>-52000000</v>
      </c>
      <c r="T62" s="201">
        <f t="shared" si="5"/>
        <v>-1</v>
      </c>
      <c r="W62" s="470"/>
      <c r="Y62" s="470"/>
    </row>
    <row r="63" spans="1:25">
      <c r="A63" s="129">
        <v>7512</v>
      </c>
      <c r="B63" s="498" t="str">
        <f>+VLOOKUP($A63,Master!$D$30:$G$226,4,FALSE)</f>
        <v>Pozajmice i krediti od inostranih izvora</v>
      </c>
      <c r="C63" s="499"/>
      <c r="D63" s="499"/>
      <c r="E63" s="499"/>
      <c r="F63" s="499"/>
      <c r="G63" s="148">
        <f>'2023'!S63</f>
        <v>126074371.85999997</v>
      </c>
      <c r="H63" s="148">
        <f>SUM('2023'!G139:Q139)</f>
        <v>499181830.68901968</v>
      </c>
      <c r="I63" s="197">
        <f t="shared" si="9"/>
        <v>-373107458.82901973</v>
      </c>
      <c r="J63" s="199">
        <f t="shared" si="1"/>
        <v>-0.7474379792910737</v>
      </c>
      <c r="K63" s="148">
        <f>SUM('2022'!G63:Q63)</f>
        <v>103596686.66000001</v>
      </c>
      <c r="L63" s="197">
        <f t="shared" si="10"/>
        <v>22477685.199999958</v>
      </c>
      <c r="M63" s="201">
        <f t="shared" si="2"/>
        <v>0.21697301260001467</v>
      </c>
      <c r="N63" s="148">
        <f>'2023'!Q63</f>
        <v>2073787.89</v>
      </c>
      <c r="O63" s="148">
        <f>'2023'!Q139</f>
        <v>0</v>
      </c>
      <c r="P63" s="197">
        <f t="shared" si="11"/>
        <v>2073787.89</v>
      </c>
      <c r="Q63" s="199" t="str">
        <f t="shared" si="3"/>
        <v>...</v>
      </c>
      <c r="R63" s="148">
        <f>'2022'!Q63</f>
        <v>1836262.97</v>
      </c>
      <c r="S63" s="197">
        <f t="shared" si="12"/>
        <v>237524.91999999993</v>
      </c>
      <c r="T63" s="201">
        <f t="shared" si="5"/>
        <v>0.12935234434314169</v>
      </c>
      <c r="W63" s="470"/>
      <c r="Y63" s="470"/>
    </row>
    <row r="64" spans="1:25">
      <c r="A64" s="129">
        <v>72</v>
      </c>
      <c r="B64" s="498" t="str">
        <f>+VLOOKUP($A64,Master!$D$30:$G$226,4,FALSE)</f>
        <v>Primici od prodaje imovine</v>
      </c>
      <c r="C64" s="499"/>
      <c r="D64" s="499"/>
      <c r="E64" s="499"/>
      <c r="F64" s="499"/>
      <c r="G64" s="148">
        <f>'2023'!S64</f>
        <v>2508511.4300000006</v>
      </c>
      <c r="H64" s="148">
        <f>SUM('2023'!G140:Q140)</f>
        <v>5500000</v>
      </c>
      <c r="I64" s="197">
        <f t="shared" si="9"/>
        <v>-2991488.5699999994</v>
      </c>
      <c r="J64" s="199">
        <f t="shared" si="1"/>
        <v>-0.5439070127272726</v>
      </c>
      <c r="K64" s="148">
        <f>SUM('2022'!G64:Q64)</f>
        <v>4366747.16</v>
      </c>
      <c r="L64" s="197">
        <f t="shared" si="10"/>
        <v>-1858235.7299999995</v>
      </c>
      <c r="M64" s="201">
        <f t="shared" si="2"/>
        <v>-0.42554232290380634</v>
      </c>
      <c r="N64" s="148">
        <f>'2023'!Q64</f>
        <v>29821.41</v>
      </c>
      <c r="O64" s="148">
        <f>'2023'!Q140</f>
        <v>500000</v>
      </c>
      <c r="P64" s="197">
        <f t="shared" si="11"/>
        <v>-470178.59</v>
      </c>
      <c r="Q64" s="199">
        <f t="shared" si="3"/>
        <v>-0.94035718000000001</v>
      </c>
      <c r="R64" s="148">
        <f>'2022'!Q64</f>
        <v>363375.9</v>
      </c>
      <c r="S64" s="197">
        <f t="shared" si="12"/>
        <v>-333554.49000000005</v>
      </c>
      <c r="T64" s="201">
        <f t="shared" si="5"/>
        <v>-0.91793233948646569</v>
      </c>
      <c r="W64" s="470"/>
      <c r="Y64" s="470"/>
    </row>
    <row r="65" spans="1:25">
      <c r="A65" s="129">
        <v>73</v>
      </c>
      <c r="B65" s="498" t="str">
        <f>+VLOOKUP($A65,Master!$D$30:$G$226,4,FALSE)</f>
        <v>Primici od otplate kredita i sredstva prenesena iz prethodne godine</v>
      </c>
      <c r="C65" s="499"/>
      <c r="D65" s="499"/>
      <c r="E65" s="499"/>
      <c r="F65" s="499"/>
      <c r="G65" s="148">
        <f>'2023'!S65</f>
        <v>11589629.42</v>
      </c>
      <c r="H65" s="148">
        <f>SUM('2023'!G141:Q141)</f>
        <v>0</v>
      </c>
      <c r="I65" s="197">
        <f t="shared" si="9"/>
        <v>11589629.42</v>
      </c>
      <c r="J65" s="199" t="str">
        <f t="shared" si="1"/>
        <v>...</v>
      </c>
      <c r="K65" s="148">
        <f>SUM('2022'!G65:Q65)</f>
        <v>13233207.920000002</v>
      </c>
      <c r="L65" s="197">
        <f t="shared" si="10"/>
        <v>-1643578.5000000019</v>
      </c>
      <c r="M65" s="201">
        <f t="shared" si="2"/>
        <v>-0.12420106371305328</v>
      </c>
      <c r="N65" s="148">
        <f>'2023'!Q65</f>
        <v>829356.05</v>
      </c>
      <c r="O65" s="148">
        <f>'2023'!Q141</f>
        <v>0</v>
      </c>
      <c r="P65" s="197">
        <f t="shared" si="11"/>
        <v>829356.05</v>
      </c>
      <c r="Q65" s="199" t="str">
        <f t="shared" si="3"/>
        <v>...</v>
      </c>
      <c r="R65" s="148">
        <f>'2022'!Q65</f>
        <v>947680.03</v>
      </c>
      <c r="S65" s="197">
        <f t="shared" si="12"/>
        <v>-118323.97999999998</v>
      </c>
      <c r="T65" s="201">
        <f t="shared" si="5"/>
        <v>-0.12485646658609018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'2023'!S66</f>
        <v>-12382129.910000324</v>
      </c>
      <c r="H66" s="296">
        <f>SUM('2023'!G142:Q142)</f>
        <v>67978518.468485981</v>
      </c>
      <c r="I66" s="211">
        <f t="shared" si="9"/>
        <v>-80360648.378486305</v>
      </c>
      <c r="J66" s="213">
        <f t="shared" si="1"/>
        <v>-1.1821476870776542</v>
      </c>
      <c r="K66" s="296">
        <f>SUM('2022'!G66:Q66)</f>
        <v>244536579.63999999</v>
      </c>
      <c r="L66" s="211">
        <f t="shared" si="10"/>
        <v>-256918709.55000031</v>
      </c>
      <c r="M66" s="215">
        <f t="shared" si="2"/>
        <v>-1.0506350826049378</v>
      </c>
      <c r="N66" s="296">
        <f>'2023'!Q66</f>
        <v>75906504.680000007</v>
      </c>
      <c r="O66" s="296">
        <f>'2023'!Q142</f>
        <v>111096583.41035028</v>
      </c>
      <c r="P66" s="211">
        <f t="shared" si="11"/>
        <v>-35190078.730350271</v>
      </c>
      <c r="Q66" s="213">
        <f t="shared" si="3"/>
        <v>-0.31675212369376782</v>
      </c>
      <c r="R66" s="296">
        <f>'2022'!Q66</f>
        <v>42516331.239999972</v>
      </c>
      <c r="S66" s="211">
        <f t="shared" si="12"/>
        <v>33390173.440000035</v>
      </c>
      <c r="T66" s="215">
        <f t="shared" si="5"/>
        <v>0.78534935790946325</v>
      </c>
      <c r="W66" s="470"/>
      <c r="Y66" s="470"/>
    </row>
    <row r="67" spans="1:25">
      <c r="G67" s="274"/>
    </row>
    <row r="68" spans="1:25">
      <c r="G68" s="4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LNf/5swhJe2ayB7HyghNKvLmCkGIkQ0gzmhXAoiLXOEfXWkSxJIuYhEbS9SIwHwYbDEPE4UASCl93iNg4d83Gw==" saltValue="FosS6V48NVCYRQc+CUwSNA==" spinCount="100000" sheet="1" objects="1" scenarios="1"/>
  <mergeCells count="63"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</mergeCells>
  <pageMargins left="0.11811023622047245" right="0.11811023622047245" top="0.19685039370078741" bottom="0.19685039370078741" header="0.31496062992125984" footer="0.31496062992125984"/>
  <pageSetup paperSize="9" scale="37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tabSelected="1" topLeftCell="M1" zoomScale="90" zoomScaleNormal="90" workbookViewId="0">
      <pane ySplit="1" topLeftCell="A26" activePane="bottomLeft" state="frozen"/>
      <selection pane="bottomLeft" activeCell="V38" sqref="V38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00" t="str">
        <f>+Master!G252</f>
        <v>Ostvarenje budžeta</v>
      </c>
      <c r="C7" s="501"/>
      <c r="D7" s="501"/>
      <c r="E7" s="501"/>
      <c r="F7" s="501"/>
      <c r="G7" s="509">
        <v>2023</v>
      </c>
      <c r="H7" s="510"/>
      <c r="I7" s="510"/>
      <c r="J7" s="510"/>
      <c r="K7" s="510"/>
      <c r="L7" s="510"/>
      <c r="M7" s="510"/>
      <c r="N7" s="510"/>
      <c r="O7" s="510"/>
      <c r="P7" s="510"/>
      <c r="Q7" s="510"/>
      <c r="R7" s="513"/>
      <c r="S7" s="220" t="str">
        <f>+Master!G249</f>
        <v>BDP</v>
      </c>
      <c r="T7" s="221">
        <v>6174600000</v>
      </c>
    </row>
    <row r="8" spans="1:24" ht="16.5" customHeight="1">
      <c r="A8" s="129"/>
      <c r="B8" s="502"/>
      <c r="C8" s="503"/>
      <c r="D8" s="503"/>
      <c r="E8" s="503"/>
      <c r="F8" s="504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09" t="str">
        <f>+Master!G247</f>
        <v>Jan - Dec</v>
      </c>
      <c r="T8" s="513"/>
    </row>
    <row r="9" spans="1:24" ht="13.5" thickBot="1">
      <c r="A9" s="129"/>
      <c r="B9" s="505"/>
      <c r="C9" s="506"/>
      <c r="D9" s="506"/>
      <c r="E9" s="506"/>
      <c r="F9" s="50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20" t="str">
        <f>+VLOOKUP($A10,Master!$D$30:$G$226,4,FALSE)</f>
        <v>Prihodi budžeta</v>
      </c>
      <c r="C10" s="521"/>
      <c r="D10" s="521"/>
      <c r="E10" s="521"/>
      <c r="F10" s="521"/>
      <c r="G10" s="136">
        <f>+G11+G19+SUM(G24:G28)</f>
        <v>167639562.44999999</v>
      </c>
      <c r="H10" s="136">
        <f t="shared" ref="H10:L10" si="2">+H11+H19+SUM(H24:H28)</f>
        <v>142406833.72</v>
      </c>
      <c r="I10" s="136">
        <f t="shared" si="2"/>
        <v>232411249.90999997</v>
      </c>
      <c r="J10" s="136">
        <f t="shared" si="2"/>
        <v>254923419.54000002</v>
      </c>
      <c r="K10" s="136">
        <f t="shared" si="2"/>
        <v>186627871.02000001</v>
      </c>
      <c r="L10" s="136">
        <f t="shared" si="2"/>
        <v>252466787.10999998</v>
      </c>
      <c r="M10" s="136">
        <f t="shared" ref="M10:R10" si="3">+M11+M19+SUM(M24:M28)</f>
        <v>207967441.83000001</v>
      </c>
      <c r="N10" s="136">
        <f t="shared" si="3"/>
        <v>243418459.81</v>
      </c>
      <c r="O10" s="136">
        <f t="shared" si="3"/>
        <v>215956957.82000005</v>
      </c>
      <c r="P10" s="136">
        <f t="shared" si="3"/>
        <v>220012875.28999999</v>
      </c>
      <c r="Q10" s="136">
        <f t="shared" si="3"/>
        <v>188878680.22</v>
      </c>
      <c r="R10" s="136">
        <f t="shared" si="3"/>
        <v>0</v>
      </c>
      <c r="S10" s="224">
        <f>+SUM(G10:R10)</f>
        <v>2312710138.7199993</v>
      </c>
      <c r="T10" s="434">
        <f>+S10/$T$7*100</f>
        <v>37.455222017944472</v>
      </c>
      <c r="V10" s="493"/>
    </row>
    <row r="11" spans="1:24">
      <c r="A11" s="135">
        <v>711</v>
      </c>
      <c r="B11" s="544" t="str">
        <f>+VLOOKUP($A11,Master!$D$30:$G$226,4,FALSE)</f>
        <v>Porezi</v>
      </c>
      <c r="C11" s="545"/>
      <c r="D11" s="545"/>
      <c r="E11" s="545"/>
      <c r="F11" s="545"/>
      <c r="G11" s="142">
        <f t="shared" ref="G11:I11" si="4">+SUM(G12:G18)</f>
        <v>103490146.19</v>
      </c>
      <c r="H11" s="142">
        <f t="shared" si="4"/>
        <v>91059566.450000003</v>
      </c>
      <c r="I11" s="142">
        <f t="shared" si="4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5">+SUM(M12:M18)</f>
        <v>143616587.01000002</v>
      </c>
      <c r="N11" s="142">
        <f t="shared" si="5"/>
        <v>165353455.13</v>
      </c>
      <c r="O11" s="142">
        <f t="shared" si="5"/>
        <v>156517964.88000003</v>
      </c>
      <c r="P11" s="142">
        <f t="shared" si="5"/>
        <v>146031901.31</v>
      </c>
      <c r="Q11" s="142">
        <f t="shared" si="5"/>
        <v>117280381.45999999</v>
      </c>
      <c r="R11" s="225">
        <f t="shared" si="5"/>
        <v>0</v>
      </c>
      <c r="S11" s="226">
        <f>+SUM(G11:R11)</f>
        <v>1529004363.9299998</v>
      </c>
      <c r="T11" s="435">
        <f t="shared" ref="T11:T66" si="6">+S11/$T$7*100</f>
        <v>24.762808342726654</v>
      </c>
      <c r="V11" s="276"/>
    </row>
    <row r="12" spans="1:24">
      <c r="A12" s="135">
        <v>7111</v>
      </c>
      <c r="B12" s="530" t="str">
        <f>+VLOOKUP($A12,Master!$D$30:$G$226,4,FALSE)</f>
        <v>Porez na dohodak fizičkih lica</v>
      </c>
      <c r="C12" s="531"/>
      <c r="D12" s="531"/>
      <c r="E12" s="531"/>
      <c r="F12" s="531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/>
      <c r="S12" s="227">
        <f>+SUM(G12:R12)</f>
        <v>55813473.740000002</v>
      </c>
      <c r="T12" s="436">
        <f t="shared" si="6"/>
        <v>0.90392047646811136</v>
      </c>
    </row>
    <row r="13" spans="1:24">
      <c r="A13" s="135">
        <v>7112</v>
      </c>
      <c r="B13" s="530" t="str">
        <f>+VLOOKUP($A13,Master!$D$30:$G$226,4,FALSE)</f>
        <v>Porez na dobit pravnih lica</v>
      </c>
      <c r="C13" s="531"/>
      <c r="D13" s="531"/>
      <c r="E13" s="531"/>
      <c r="F13" s="531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/>
      <c r="S13" s="227">
        <f t="shared" ref="S13:S65" si="7">+SUM(G13:R13)</f>
        <v>146826819.96000001</v>
      </c>
      <c r="T13" s="436">
        <f t="shared" si="6"/>
        <v>2.3779163016227773</v>
      </c>
      <c r="V13" s="276"/>
      <c r="W13" s="276"/>
      <c r="X13" s="494"/>
    </row>
    <row r="14" spans="1:24">
      <c r="A14" s="135">
        <v>7113</v>
      </c>
      <c r="B14" s="530" t="str">
        <f>+VLOOKUP($A14,Master!$D$30:$G$226,4,FALSE)</f>
        <v>Porez na promet nepokretnosti</v>
      </c>
      <c r="C14" s="531"/>
      <c r="D14" s="531"/>
      <c r="E14" s="531"/>
      <c r="F14" s="531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/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30" t="str">
        <f>+VLOOKUP($A15,Master!$D$30:$G$226,4,FALSE)</f>
        <v>Porez na dodatu vrijednost</v>
      </c>
      <c r="C15" s="531"/>
      <c r="D15" s="531"/>
      <c r="E15" s="531"/>
      <c r="F15" s="531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/>
      <c r="S15" s="227">
        <f t="shared" si="7"/>
        <v>971337653.3900001</v>
      </c>
      <c r="T15" s="436">
        <f t="shared" si="6"/>
        <v>15.731183451397662</v>
      </c>
      <c r="V15" s="276"/>
      <c r="W15" s="276"/>
      <c r="X15" s="494"/>
    </row>
    <row r="16" spans="1:24">
      <c r="A16" s="135">
        <v>7115</v>
      </c>
      <c r="B16" s="530" t="str">
        <f>+VLOOKUP($A16,Master!$D$30:$G$226,4,FALSE)</f>
        <v>Akcize</v>
      </c>
      <c r="C16" s="531"/>
      <c r="D16" s="531"/>
      <c r="E16" s="531"/>
      <c r="F16" s="531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/>
      <c r="S16" s="227">
        <f t="shared" si="7"/>
        <v>294627441.06</v>
      </c>
      <c r="T16" s="436">
        <f t="shared" si="6"/>
        <v>4.7716036838013798</v>
      </c>
      <c r="V16" s="276"/>
      <c r="W16" s="276"/>
      <c r="X16" s="494"/>
    </row>
    <row r="17" spans="1:24">
      <c r="A17" s="135">
        <v>7116</v>
      </c>
      <c r="B17" s="530" t="str">
        <f>+VLOOKUP($A17,Master!$D$30:$G$226,4,FALSE)</f>
        <v>Porez na međunarodnu trgovinu i transakcije</v>
      </c>
      <c r="C17" s="531"/>
      <c r="D17" s="531"/>
      <c r="E17" s="531"/>
      <c r="F17" s="531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/>
      <c r="S17" s="227">
        <f t="shared" si="7"/>
        <v>47788230.600000001</v>
      </c>
      <c r="T17" s="436">
        <f t="shared" si="6"/>
        <v>0.7739486055776893</v>
      </c>
      <c r="V17" s="276"/>
      <c r="W17" s="276"/>
      <c r="X17" s="494"/>
    </row>
    <row r="18" spans="1:24">
      <c r="A18" s="135">
        <v>7118</v>
      </c>
      <c r="B18" s="530" t="str">
        <f>+VLOOKUP($A18,Master!$D$30:$G$226,4,FALSE)</f>
        <v>Ostali državni porezi</v>
      </c>
      <c r="C18" s="531"/>
      <c r="D18" s="531"/>
      <c r="E18" s="531"/>
      <c r="F18" s="531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/>
      <c r="S18" s="227">
        <f t="shared" si="7"/>
        <v>12610745.180000002</v>
      </c>
      <c r="T18" s="436">
        <f t="shared" si="6"/>
        <v>0.20423582385903544</v>
      </c>
      <c r="V18" s="276"/>
      <c r="W18" s="276"/>
      <c r="X18" s="494"/>
    </row>
    <row r="19" spans="1:24">
      <c r="A19" s="135">
        <v>712</v>
      </c>
      <c r="B19" s="532" t="str">
        <f>+VLOOKUP($A19,Master!$D$30:$G$226,4,FALSE)</f>
        <v>Doprinosi</v>
      </c>
      <c r="C19" s="533"/>
      <c r="D19" s="533"/>
      <c r="E19" s="533"/>
      <c r="F19" s="533"/>
      <c r="G19" s="154">
        <v>15617329.630000003</v>
      </c>
      <c r="H19" s="154">
        <v>41494879.25999999</v>
      </c>
      <c r="I19" s="154">
        <v>42670635.130000003</v>
      </c>
      <c r="J19" s="154">
        <f t="shared" ref="J19:L19" si="8">SUM(J20:J23)</f>
        <v>47597807.860000007</v>
      </c>
      <c r="K19" s="154">
        <f t="shared" si="8"/>
        <v>45975315.240000002</v>
      </c>
      <c r="L19" s="154">
        <f t="shared" si="8"/>
        <v>48052163.109999999</v>
      </c>
      <c r="M19" s="154">
        <f t="shared" ref="M19:R19" si="9">SUM(M20:M23)</f>
        <v>48400583.619999997</v>
      </c>
      <c r="N19" s="154">
        <f t="shared" si="9"/>
        <v>49792973.810000002</v>
      </c>
      <c r="O19" s="154">
        <f t="shared" si="9"/>
        <v>48149305.770000003</v>
      </c>
      <c r="P19" s="154">
        <f t="shared" si="9"/>
        <v>51603762.280000001</v>
      </c>
      <c r="Q19" s="154">
        <f t="shared" si="9"/>
        <v>47289989.949999996</v>
      </c>
      <c r="R19" s="154">
        <f t="shared" si="9"/>
        <v>0</v>
      </c>
      <c r="S19" s="228">
        <f t="shared" si="7"/>
        <v>486644745.66000003</v>
      </c>
      <c r="T19" s="437">
        <f t="shared" si="6"/>
        <v>7.8813971052375864</v>
      </c>
      <c r="V19" s="276"/>
      <c r="W19" s="276"/>
      <c r="X19" s="494"/>
    </row>
    <row r="20" spans="1:24">
      <c r="A20" s="135">
        <v>7121</v>
      </c>
      <c r="B20" s="530" t="str">
        <f>+VLOOKUP($A20,Master!$D$30:$G$226,4,FALSE)</f>
        <v>Doprinosi za penzijsko i invalidsko osiguranje</v>
      </c>
      <c r="C20" s="531"/>
      <c r="D20" s="531"/>
      <c r="E20" s="531"/>
      <c r="F20" s="531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/>
      <c r="S20" s="227">
        <f>+SUM(G20:R20)</f>
        <v>444989222.21000004</v>
      </c>
      <c r="T20" s="436">
        <f t="shared" si="6"/>
        <v>7.206770028989733</v>
      </c>
      <c r="V20" s="276"/>
      <c r="W20" s="276"/>
      <c r="X20" s="494"/>
    </row>
    <row r="21" spans="1:24">
      <c r="A21" s="135">
        <v>7122</v>
      </c>
      <c r="B21" s="530" t="str">
        <f>+VLOOKUP($A21,Master!$D$30:$G$226,4,FALSE)</f>
        <v>Doprinosi za zdravstveno osiguranje</v>
      </c>
      <c r="C21" s="531"/>
      <c r="D21" s="531"/>
      <c r="E21" s="531"/>
      <c r="F21" s="531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/>
      <c r="S21" s="227">
        <f t="shared" si="7"/>
        <v>6064573.8399999989</v>
      </c>
      <c r="T21" s="436">
        <f t="shared" si="6"/>
        <v>9.8218084410326145E-2</v>
      </c>
      <c r="V21" s="276"/>
      <c r="W21" s="276"/>
      <c r="X21" s="494"/>
    </row>
    <row r="22" spans="1:24">
      <c r="A22" s="135">
        <v>7123</v>
      </c>
      <c r="B22" s="530" t="str">
        <f>+VLOOKUP($A22,Master!$D$30:$G$226,4,FALSE)</f>
        <v>Doprinosi za osiguranje od nezaposlenosti</v>
      </c>
      <c r="C22" s="531"/>
      <c r="D22" s="531"/>
      <c r="E22" s="531"/>
      <c r="F22" s="531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/>
      <c r="S22" s="227">
        <f t="shared" si="7"/>
        <v>20454282.41</v>
      </c>
      <c r="T22" s="436">
        <f t="shared" si="6"/>
        <v>0.33126489829300687</v>
      </c>
    </row>
    <row r="23" spans="1:24">
      <c r="A23" s="135">
        <v>7124</v>
      </c>
      <c r="B23" s="530" t="str">
        <f>+VLOOKUP($A23,Master!$D$30:$G$226,4,FALSE)</f>
        <v>Ostali doprinosi</v>
      </c>
      <c r="C23" s="531"/>
      <c r="D23" s="531"/>
      <c r="E23" s="531"/>
      <c r="F23" s="531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/>
      <c r="S23" s="227">
        <f t="shared" si="7"/>
        <v>15136667.199999999</v>
      </c>
      <c r="T23" s="436">
        <f t="shared" si="6"/>
        <v>0.2451440935445211</v>
      </c>
      <c r="V23" s="495"/>
      <c r="W23" s="495"/>
      <c r="X23" s="494"/>
    </row>
    <row r="24" spans="1:24">
      <c r="A24" s="135">
        <v>713</v>
      </c>
      <c r="B24" s="532" t="str">
        <f>+VLOOKUP($A24,Master!$D$30:$G$226,4,FALSE)</f>
        <v>Takse</v>
      </c>
      <c r="C24" s="533"/>
      <c r="D24" s="533"/>
      <c r="E24" s="533"/>
      <c r="F24" s="533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1258578.19</v>
      </c>
      <c r="R24" s="160"/>
      <c r="S24" s="228">
        <f t="shared" si="7"/>
        <v>14315884.17</v>
      </c>
      <c r="T24" s="437">
        <f t="shared" si="6"/>
        <v>0.23185119959187639</v>
      </c>
    </row>
    <row r="25" spans="1:24">
      <c r="A25" s="135">
        <v>714</v>
      </c>
      <c r="B25" s="532" t="str">
        <f>+VLOOKUP($A25,Master!$D$30:$G$226,4,FALSE)</f>
        <v>Naknade</v>
      </c>
      <c r="C25" s="533"/>
      <c r="D25" s="533"/>
      <c r="E25" s="533"/>
      <c r="F25" s="533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/>
      <c r="S25" s="228">
        <f t="shared" si="7"/>
        <v>51938230.490000002</v>
      </c>
      <c r="T25" s="437">
        <f t="shared" si="6"/>
        <v>0.84115943526706183</v>
      </c>
    </row>
    <row r="26" spans="1:24">
      <c r="A26" s="135">
        <v>715</v>
      </c>
      <c r="B26" s="532" t="str">
        <f>+VLOOKUP($A26,Master!$D$30:$G$226,4,FALSE)</f>
        <v>Ostali prihodi</v>
      </c>
      <c r="C26" s="533"/>
      <c r="D26" s="533"/>
      <c r="E26" s="533"/>
      <c r="F26" s="533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62840128.789999999</v>
      </c>
      <c r="M26" s="160">
        <v>7396003.8700000001</v>
      </c>
      <c r="N26" s="160">
        <v>20717997.120000001</v>
      </c>
      <c r="O26" s="160">
        <v>2262595.5300000003</v>
      </c>
      <c r="P26" s="160">
        <v>14370883.219999999</v>
      </c>
      <c r="Q26" s="160">
        <v>15526842.73</v>
      </c>
      <c r="R26" s="160"/>
      <c r="S26" s="228">
        <f t="shared" si="7"/>
        <v>173076150.17999998</v>
      </c>
      <c r="T26" s="437">
        <f t="shared" si="6"/>
        <v>2.8030342075600037</v>
      </c>
    </row>
    <row r="27" spans="1:24">
      <c r="A27" s="135">
        <v>73</v>
      </c>
      <c r="B27" s="532" t="str">
        <f>+VLOOKUP($A27,Master!$D$30:$G$226,4,FALSE)</f>
        <v>Primici od otplate kredita i sredstva prenesena iz prethodne godine</v>
      </c>
      <c r="C27" s="533"/>
      <c r="D27" s="533"/>
      <c r="E27" s="533"/>
      <c r="F27" s="53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/>
      <c r="S27" s="228">
        <f t="shared" si="7"/>
        <v>0</v>
      </c>
      <c r="T27" s="437">
        <f t="shared" si="6"/>
        <v>0</v>
      </c>
    </row>
    <row r="28" spans="1:24" ht="13.5" thickBot="1">
      <c r="A28" s="135">
        <v>74</v>
      </c>
      <c r="B28" s="534" t="str">
        <f>+VLOOKUP($A28,Master!$D$30:$G$226,4,FALSE)</f>
        <v>Donacije i transferi</v>
      </c>
      <c r="C28" s="535"/>
      <c r="D28" s="535"/>
      <c r="E28" s="535"/>
      <c r="F28" s="535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1748571.31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/>
      <c r="S28" s="228">
        <f t="shared" si="7"/>
        <v>57730764.290000014</v>
      </c>
      <c r="T28" s="438">
        <f t="shared" si="6"/>
        <v>0.93497172756129987</v>
      </c>
    </row>
    <row r="29" spans="1:24" ht="13.5" thickBot="1">
      <c r="A29" s="135">
        <v>4</v>
      </c>
      <c r="B29" s="520" t="str">
        <f>+VLOOKUP($A29,Master!$D$30:$G$226,4,FALSE)</f>
        <v>Izdaci budžeta</v>
      </c>
      <c r="C29" s="521"/>
      <c r="D29" s="521"/>
      <c r="E29" s="521"/>
      <c r="F29" s="521"/>
      <c r="G29" s="136">
        <f>+G30+G40+G46+SUM(G47:G51)</f>
        <v>115003169.39999996</v>
      </c>
      <c r="H29" s="136">
        <f t="shared" ref="H29:L29" si="10">+H30+H40+H46+SUM(H47:H51)</f>
        <v>170554890.78000021</v>
      </c>
      <c r="I29" s="136">
        <f t="shared" si="10"/>
        <v>193742773.04999983</v>
      </c>
      <c r="J29" s="136">
        <f t="shared" si="10"/>
        <v>205927614.36999997</v>
      </c>
      <c r="K29" s="136">
        <f t="shared" si="10"/>
        <v>189890433.77999988</v>
      </c>
      <c r="L29" s="136">
        <f t="shared" si="10"/>
        <v>196511270.94999999</v>
      </c>
      <c r="M29" s="136">
        <f t="shared" ref="M29:R29" si="11">+M30+M40+M46+SUM(M47:M51)</f>
        <v>223782018.87999985</v>
      </c>
      <c r="N29" s="136">
        <f t="shared" si="11"/>
        <v>200338951.17000011</v>
      </c>
      <c r="O29" s="136">
        <f t="shared" si="11"/>
        <v>231561761.89999998</v>
      </c>
      <c r="P29" s="136">
        <f t="shared" si="11"/>
        <v>212836507.83999988</v>
      </c>
      <c r="Q29" s="136">
        <f t="shared" si="11"/>
        <v>214056199.77000001</v>
      </c>
      <c r="R29" s="136">
        <f t="shared" si="11"/>
        <v>0</v>
      </c>
      <c r="S29" s="230">
        <f t="shared" si="7"/>
        <v>2154205591.8899999</v>
      </c>
      <c r="T29" s="439">
        <f t="shared" si="6"/>
        <v>34.888180479545234</v>
      </c>
    </row>
    <row r="30" spans="1:24">
      <c r="A30" s="135">
        <v>41</v>
      </c>
      <c r="B30" s="538" t="str">
        <f>+VLOOKUP($A30,Master!$D$30:$G$226,4,FALSE)</f>
        <v>Tekući izdaci</v>
      </c>
      <c r="C30" s="539"/>
      <c r="D30" s="539"/>
      <c r="E30" s="539"/>
      <c r="F30" s="539"/>
      <c r="G30" s="172">
        <f t="shared" ref="G30:L30" si="12">+SUM(G31:G39)</f>
        <v>53321750.879999951</v>
      </c>
      <c r="H30" s="172">
        <f t="shared" si="12"/>
        <v>71586974.05000025</v>
      </c>
      <c r="I30" s="172">
        <f t="shared" si="12"/>
        <v>83324130.109999865</v>
      </c>
      <c r="J30" s="172">
        <f t="shared" si="12"/>
        <v>95218509.070000008</v>
      </c>
      <c r="K30" s="172">
        <f t="shared" si="12"/>
        <v>92282783.60999988</v>
      </c>
      <c r="L30" s="172">
        <f t="shared" si="12"/>
        <v>78021424.25000003</v>
      </c>
      <c r="M30" s="172">
        <f t="shared" ref="M30:R30" si="13">+SUM(M31:M39)</f>
        <v>89292581.399999857</v>
      </c>
      <c r="N30" s="172">
        <f t="shared" si="13"/>
        <v>73769040.310000092</v>
      </c>
      <c r="O30" s="172">
        <f t="shared" si="13"/>
        <v>97169069.599999994</v>
      </c>
      <c r="P30" s="172">
        <f t="shared" si="13"/>
        <v>82170680.899999917</v>
      </c>
      <c r="Q30" s="172">
        <f t="shared" si="13"/>
        <v>92941177.74000001</v>
      </c>
      <c r="R30" s="231">
        <f t="shared" si="13"/>
        <v>0</v>
      </c>
      <c r="S30" s="397">
        <f t="shared" si="7"/>
        <v>909098121.91999984</v>
      </c>
      <c r="T30" s="435">
        <f t="shared" si="6"/>
        <v>14.723190521167359</v>
      </c>
      <c r="U30" s="472"/>
    </row>
    <row r="31" spans="1:24">
      <c r="A31" s="135">
        <v>411</v>
      </c>
      <c r="B31" s="530" t="str">
        <f>+VLOOKUP($A31,Master!$D$30:$G$226,4,FALSE)</f>
        <v>Bruto zarade i doprinosi na teret poslodavca</v>
      </c>
      <c r="C31" s="531"/>
      <c r="D31" s="531"/>
      <c r="E31" s="531"/>
      <c r="F31" s="531"/>
      <c r="G31" s="148">
        <v>45778601.379999958</v>
      </c>
      <c r="H31" s="148">
        <v>54859279.480000243</v>
      </c>
      <c r="I31" s="148">
        <v>52148208.229999878</v>
      </c>
      <c r="J31" s="148">
        <v>53967761.119999975</v>
      </c>
      <c r="K31" s="148">
        <v>54201006.709999889</v>
      </c>
      <c r="L31" s="148">
        <v>53631381.20000001</v>
      </c>
      <c r="M31" s="148">
        <v>54042257.66999986</v>
      </c>
      <c r="N31" s="148">
        <v>51900966.360000111</v>
      </c>
      <c r="O31" s="148">
        <v>52968311.030000001</v>
      </c>
      <c r="P31" s="148">
        <v>52608039.149999894</v>
      </c>
      <c r="Q31" s="148">
        <v>53265568.850000001</v>
      </c>
      <c r="R31" s="148"/>
      <c r="S31" s="227">
        <f t="shared" si="7"/>
        <v>579371381.17999983</v>
      </c>
      <c r="T31" s="436">
        <f t="shared" si="6"/>
        <v>9.3831403035014382</v>
      </c>
      <c r="U31" s="472"/>
    </row>
    <row r="32" spans="1:24">
      <c r="A32" s="135">
        <v>412</v>
      </c>
      <c r="B32" s="530" t="str">
        <f>+VLOOKUP($A32,Master!$D$30:$G$226,4,FALSE)</f>
        <v>Ostala lična primanja</v>
      </c>
      <c r="C32" s="531"/>
      <c r="D32" s="531"/>
      <c r="E32" s="531"/>
      <c r="F32" s="531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1492303.3399999996</v>
      </c>
      <c r="P32" s="148">
        <v>1738506.7600000007</v>
      </c>
      <c r="Q32" s="148">
        <v>1512560.2500000005</v>
      </c>
      <c r="R32" s="148"/>
      <c r="S32" s="227">
        <f t="shared" si="7"/>
        <v>15521356.789999999</v>
      </c>
      <c r="T32" s="436">
        <f t="shared" si="6"/>
        <v>0.25137428805104783</v>
      </c>
      <c r="U32" s="472"/>
      <c r="V32" s="275"/>
    </row>
    <row r="33" spans="1:24">
      <c r="A33" s="135">
        <v>413</v>
      </c>
      <c r="B33" s="530" t="str">
        <f>+VLOOKUP($A33,Master!$D$30:$G$226,4,FALSE)</f>
        <v>Rashodi za materijal</v>
      </c>
      <c r="C33" s="531"/>
      <c r="D33" s="531"/>
      <c r="E33" s="531"/>
      <c r="F33" s="531"/>
      <c r="G33" s="148">
        <v>94282.16</v>
      </c>
      <c r="H33" s="148">
        <v>2774531.1399999997</v>
      </c>
      <c r="I33" s="148">
        <v>5143114.03</v>
      </c>
      <c r="J33" s="148">
        <v>1985561.6999999997</v>
      </c>
      <c r="K33" s="148">
        <v>3182782.03</v>
      </c>
      <c r="L33" s="148">
        <v>3142744.6099999994</v>
      </c>
      <c r="M33" s="148">
        <v>5440332.5299999993</v>
      </c>
      <c r="N33" s="148">
        <v>3657348.8600000013</v>
      </c>
      <c r="O33" s="148">
        <v>2712249.46</v>
      </c>
      <c r="P33" s="148">
        <v>2981036.7899999996</v>
      </c>
      <c r="Q33" s="148">
        <v>3119936.27</v>
      </c>
      <c r="R33" s="148"/>
      <c r="S33" s="227">
        <f t="shared" si="7"/>
        <v>34233919.579999998</v>
      </c>
      <c r="T33" s="436">
        <f t="shared" si="6"/>
        <v>0.55443137336831538</v>
      </c>
      <c r="U33" s="472"/>
    </row>
    <row r="34" spans="1:24" s="334" customFormat="1">
      <c r="A34" s="333">
        <v>414</v>
      </c>
      <c r="B34" s="548" t="str">
        <f>+VLOOKUP($A34,Master!$D$30:$G$226,4,FALSE)</f>
        <v>Rashodi za usluge</v>
      </c>
      <c r="C34" s="549"/>
      <c r="D34" s="549"/>
      <c r="E34" s="549"/>
      <c r="F34" s="549"/>
      <c r="G34" s="148">
        <v>878544.59</v>
      </c>
      <c r="H34" s="148">
        <v>3754705.580000001</v>
      </c>
      <c r="I34" s="148">
        <v>7000663.9900000002</v>
      </c>
      <c r="J34" s="148">
        <v>5103603.8800000008</v>
      </c>
      <c r="K34" s="148">
        <v>5116679.2600000007</v>
      </c>
      <c r="L34" s="148">
        <v>5842993.4800000004</v>
      </c>
      <c r="M34" s="148">
        <v>6720033.8999999985</v>
      </c>
      <c r="N34" s="148">
        <v>3654146.2299999995</v>
      </c>
      <c r="O34" s="148">
        <v>5383005.5499999998</v>
      </c>
      <c r="P34" s="148">
        <v>7916605.3000000007</v>
      </c>
      <c r="Q34" s="148">
        <v>4560503.3</v>
      </c>
      <c r="R34" s="148"/>
      <c r="S34" s="227">
        <f t="shared" si="7"/>
        <v>55931485.059999987</v>
      </c>
      <c r="T34" s="436">
        <f t="shared" si="6"/>
        <v>0.90583171476694824</v>
      </c>
      <c r="U34" s="472"/>
    </row>
    <row r="35" spans="1:24">
      <c r="A35" s="135">
        <v>415</v>
      </c>
      <c r="B35" s="530" t="str">
        <f>+VLOOKUP($A35,Master!$D$30:$G$226,4,FALSE)</f>
        <v>Rashodi za tekuće održavanje</v>
      </c>
      <c r="C35" s="531"/>
      <c r="D35" s="531"/>
      <c r="E35" s="531"/>
      <c r="F35" s="531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4029885.51</v>
      </c>
      <c r="Q35" s="148">
        <v>1422107.5499999998</v>
      </c>
      <c r="R35" s="148"/>
      <c r="S35" s="227">
        <f t="shared" si="7"/>
        <v>21803949.27</v>
      </c>
      <c r="T35" s="436">
        <f t="shared" si="6"/>
        <v>0.35312326741813233</v>
      </c>
      <c r="U35" s="472"/>
    </row>
    <row r="36" spans="1:24">
      <c r="A36" s="135">
        <v>416</v>
      </c>
      <c r="B36" s="530" t="str">
        <f>+VLOOKUP($A36,Master!$D$30:$G$226,4,FALSE)</f>
        <v>Kamate</v>
      </c>
      <c r="C36" s="531"/>
      <c r="D36" s="531"/>
      <c r="E36" s="531"/>
      <c r="F36" s="531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16506464.790000001</v>
      </c>
      <c r="R36" s="148"/>
      <c r="S36" s="227">
        <f>+SUM(G36:R36)</f>
        <v>98120740.940000013</v>
      </c>
      <c r="T36" s="436">
        <f t="shared" si="6"/>
        <v>1.5891027911119751</v>
      </c>
      <c r="U36" s="472"/>
      <c r="V36" s="275"/>
    </row>
    <row r="37" spans="1:24">
      <c r="A37" s="135">
        <v>417</v>
      </c>
      <c r="B37" s="530" t="str">
        <f>+VLOOKUP($A37,Master!$D$30:$G$226,4,FALSE)</f>
        <v>Renta</v>
      </c>
      <c r="C37" s="531"/>
      <c r="D37" s="531"/>
      <c r="E37" s="531"/>
      <c r="F37" s="531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1476996.9500000004</v>
      </c>
      <c r="Q37" s="148">
        <v>625555.81000000041</v>
      </c>
      <c r="R37" s="148"/>
      <c r="S37" s="227">
        <f t="shared" si="7"/>
        <v>9336087.3700000029</v>
      </c>
      <c r="T37" s="436">
        <f t="shared" si="6"/>
        <v>0.15120149272827393</v>
      </c>
      <c r="U37" s="472"/>
      <c r="V37" s="275"/>
    </row>
    <row r="38" spans="1:24">
      <c r="A38" s="135">
        <v>418</v>
      </c>
      <c r="B38" s="530" t="str">
        <f>+VLOOKUP($A38,Master!$D$30:$G$226,4,FALSE)</f>
        <v>Subvencije</v>
      </c>
      <c r="C38" s="531"/>
      <c r="D38" s="531"/>
      <c r="E38" s="531"/>
      <c r="F38" s="531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8099742.5000000009</v>
      </c>
      <c r="R38" s="148"/>
      <c r="S38" s="227">
        <f t="shared" si="7"/>
        <v>52643641.68</v>
      </c>
      <c r="T38" s="436">
        <f t="shared" si="6"/>
        <v>0.85258383830531526</v>
      </c>
      <c r="U38" s="472"/>
    </row>
    <row r="39" spans="1:24">
      <c r="A39" s="135">
        <v>419</v>
      </c>
      <c r="B39" s="530" t="str">
        <f>+VLOOKUP($A39,Master!$D$30:$G$226,4,FALSE)</f>
        <v>Ostali izdaci</v>
      </c>
      <c r="C39" s="531"/>
      <c r="D39" s="531"/>
      <c r="E39" s="531"/>
      <c r="F39" s="531"/>
      <c r="G39" s="148">
        <v>416534.64999999997</v>
      </c>
      <c r="H39" s="148">
        <v>3225412.79</v>
      </c>
      <c r="I39" s="148">
        <v>5294157.3499999987</v>
      </c>
      <c r="J39" s="148">
        <v>3267725.4499999988</v>
      </c>
      <c r="K39" s="148">
        <v>5644358.5800000001</v>
      </c>
      <c r="L39" s="148">
        <v>3510703.5800000005</v>
      </c>
      <c r="M39" s="148">
        <v>5431693.9500000002</v>
      </c>
      <c r="N39" s="148">
        <v>2956417.3100000005</v>
      </c>
      <c r="O39" s="148">
        <v>3845765.4999999991</v>
      </c>
      <c r="P39" s="148">
        <v>4714052.47</v>
      </c>
      <c r="Q39" s="148">
        <v>3828738.4200000009</v>
      </c>
      <c r="R39" s="148"/>
      <c r="S39" s="227">
        <f t="shared" si="7"/>
        <v>42135560.050000004</v>
      </c>
      <c r="T39" s="436">
        <f t="shared" si="6"/>
        <v>0.68240145191591361</v>
      </c>
      <c r="U39" s="472"/>
      <c r="V39" s="275"/>
    </row>
    <row r="40" spans="1:24">
      <c r="A40" s="135">
        <v>42</v>
      </c>
      <c r="B40" s="526" t="str">
        <f>+VLOOKUP($A40,Master!$D$30:$G$226,4,FALSE)</f>
        <v>Transferi za socijalnu zaštitu</v>
      </c>
      <c r="C40" s="527"/>
      <c r="D40" s="527"/>
      <c r="E40" s="527"/>
      <c r="F40" s="527"/>
      <c r="G40" s="178">
        <f>+SUM(G41:G45)</f>
        <v>58447908.409999996</v>
      </c>
      <c r="H40" s="178">
        <f t="shared" ref="H40:L40" si="14">+SUM(H41:H45)</f>
        <v>66352183.089999989</v>
      </c>
      <c r="I40" s="178">
        <f t="shared" si="14"/>
        <v>68141527.619999975</v>
      </c>
      <c r="J40" s="178">
        <f t="shared" si="14"/>
        <v>65511040.719999991</v>
      </c>
      <c r="K40" s="178">
        <f t="shared" si="14"/>
        <v>64802740.460000001</v>
      </c>
      <c r="L40" s="178">
        <f t="shared" si="14"/>
        <v>68662273.439999968</v>
      </c>
      <c r="M40" s="178">
        <f t="shared" ref="M40:R40" si="15">+SUM(M41:M45)</f>
        <v>68456466.98999998</v>
      </c>
      <c r="N40" s="178">
        <f t="shared" si="15"/>
        <v>69385673.090000004</v>
      </c>
      <c r="O40" s="178">
        <f t="shared" si="15"/>
        <v>69024963.099999979</v>
      </c>
      <c r="P40" s="178">
        <f t="shared" si="15"/>
        <v>74279759.519999966</v>
      </c>
      <c r="Q40" s="178">
        <f t="shared" si="15"/>
        <v>73224235.459999979</v>
      </c>
      <c r="R40" s="178">
        <f t="shared" si="15"/>
        <v>0</v>
      </c>
      <c r="S40" s="458">
        <f t="shared" si="7"/>
        <v>746288771.89999986</v>
      </c>
      <c r="T40" s="459">
        <f t="shared" si="6"/>
        <v>12.086431054643214</v>
      </c>
      <c r="U40" s="472"/>
    </row>
    <row r="41" spans="1:24">
      <c r="A41" s="135">
        <v>421</v>
      </c>
      <c r="B41" s="530" t="str">
        <f>+VLOOKUP($A41,Master!$D$30:$G$226,4,FALSE)</f>
        <v>Prava iz oblasti socijalne zaštite</v>
      </c>
      <c r="C41" s="531"/>
      <c r="D41" s="531"/>
      <c r="E41" s="531"/>
      <c r="F41" s="531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18268592.150000002</v>
      </c>
      <c r="R41" s="148"/>
      <c r="S41" s="227">
        <f t="shared" si="7"/>
        <v>191322157.52000001</v>
      </c>
      <c r="T41" s="436">
        <f t="shared" si="6"/>
        <v>3.0985352495708227</v>
      </c>
      <c r="U41" s="472"/>
    </row>
    <row r="42" spans="1:24">
      <c r="A42" s="135">
        <v>422</v>
      </c>
      <c r="B42" s="530" t="str">
        <f>+VLOOKUP($A42,Master!$D$30:$G$226,4,FALSE)</f>
        <v>Sredstva za tehnološke viškove</v>
      </c>
      <c r="C42" s="531"/>
      <c r="D42" s="531"/>
      <c r="E42" s="531"/>
      <c r="F42" s="531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/>
      <c r="S42" s="227">
        <f t="shared" si="7"/>
        <v>20340998.719999999</v>
      </c>
      <c r="T42" s="436">
        <f t="shared" si="6"/>
        <v>0.32943022576361219</v>
      </c>
      <c r="U42" s="472"/>
      <c r="V42" s="275"/>
    </row>
    <row r="43" spans="1:24">
      <c r="A43" s="135">
        <v>423</v>
      </c>
      <c r="B43" s="530" t="str">
        <f>+VLOOKUP($A43,Master!$D$30:$G$226,4,FALSE)</f>
        <v>Prava iz oblasti penzijskog i invalidskog osiguranja</v>
      </c>
      <c r="C43" s="531"/>
      <c r="D43" s="531"/>
      <c r="E43" s="531"/>
      <c r="F43" s="531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47134576.519999981</v>
      </c>
      <c r="P43" s="148">
        <v>49444502.92999997</v>
      </c>
      <c r="Q43" s="148">
        <v>49638526.679999977</v>
      </c>
      <c r="R43" s="148"/>
      <c r="S43" s="227">
        <f t="shared" si="7"/>
        <v>503827526.00999987</v>
      </c>
      <c r="T43" s="436">
        <f t="shared" si="6"/>
        <v>8.1596787809736639</v>
      </c>
      <c r="U43" s="472"/>
    </row>
    <row r="44" spans="1:24">
      <c r="A44" s="135">
        <v>424</v>
      </c>
      <c r="B44" s="530" t="str">
        <f>+VLOOKUP($A44,Master!$D$30:$G$226,4,FALSE)</f>
        <v>Ostala prava iz oblasti zdravstvene zaštite</v>
      </c>
      <c r="C44" s="531"/>
      <c r="D44" s="531"/>
      <c r="E44" s="531"/>
      <c r="F44" s="531"/>
      <c r="G44" s="148">
        <v>944561.01</v>
      </c>
      <c r="H44" s="148">
        <v>1207435.98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/>
      <c r="S44" s="227">
        <f t="shared" si="7"/>
        <v>17199302.41</v>
      </c>
      <c r="T44" s="436">
        <f t="shared" si="6"/>
        <v>0.27854925679396236</v>
      </c>
      <c r="U44" s="472"/>
    </row>
    <row r="45" spans="1:24" s="334" customFormat="1">
      <c r="A45" s="333">
        <v>425</v>
      </c>
      <c r="B45" s="550" t="str">
        <f>+VLOOKUP($A45,Master!$D$30:$G$226,4,FALSE)</f>
        <v>Ostala prava iz zdravstvenog osiguranja</v>
      </c>
      <c r="C45" s="551"/>
      <c r="D45" s="551"/>
      <c r="E45" s="551"/>
      <c r="F45" s="551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/>
      <c r="S45" s="227">
        <f t="shared" si="7"/>
        <v>13598787.24</v>
      </c>
      <c r="T45" s="436">
        <f t="shared" si="6"/>
        <v>0.22023754154115247</v>
      </c>
      <c r="U45" s="472"/>
    </row>
    <row r="46" spans="1:24">
      <c r="A46" s="135">
        <v>43</v>
      </c>
      <c r="B46" s="528" t="str">
        <f>+VLOOKUP($A46,Master!$D$30:$G$226,4,FALSE)</f>
        <v xml:space="preserve">Transferi institucijama, pojedincima, nevladinom i javnom sektoru </v>
      </c>
      <c r="C46" s="529"/>
      <c r="D46" s="529"/>
      <c r="E46" s="529"/>
      <c r="F46" s="529"/>
      <c r="G46" s="160">
        <v>1844828.6800000002</v>
      </c>
      <c r="H46" s="160">
        <v>24914414.260000002</v>
      </c>
      <c r="I46" s="160">
        <v>29338654.910000004</v>
      </c>
      <c r="J46" s="160">
        <v>33942991.660000004</v>
      </c>
      <c r="K46" s="160">
        <v>22605169.219999999</v>
      </c>
      <c r="L46" s="160">
        <v>32410366.539999999</v>
      </c>
      <c r="M46" s="160">
        <v>42636767.620000012</v>
      </c>
      <c r="N46" s="160">
        <v>30808862.149999999</v>
      </c>
      <c r="O46" s="160">
        <v>36649454.560000002</v>
      </c>
      <c r="P46" s="160">
        <v>29874334.260000002</v>
      </c>
      <c r="Q46" s="160">
        <v>24735752.080000002</v>
      </c>
      <c r="R46" s="160"/>
      <c r="S46" s="228">
        <f t="shared" si="7"/>
        <v>309761595.94</v>
      </c>
      <c r="T46" s="437">
        <f t="shared" si="6"/>
        <v>5.016707089366113</v>
      </c>
      <c r="U46" s="472"/>
    </row>
    <row r="47" spans="1:24">
      <c r="A47" s="135">
        <v>44</v>
      </c>
      <c r="B47" s="528" t="str">
        <f>+VLOOKUP($A47,Master!$D$30:$G$226,4,FALSE)</f>
        <v>Kapitalni izdaci</v>
      </c>
      <c r="C47" s="529"/>
      <c r="D47" s="529"/>
      <c r="E47" s="529"/>
      <c r="F47" s="529"/>
      <c r="G47" s="160">
        <v>420202.33999999997</v>
      </c>
      <c r="H47" s="160">
        <v>4450440.01</v>
      </c>
      <c r="I47" s="160">
        <v>10112490.899999999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24259570.459999993</v>
      </c>
      <c r="O47" s="160">
        <v>28174115.569999997</v>
      </c>
      <c r="P47" s="160">
        <v>24805817.179999996</v>
      </c>
      <c r="Q47" s="160">
        <v>19772821.41</v>
      </c>
      <c r="R47" s="160"/>
      <c r="S47" s="228">
        <f t="shared" si="7"/>
        <v>158348509.91999999</v>
      </c>
      <c r="T47" s="437">
        <f t="shared" si="6"/>
        <v>2.5645144611796713</v>
      </c>
      <c r="U47" s="472"/>
      <c r="V47" s="275"/>
      <c r="W47" s="292"/>
      <c r="X47" s="292"/>
    </row>
    <row r="48" spans="1:24">
      <c r="A48" s="135">
        <v>451</v>
      </c>
      <c r="B48" s="552" t="str">
        <f>+VLOOKUP($A48,Master!$D$30:$G$226,4,FALSE)</f>
        <v>Pozajmice i krediti</v>
      </c>
      <c r="C48" s="553"/>
      <c r="D48" s="553"/>
      <c r="E48" s="553"/>
      <c r="F48" s="553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/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557" t="str">
        <f>+VLOOKUP($A49,Master!$D$30:$G$226,4,FALSE)</f>
        <v>Rezerve</v>
      </c>
      <c r="C49" s="558"/>
      <c r="D49" s="558"/>
      <c r="E49" s="558"/>
      <c r="F49" s="558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/>
      <c r="S49" s="227">
        <f t="shared" si="7"/>
        <v>12858957.659999998</v>
      </c>
      <c r="T49" s="436">
        <f t="shared" si="6"/>
        <v>0.20825571956078126</v>
      </c>
      <c r="U49" s="472"/>
    </row>
    <row r="50" spans="1:21" ht="13.5" thickBot="1">
      <c r="A50" s="135">
        <v>462</v>
      </c>
      <c r="B50" s="516" t="str">
        <f>+VLOOKUP($A50,Master!$D$30:$G$226,4,FALSE)</f>
        <v>Otplata garancija</v>
      </c>
      <c r="C50" s="517"/>
      <c r="D50" s="517"/>
      <c r="E50" s="517"/>
      <c r="F50" s="517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/>
      <c r="S50" s="227">
        <f t="shared" si="7"/>
        <v>2813572.16</v>
      </c>
      <c r="T50" s="436">
        <f t="shared" si="6"/>
        <v>4.5566873319729216E-2</v>
      </c>
      <c r="U50" s="472"/>
    </row>
    <row r="51" spans="1:21" ht="13.5" thickBot="1">
      <c r="A51" s="129">
        <v>4630</v>
      </c>
      <c r="B51" s="559" t="str">
        <f>+VLOOKUP($A51,Master!$D$30:$G$226,4,TRUE)</f>
        <v>Otplata obaveza iz prethodnog perioda</v>
      </c>
      <c r="C51" s="560"/>
      <c r="D51" s="560"/>
      <c r="E51" s="560"/>
      <c r="F51" s="560"/>
      <c r="G51" s="430">
        <v>968479.09000000008</v>
      </c>
      <c r="H51" s="430">
        <v>1883378.3499999994</v>
      </c>
      <c r="I51" s="430">
        <v>1288018.07</v>
      </c>
      <c r="J51" s="430">
        <v>825899.93</v>
      </c>
      <c r="K51" s="430">
        <v>1087430.8599999999</v>
      </c>
      <c r="L51" s="430">
        <v>1868729.74</v>
      </c>
      <c r="M51" s="430">
        <v>1167301.5299999998</v>
      </c>
      <c r="N51" s="430">
        <v>1020878.81</v>
      </c>
      <c r="O51" s="430">
        <v>534159.07000000007</v>
      </c>
      <c r="P51" s="430">
        <v>1076828.46</v>
      </c>
      <c r="Q51" s="430">
        <v>3314958.48</v>
      </c>
      <c r="R51" s="430"/>
      <c r="S51" s="398">
        <f>+SUM(G51:R51)</f>
        <v>15036062.390000001</v>
      </c>
      <c r="T51" s="440">
        <f t="shared" si="6"/>
        <v>0.24351476030836008</v>
      </c>
      <c r="U51" s="472"/>
    </row>
    <row r="52" spans="1:21" ht="13.5" thickBot="1">
      <c r="A52" s="61">
        <v>1005</v>
      </c>
      <c r="B52" s="561" t="str">
        <f>+VLOOKUP($A52,Master!$D$30:$G$228,4,FALSE)</f>
        <v>Neto povećanje obaveza</v>
      </c>
      <c r="C52" s="562"/>
      <c r="D52" s="562"/>
      <c r="E52" s="562"/>
      <c r="F52" s="562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22" t="str">
        <f>+VLOOKUP($A53,Master!$D$30:$G$226,4,FALSE)</f>
        <v>Suficit / deficit</v>
      </c>
      <c r="C53" s="523"/>
      <c r="D53" s="523"/>
      <c r="E53" s="523"/>
      <c r="F53" s="523"/>
      <c r="G53" s="136">
        <f t="shared" ref="G53:L53" si="16">+G10-G29</f>
        <v>52636393.050000027</v>
      </c>
      <c r="H53" s="136">
        <f t="shared" si="16"/>
        <v>-28148057.060000211</v>
      </c>
      <c r="I53" s="136">
        <f t="shared" si="16"/>
        <v>38668476.860000134</v>
      </c>
      <c r="J53" s="136">
        <f t="shared" si="16"/>
        <v>48995805.170000046</v>
      </c>
      <c r="K53" s="136">
        <f t="shared" si="16"/>
        <v>-3262562.7599998713</v>
      </c>
      <c r="L53" s="136">
        <f t="shared" si="16"/>
        <v>55955516.159999996</v>
      </c>
      <c r="M53" s="136">
        <f t="shared" ref="M53:R53" si="17">+M10-M29</f>
        <v>-15814577.049999833</v>
      </c>
      <c r="N53" s="136">
        <f t="shared" si="17"/>
        <v>43079508.639999896</v>
      </c>
      <c r="O53" s="136">
        <f t="shared" si="17"/>
        <v>-15604804.079999924</v>
      </c>
      <c r="P53" s="136">
        <f t="shared" si="17"/>
        <v>7176367.4500001073</v>
      </c>
      <c r="Q53" s="136">
        <f t="shared" si="17"/>
        <v>-25177519.550000012</v>
      </c>
      <c r="R53" s="136">
        <f t="shared" si="17"/>
        <v>0</v>
      </c>
      <c r="S53" s="233">
        <f>SUM(G53:R53)</f>
        <v>158504546.83000037</v>
      </c>
      <c r="T53" s="442">
        <f t="shared" si="6"/>
        <v>2.5670415383992546</v>
      </c>
    </row>
    <row r="54" spans="1:21" ht="13.5" thickBot="1">
      <c r="A54" s="129">
        <v>1001</v>
      </c>
      <c r="B54" s="524" t="str">
        <f>+VLOOKUP($A54,Master!$D$30:$G$226,4,FALSE)</f>
        <v>Primarni suficit/deficit</v>
      </c>
      <c r="C54" s="525"/>
      <c r="D54" s="525"/>
      <c r="E54" s="525"/>
      <c r="F54" s="525"/>
      <c r="G54" s="190">
        <f t="shared" ref="G54:L54" si="18">+G53+G36</f>
        <v>56603288.810000025</v>
      </c>
      <c r="H54" s="190">
        <f t="shared" si="18"/>
        <v>-25716990.270000212</v>
      </c>
      <c r="I54" s="190">
        <f t="shared" si="18"/>
        <v>40404109.670000136</v>
      </c>
      <c r="J54" s="190">
        <f t="shared" si="18"/>
        <v>72135809.410000056</v>
      </c>
      <c r="K54" s="190">
        <f t="shared" si="18"/>
        <v>11412820.750000129</v>
      </c>
      <c r="L54" s="190">
        <f t="shared" si="18"/>
        <v>58873980.269999996</v>
      </c>
      <c r="M54" s="190">
        <f t="shared" ref="M54:R54" si="19">+M53+M36</f>
        <v>-8250334.1999998335</v>
      </c>
      <c r="N54" s="190">
        <f t="shared" si="19"/>
        <v>46868059.739999898</v>
      </c>
      <c r="O54" s="190">
        <f t="shared" si="19"/>
        <v>3615203.5000000745</v>
      </c>
      <c r="P54" s="190">
        <f t="shared" si="19"/>
        <v>9350394.8500001077</v>
      </c>
      <c r="Q54" s="190">
        <f t="shared" si="19"/>
        <v>-8671054.760000011</v>
      </c>
      <c r="R54" s="190">
        <f t="shared" si="19"/>
        <v>0</v>
      </c>
      <c r="S54" s="233">
        <f t="shared" si="7"/>
        <v>256625287.77000034</v>
      </c>
      <c r="T54" s="442">
        <f t="shared" si="6"/>
        <v>4.1561443295112293</v>
      </c>
    </row>
    <row r="55" spans="1:21">
      <c r="A55" s="129">
        <v>46</v>
      </c>
      <c r="B55" s="546" t="str">
        <f>+VLOOKUP($A55,Master!$D$30:$G$226,4,FALSE)</f>
        <v>Otplata dugova</v>
      </c>
      <c r="C55" s="547"/>
      <c r="D55" s="547"/>
      <c r="E55" s="547"/>
      <c r="F55" s="547"/>
      <c r="G55" s="178">
        <f t="shared" ref="G55:L55" si="20">+SUM(G56:G57)</f>
        <v>29896704.300000001</v>
      </c>
      <c r="H55" s="178">
        <f t="shared" si="20"/>
        <v>5811024.9299999997</v>
      </c>
      <c r="I55" s="178">
        <f t="shared" si="20"/>
        <v>8077109.9900000002</v>
      </c>
      <c r="J55" s="160">
        <f t="shared" si="20"/>
        <v>7902599.2300000004</v>
      </c>
      <c r="K55" s="178">
        <f t="shared" si="20"/>
        <v>91927760.939999998</v>
      </c>
      <c r="L55" s="178">
        <f t="shared" si="20"/>
        <v>16027590.799999999</v>
      </c>
      <c r="M55" s="178">
        <f t="shared" ref="M55:R55" si="21">+SUM(M56:M57)</f>
        <v>31852596.969999999</v>
      </c>
      <c r="N55" s="178">
        <f t="shared" si="21"/>
        <v>6400171.3600000003</v>
      </c>
      <c r="O55" s="178">
        <f t="shared" si="21"/>
        <v>16517635.09</v>
      </c>
      <c r="P55" s="178">
        <f t="shared" si="21"/>
        <v>8209323.5700000003</v>
      </c>
      <c r="Q55" s="178">
        <f t="shared" si="21"/>
        <v>53661950.479999997</v>
      </c>
      <c r="R55" s="178">
        <f t="shared" si="21"/>
        <v>0</v>
      </c>
      <c r="S55" s="234">
        <f t="shared" si="7"/>
        <v>276284467.66000003</v>
      </c>
      <c r="T55" s="443">
        <f t="shared" si="6"/>
        <v>4.4745322394972957</v>
      </c>
    </row>
    <row r="56" spans="1:21">
      <c r="A56" s="129">
        <v>4611</v>
      </c>
      <c r="B56" s="514" t="str">
        <f>+VLOOKUP($A56,Master!$D$30:$G$226,4,FALSE)</f>
        <v>Otplata hartija od vrijednosti i kredita rezidentima</v>
      </c>
      <c r="C56" s="515"/>
      <c r="D56" s="515"/>
      <c r="E56" s="515"/>
      <c r="F56" s="515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/>
      <c r="S56" s="235">
        <f t="shared" si="7"/>
        <v>73784803.379999995</v>
      </c>
      <c r="T56" s="444">
        <f t="shared" si="6"/>
        <v>1.1949730084539887</v>
      </c>
    </row>
    <row r="57" spans="1:21" ht="13.5" thickBot="1">
      <c r="A57" s="129">
        <v>4612</v>
      </c>
      <c r="B57" s="498" t="str">
        <f>+VLOOKUP($A57,Master!$D$30:$G$226,4,FALSE)</f>
        <v>Otplata hartija od vrijednosti i kredita nerezidentima</v>
      </c>
      <c r="C57" s="499"/>
      <c r="D57" s="499"/>
      <c r="E57" s="499"/>
      <c r="F57" s="499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/>
      <c r="S57" s="235">
        <f t="shared" si="7"/>
        <v>202499664.27999997</v>
      </c>
      <c r="T57" s="444">
        <f t="shared" si="6"/>
        <v>3.2795592310433062</v>
      </c>
    </row>
    <row r="58" spans="1:21" ht="13.5" thickBot="1">
      <c r="A58" s="129">
        <v>4418</v>
      </c>
      <c r="B58" s="536" t="str">
        <f>+VLOOKUP($A58,Master!$D$30:$G$226,4,FALSE)</f>
        <v>Izdaci za kupovinu hartija od vrijednosti</v>
      </c>
      <c r="C58" s="537"/>
      <c r="D58" s="537"/>
      <c r="E58" s="537"/>
      <c r="F58" s="537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/>
      <c r="S58" s="234">
        <f>SUM(G58:R58)</f>
        <v>720866.76</v>
      </c>
      <c r="T58" s="445">
        <f t="shared" si="6"/>
        <v>1.1674711884170635E-2</v>
      </c>
    </row>
    <row r="59" spans="1:21" ht="13.5" thickBot="1">
      <c r="A59" s="135">
        <v>451</v>
      </c>
      <c r="B59" s="536" t="str">
        <f>+VLOOKUP($A59,Master!$D$30:$G$226,4,FALSE)</f>
        <v>Pozajmice i krediti</v>
      </c>
      <c r="C59" s="537"/>
      <c r="D59" s="537"/>
      <c r="E59" s="537"/>
      <c r="F59" s="537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/>
      <c r="S59" s="234">
        <f>SUM(G59:R59)</f>
        <v>9289595.209999999</v>
      </c>
      <c r="T59" s="445">
        <f t="shared" si="6"/>
        <v>0.15044853447996631</v>
      </c>
    </row>
    <row r="60" spans="1:21" ht="13.5" thickBot="1">
      <c r="A60" s="129">
        <v>1002</v>
      </c>
      <c r="B60" s="518" t="str">
        <f>+VLOOKUP($A60,Master!$D$30:$G$226,4,FALSE)</f>
        <v>Nedostajuća sredstva</v>
      </c>
      <c r="C60" s="519"/>
      <c r="D60" s="519"/>
      <c r="E60" s="519"/>
      <c r="F60" s="519"/>
      <c r="G60" s="202">
        <f>+G53-G55-G58-G59</f>
        <v>22478288.730000027</v>
      </c>
      <c r="H60" s="202">
        <f t="shared" ref="H60:L60" si="22">+H53-H55-H58-H59</f>
        <v>-35534531.310000211</v>
      </c>
      <c r="I60" s="202">
        <f t="shared" si="22"/>
        <v>30207574.20000013</v>
      </c>
      <c r="J60" s="202">
        <f t="shared" si="22"/>
        <v>37558548.050000042</v>
      </c>
      <c r="K60" s="202">
        <f t="shared" si="22"/>
        <v>-95819471.589999869</v>
      </c>
      <c r="L60" s="202">
        <f t="shared" si="22"/>
        <v>38714404.310000002</v>
      </c>
      <c r="M60" s="202">
        <f t="shared" ref="M60" si="23">+M53-M55-M58-M59</f>
        <v>-48208919.379999831</v>
      </c>
      <c r="N60" s="202">
        <f t="shared" ref="N60" si="24">+N53-N55-N58-N59</f>
        <v>36250676.879999898</v>
      </c>
      <c r="O60" s="202">
        <f t="shared" ref="O60" si="25">+O53-O55-O58-O59</f>
        <v>-33052109.019999925</v>
      </c>
      <c r="P60" s="202">
        <f t="shared" ref="P60" si="26">+P53-P55-P58-P59</f>
        <v>-1545373.639999893</v>
      </c>
      <c r="Q60" s="202">
        <f t="shared" ref="Q60" si="27">+Q53-Q55-Q58-Q59</f>
        <v>-78839470.030000001</v>
      </c>
      <c r="R60" s="202">
        <f t="shared" ref="R60:S60" si="28">+R53-R55-R58-R59</f>
        <v>0</v>
      </c>
      <c r="S60" s="234">
        <f t="shared" si="28"/>
        <v>-127790382.79999965</v>
      </c>
      <c r="T60" s="446">
        <f t="shared" si="6"/>
        <v>-2.069613947462178</v>
      </c>
    </row>
    <row r="61" spans="1:21" ht="13.5" thickBot="1">
      <c r="A61" s="129">
        <v>1003</v>
      </c>
      <c r="B61" s="520" t="str">
        <f>+VLOOKUP($A61,Master!$D$30:$G$226,4,FALSE)</f>
        <v>Finansiranje</v>
      </c>
      <c r="C61" s="521"/>
      <c r="D61" s="521"/>
      <c r="E61" s="521"/>
      <c r="F61" s="521"/>
      <c r="G61" s="136">
        <f>+SUM(G62:G66)</f>
        <v>-22478288.730000027</v>
      </c>
      <c r="H61" s="136">
        <f t="shared" ref="H61:L61" si="29">+SUM(H62:H66)</f>
        <v>35534531.310000211</v>
      </c>
      <c r="I61" s="136">
        <f t="shared" si="29"/>
        <v>-30207574.200000122</v>
      </c>
      <c r="J61" s="136">
        <f t="shared" si="29"/>
        <v>-37558548.050000042</v>
      </c>
      <c r="K61" s="136">
        <f t="shared" si="29"/>
        <v>95819471.589999869</v>
      </c>
      <c r="L61" s="136">
        <f t="shared" si="29"/>
        <v>-38714404.310000002</v>
      </c>
      <c r="M61" s="136">
        <f t="shared" ref="M61:R61" si="30">+SUM(M62:M66)</f>
        <v>48208919.379999831</v>
      </c>
      <c r="N61" s="136">
        <f t="shared" si="30"/>
        <v>-36250676.879999898</v>
      </c>
      <c r="O61" s="136">
        <f t="shared" si="30"/>
        <v>33052109.019999925</v>
      </c>
      <c r="P61" s="136">
        <f t="shared" si="30"/>
        <v>1545373.639999893</v>
      </c>
      <c r="Q61" s="136">
        <f t="shared" si="30"/>
        <v>78839470.030000001</v>
      </c>
      <c r="R61" s="136">
        <f t="shared" si="30"/>
        <v>0</v>
      </c>
      <c r="S61" s="237">
        <f t="shared" si="7"/>
        <v>127790382.79999964</v>
      </c>
      <c r="T61" s="447">
        <f t="shared" si="6"/>
        <v>2.069613947462178</v>
      </c>
    </row>
    <row r="62" spans="1:21">
      <c r="A62" s="129">
        <v>7511</v>
      </c>
      <c r="B62" s="514" t="str">
        <f>+VLOOKUP($A62,Master!$D$30:$G$226,4,FALSE)</f>
        <v>Pozajmice i krediti od domaćih izvora</v>
      </c>
      <c r="C62" s="515"/>
      <c r="D62" s="515"/>
      <c r="E62" s="515"/>
      <c r="F62" s="515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/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498" t="str">
        <f>+VLOOKUP($A63,Master!$D$30:$G$226,4,FALSE)</f>
        <v>Pozajmice i krediti od inostranih izvora</v>
      </c>
      <c r="C63" s="499"/>
      <c r="D63" s="499"/>
      <c r="E63" s="499"/>
      <c r="F63" s="499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1498615.24</v>
      </c>
      <c r="L63" s="196">
        <v>5152255.25</v>
      </c>
      <c r="M63" s="196">
        <v>944562.51</v>
      </c>
      <c r="N63" s="196">
        <v>360304.63</v>
      </c>
      <c r="O63" s="196">
        <v>4582991.13</v>
      </c>
      <c r="P63" s="196">
        <v>4316485.93</v>
      </c>
      <c r="Q63" s="196">
        <v>2073787.89</v>
      </c>
      <c r="R63" s="196"/>
      <c r="S63" s="235">
        <f t="shared" si="7"/>
        <v>126074371.85999997</v>
      </c>
      <c r="T63" s="444">
        <f t="shared" si="6"/>
        <v>2.0418224963560387</v>
      </c>
    </row>
    <row r="64" spans="1:21">
      <c r="A64" s="129">
        <v>72</v>
      </c>
      <c r="B64" s="498" t="str">
        <f>+VLOOKUP($A64,Master!$D$30:$G$226,4,FALSE)</f>
        <v>Primici od prodaje imovine</v>
      </c>
      <c r="C64" s="499"/>
      <c r="D64" s="499"/>
      <c r="E64" s="499"/>
      <c r="F64" s="499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/>
      <c r="S64" s="235">
        <f t="shared" si="7"/>
        <v>2508511.4300000006</v>
      </c>
      <c r="T64" s="444">
        <f t="shared" si="6"/>
        <v>4.062629854565479E-2</v>
      </c>
    </row>
    <row r="65" spans="1:20">
      <c r="A65" s="129">
        <v>73</v>
      </c>
      <c r="B65" s="498" t="s">
        <v>101</v>
      </c>
      <c r="C65" s="499"/>
      <c r="D65" s="499"/>
      <c r="E65" s="499"/>
      <c r="F65" s="499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759720.49</v>
      </c>
      <c r="P65" s="196">
        <v>714145.76</v>
      </c>
      <c r="Q65" s="196">
        <v>829356.05</v>
      </c>
      <c r="R65" s="196"/>
      <c r="S65" s="235">
        <f t="shared" si="7"/>
        <v>11589629.42</v>
      </c>
      <c r="T65" s="444">
        <f t="shared" si="6"/>
        <v>0.1876984650017815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-23852900.410000026</v>
      </c>
      <c r="H66" s="210">
        <f t="shared" ref="H66:L66" si="31">-H60-SUM(H62:H65)</f>
        <v>32293789.980000213</v>
      </c>
      <c r="I66" s="210">
        <f t="shared" si="31"/>
        <v>-133129061.34000012</v>
      </c>
      <c r="J66" s="210">
        <f t="shared" si="31"/>
        <v>-42492566.100000039</v>
      </c>
      <c r="K66" s="210">
        <f t="shared" si="31"/>
        <v>92544001.97999987</v>
      </c>
      <c r="L66" s="210">
        <f t="shared" si="31"/>
        <v>-47030592.640000001</v>
      </c>
      <c r="M66" s="210">
        <f t="shared" ref="M66:S66" si="32">-M60-SUM(M62:M65)</f>
        <v>46762269.179999828</v>
      </c>
      <c r="N66" s="210">
        <f t="shared" si="32"/>
        <v>-37478709.439999901</v>
      </c>
      <c r="O66" s="210">
        <f t="shared" si="32"/>
        <v>27641892.719999924</v>
      </c>
      <c r="P66" s="210">
        <f t="shared" si="32"/>
        <v>-3546758.5200001062</v>
      </c>
      <c r="Q66" s="210">
        <f t="shared" si="32"/>
        <v>75906504.680000007</v>
      </c>
      <c r="R66" s="210">
        <f t="shared" si="32"/>
        <v>0</v>
      </c>
      <c r="S66" s="490">
        <f t="shared" si="32"/>
        <v>-12382129.910000324</v>
      </c>
      <c r="T66" s="448">
        <f t="shared" si="6"/>
        <v>-0.20053331244129702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3">+CONCATENATE(G6,"p")</f>
        <v>2023-01p</v>
      </c>
      <c r="H82" s="59" t="str">
        <f t="shared" si="33"/>
        <v>2023-02p</v>
      </c>
      <c r="I82" s="59" t="str">
        <f t="shared" si="33"/>
        <v>2023-03p</v>
      </c>
      <c r="J82" s="59" t="str">
        <f t="shared" si="33"/>
        <v>2023-04p</v>
      </c>
      <c r="K82" s="59" t="str">
        <f t="shared" si="33"/>
        <v>2023-05p</v>
      </c>
      <c r="L82" s="59" t="str">
        <f t="shared" si="33"/>
        <v>2023-06p</v>
      </c>
      <c r="M82" s="59" t="str">
        <f t="shared" ref="M82:R82" si="34">+CONCATENATE(M6,"p")</f>
        <v>2023-07p</v>
      </c>
      <c r="N82" s="59" t="str">
        <f t="shared" si="34"/>
        <v>2023-08p</v>
      </c>
      <c r="O82" s="59" t="str">
        <f t="shared" si="34"/>
        <v>2023-09p</v>
      </c>
      <c r="P82" s="59" t="str">
        <f t="shared" si="34"/>
        <v>2023-10p</v>
      </c>
      <c r="Q82" s="59" t="str">
        <f t="shared" si="34"/>
        <v>2023-11p</v>
      </c>
      <c r="R82" s="59" t="str">
        <f t="shared" si="34"/>
        <v>2023-12p</v>
      </c>
    </row>
    <row r="83" spans="1:26" ht="15.75" customHeight="1" thickBot="1">
      <c r="B83" s="569" t="str">
        <f>+Master!G253</f>
        <v>Plan ostvarenja budžeta</v>
      </c>
      <c r="C83" s="570"/>
      <c r="D83" s="570"/>
      <c r="E83" s="570"/>
      <c r="F83" s="570"/>
      <c r="G83" s="554">
        <v>2023</v>
      </c>
      <c r="H83" s="555"/>
      <c r="I83" s="555"/>
      <c r="J83" s="555"/>
      <c r="K83" s="555"/>
      <c r="L83" s="555"/>
      <c r="M83" s="555"/>
      <c r="N83" s="555"/>
      <c r="O83" s="555"/>
      <c r="P83" s="555"/>
      <c r="Q83" s="555"/>
      <c r="R83" s="556"/>
      <c r="S83" s="96" t="str">
        <f>+S7</f>
        <v>BDP</v>
      </c>
      <c r="T83" s="97">
        <v>6174600000</v>
      </c>
    </row>
    <row r="84" spans="1:26" ht="15.75" customHeight="1">
      <c r="B84" s="571"/>
      <c r="C84" s="572"/>
      <c r="D84" s="572"/>
      <c r="E84" s="572"/>
      <c r="F84" s="573"/>
      <c r="G84" s="62" t="str">
        <f t="shared" ref="G84:L84" si="35">+G8</f>
        <v>Januar</v>
      </c>
      <c r="H84" s="62" t="str">
        <f t="shared" si="35"/>
        <v>Februar</v>
      </c>
      <c r="I84" s="62" t="str">
        <f t="shared" si="35"/>
        <v>Mart</v>
      </c>
      <c r="J84" s="62" t="str">
        <f t="shared" si="35"/>
        <v>April</v>
      </c>
      <c r="K84" s="62" t="str">
        <f t="shared" si="35"/>
        <v>Maj</v>
      </c>
      <c r="L84" s="62" t="str">
        <f t="shared" si="35"/>
        <v>Jun</v>
      </c>
      <c r="M84" s="62" t="str">
        <f t="shared" ref="M84:R84" si="36">+M8</f>
        <v>Jul</v>
      </c>
      <c r="N84" s="62" t="str">
        <f t="shared" si="36"/>
        <v>Avgust</v>
      </c>
      <c r="O84" s="62" t="str">
        <f t="shared" si="36"/>
        <v>Septembar</v>
      </c>
      <c r="P84" s="62" t="str">
        <f t="shared" si="36"/>
        <v>Oktobar</v>
      </c>
      <c r="Q84" s="62" t="str">
        <f t="shared" si="36"/>
        <v>Novembar</v>
      </c>
      <c r="R84" s="62" t="str">
        <f t="shared" si="36"/>
        <v>Decembar</v>
      </c>
      <c r="S84" s="554" t="str">
        <f>+Master!G247</f>
        <v>Jan - Dec</v>
      </c>
      <c r="T84" s="556">
        <f>+T8</f>
        <v>0</v>
      </c>
    </row>
    <row r="85" spans="1:26" ht="13.5" thickBot="1">
      <c r="B85" s="574"/>
      <c r="C85" s="575"/>
      <c r="D85" s="575"/>
      <c r="E85" s="575"/>
      <c r="F85" s="57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37">+CONCATENATE(A10,"p")</f>
        <v>7p</v>
      </c>
      <c r="B86" s="563" t="str">
        <f>+VLOOKUP(LEFT($A86,LEN(A86)-1)*1,Master!$D$30:$G$226,4,FALSE)</f>
        <v>Prihodi budžeta</v>
      </c>
      <c r="C86" s="564"/>
      <c r="D86" s="564"/>
      <c r="E86" s="564"/>
      <c r="F86" s="564"/>
      <c r="G86" s="82">
        <f t="shared" ref="G86:L86" si="38">+G87+G95+SUM(G100:G104)</f>
        <v>153112731.45240748</v>
      </c>
      <c r="H86" s="82">
        <f t="shared" si="38"/>
        <v>127832756.55548061</v>
      </c>
      <c r="I86" s="82">
        <f t="shared" si="38"/>
        <v>201740232.63025409</v>
      </c>
      <c r="J86" s="82">
        <f t="shared" si="38"/>
        <v>197163981.770235</v>
      </c>
      <c r="K86" s="82">
        <f t="shared" si="38"/>
        <v>158296327.97128749</v>
      </c>
      <c r="L86" s="82">
        <f t="shared" si="38"/>
        <v>167200464.48127508</v>
      </c>
      <c r="M86" s="82">
        <f t="shared" ref="M86:Q86" si="39">+M87+M95+SUM(M100:M104)</f>
        <v>181861975.69392896</v>
      </c>
      <c r="N86" s="82">
        <f t="shared" si="39"/>
        <v>202109513.21302867</v>
      </c>
      <c r="O86" s="82">
        <f t="shared" si="39"/>
        <v>185021882.2158348</v>
      </c>
      <c r="P86" s="82">
        <f t="shared" si="39"/>
        <v>177565269.2391125</v>
      </c>
      <c r="Q86" s="82">
        <f t="shared" si="39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34.779033695687104</v>
      </c>
      <c r="U86" s="243"/>
    </row>
    <row r="87" spans="1:26">
      <c r="A87" s="105" t="str">
        <f t="shared" si="37"/>
        <v>711p</v>
      </c>
      <c r="B87" s="565" t="str">
        <f>+VLOOKUP(LEFT($A87,LEN(A87)-1)*1,Master!$D$30:$G$226,4,FALSE)</f>
        <v>Porezi</v>
      </c>
      <c r="C87" s="566"/>
      <c r="D87" s="566"/>
      <c r="E87" s="566"/>
      <c r="F87" s="566"/>
      <c r="G87" s="69">
        <f t="shared" ref="G87:L87" si="40">+SUM(G88:G94)</f>
        <v>89053259.19649069</v>
      </c>
      <c r="H87" s="69">
        <f t="shared" si="40"/>
        <v>86133720.726993382</v>
      </c>
      <c r="I87" s="69">
        <f t="shared" si="40"/>
        <v>151611174.865978</v>
      </c>
      <c r="J87" s="69">
        <f t="shared" si="40"/>
        <v>145526098.37503338</v>
      </c>
      <c r="K87" s="69">
        <f t="shared" si="40"/>
        <v>114721167.87287787</v>
      </c>
      <c r="L87" s="69">
        <f t="shared" si="40"/>
        <v>116649816.05907366</v>
      </c>
      <c r="M87" s="69">
        <f t="shared" ref="M87:R87" si="41">+SUM(M88:M94)</f>
        <v>123219445.94451815</v>
      </c>
      <c r="N87" s="69">
        <f t="shared" si="41"/>
        <v>144506632.21078962</v>
      </c>
      <c r="O87" s="69">
        <f t="shared" si="41"/>
        <v>130700085.51141171</v>
      </c>
      <c r="P87" s="69">
        <f t="shared" si="41"/>
        <v>120588265.76124729</v>
      </c>
      <c r="Q87" s="69">
        <f t="shared" si="41"/>
        <v>112197774.08556552</v>
      </c>
      <c r="R87" s="70">
        <f t="shared" si="41"/>
        <v>130556572.94447696</v>
      </c>
      <c r="S87" s="100">
        <f t="shared" ref="S87:S141" si="42">+SUM(G87:R87)</f>
        <v>1465464013.5544562</v>
      </c>
      <c r="T87" s="435">
        <f t="shared" ref="T87:T142" si="43">+S87/$T$83*100</f>
        <v>23.733748154608499</v>
      </c>
      <c r="V87" s="292"/>
    </row>
    <row r="88" spans="1:26">
      <c r="A88" s="105" t="str">
        <f t="shared" si="37"/>
        <v>7111p</v>
      </c>
      <c r="B88" s="567" t="str">
        <f>+VLOOKUP(LEFT($A88,LEN(A88)-1)*1,Master!$D$30:$G$229,4,FALSE)</f>
        <v>Porez na dohodak fizičkih lica</v>
      </c>
      <c r="C88" s="568"/>
      <c r="D88" s="568"/>
      <c r="E88" s="568"/>
      <c r="F88" s="568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42"/>
        <v>61039853.663200006</v>
      </c>
      <c r="T88" s="436">
        <f t="shared" si="43"/>
        <v>0.98856369097917274</v>
      </c>
      <c r="V88" s="292"/>
    </row>
    <row r="89" spans="1:26">
      <c r="A89" s="105" t="str">
        <f t="shared" si="37"/>
        <v>7112p</v>
      </c>
      <c r="B89" s="567" t="str">
        <f>+VLOOKUP(LEFT($A89,LEN(A89)-1)*1,Master!$D$30:$G$229,4,FALSE)</f>
        <v>Porez na dobit pravnih lica</v>
      </c>
      <c r="C89" s="568"/>
      <c r="D89" s="568"/>
      <c r="E89" s="568"/>
      <c r="F89" s="568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42"/>
        <v>121648421.1653218</v>
      </c>
      <c r="T89" s="436">
        <f t="shared" si="43"/>
        <v>1.9701425382263109</v>
      </c>
      <c r="V89" s="292"/>
    </row>
    <row r="90" spans="1:26">
      <c r="A90" s="105" t="str">
        <f t="shared" si="37"/>
        <v>7113p</v>
      </c>
      <c r="B90" s="567" t="str">
        <f>+VLOOKUP(LEFT($A90,LEN(A90)-1)*1,Master!$D$30:$G$229,4,FALSE)</f>
        <v>Porez na promet nepokretnosti</v>
      </c>
      <c r="C90" s="568"/>
      <c r="D90" s="568"/>
      <c r="E90" s="568"/>
      <c r="F90" s="568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2"/>
        <v>0</v>
      </c>
      <c r="T90" s="436">
        <f t="shared" si="43"/>
        <v>0</v>
      </c>
      <c r="V90" s="292"/>
    </row>
    <row r="91" spans="1:26">
      <c r="A91" s="105" t="str">
        <f t="shared" si="37"/>
        <v>7114p</v>
      </c>
      <c r="B91" s="567" t="str">
        <f>+VLOOKUP(LEFT($A91,LEN(A91)-1)*1,Master!$D$30:$G$229,4,FALSE)</f>
        <v>Porez na dodatu vrijednost</v>
      </c>
      <c r="C91" s="568"/>
      <c r="D91" s="568"/>
      <c r="E91" s="568"/>
      <c r="F91" s="568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42"/>
        <v>958981810.21551323</v>
      </c>
      <c r="T91" s="436">
        <f t="shared" si="43"/>
        <v>15.531075862655285</v>
      </c>
      <c r="V91" s="292"/>
    </row>
    <row r="92" spans="1:26">
      <c r="A92" s="105" t="str">
        <f t="shared" si="37"/>
        <v>7115p</v>
      </c>
      <c r="B92" s="567" t="str">
        <f>+VLOOKUP(LEFT($A92,LEN(A92)-1)*1,Master!$D$30:$G$229,4,FALSE)</f>
        <v>Akcize</v>
      </c>
      <c r="C92" s="568"/>
      <c r="D92" s="568"/>
      <c r="E92" s="568"/>
      <c r="F92" s="568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42"/>
        <v>271452175.03867495</v>
      </c>
      <c r="T92" s="436">
        <f t="shared" si="43"/>
        <v>4.3962714190178307</v>
      </c>
      <c r="V92" s="292"/>
      <c r="X92" s="242"/>
      <c r="Y92" s="242"/>
      <c r="Z92" s="242"/>
    </row>
    <row r="93" spans="1:26">
      <c r="A93" s="105" t="str">
        <f t="shared" si="37"/>
        <v>7116p</v>
      </c>
      <c r="B93" s="567" t="str">
        <f>+VLOOKUP(LEFT($A93,LEN(A93)-1)*1,Master!$D$30:$G$229,4,FALSE)</f>
        <v>Porez na međunarodnu trgovinu i transakcije</v>
      </c>
      <c r="C93" s="568"/>
      <c r="D93" s="568"/>
      <c r="E93" s="568"/>
      <c r="F93" s="568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42"/>
        <v>40252350.156719081</v>
      </c>
      <c r="T93" s="436">
        <f t="shared" si="43"/>
        <v>0.6519021500456561</v>
      </c>
      <c r="V93" s="292"/>
    </row>
    <row r="94" spans="1:26">
      <c r="A94" s="105" t="str">
        <f t="shared" si="37"/>
        <v>7118p</v>
      </c>
      <c r="B94" s="567" t="str">
        <f>+VLOOKUP(LEFT($A94,LEN(A94)-1)*1,Master!$D$30:$G$229,4,FALSE)</f>
        <v>Ostali državni porezi</v>
      </c>
      <c r="C94" s="568"/>
      <c r="D94" s="568"/>
      <c r="E94" s="568"/>
      <c r="F94" s="568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42"/>
        <v>12089403.315027073</v>
      </c>
      <c r="T94" s="436">
        <f t="shared" si="43"/>
        <v>0.19579249368423984</v>
      </c>
      <c r="V94" s="292"/>
    </row>
    <row r="95" spans="1:26">
      <c r="A95" s="105" t="str">
        <f t="shared" si="37"/>
        <v>712p</v>
      </c>
      <c r="B95" s="577" t="str">
        <f>+VLOOKUP(LEFT($A95,LEN(A95)-1)*1,Master!$D$30:$G$229,4,FALSE)</f>
        <v>Doprinosi</v>
      </c>
      <c r="C95" s="578"/>
      <c r="D95" s="578"/>
      <c r="E95" s="578"/>
      <c r="F95" s="578"/>
      <c r="G95" s="71">
        <f>+SUM(G96:G99)</f>
        <v>14028547.954861166</v>
      </c>
      <c r="H95" s="71">
        <f t="shared" ref="H95:L95" si="44">+SUM(H96:H99)</f>
        <v>35494684.891336001</v>
      </c>
      <c r="I95" s="452">
        <f t="shared" si="44"/>
        <v>34746900.973094396</v>
      </c>
      <c r="J95" s="71">
        <f t="shared" si="44"/>
        <v>42833596.089660697</v>
      </c>
      <c r="K95" s="71">
        <f t="shared" si="44"/>
        <v>31865136.166640289</v>
      </c>
      <c r="L95" s="71">
        <f t="shared" si="44"/>
        <v>38887014.54653661</v>
      </c>
      <c r="M95" s="71">
        <f t="shared" ref="M95:R95" si="45">+SUM(M96:M99)</f>
        <v>41674957.146424204</v>
      </c>
      <c r="N95" s="71">
        <f t="shared" si="45"/>
        <v>39623582.115929469</v>
      </c>
      <c r="O95" s="71">
        <f t="shared" si="45"/>
        <v>38556106.773443051</v>
      </c>
      <c r="P95" s="71">
        <f t="shared" si="45"/>
        <v>41225764.80063308</v>
      </c>
      <c r="Q95" s="71">
        <f t="shared" si="45"/>
        <v>39258499.915648282</v>
      </c>
      <c r="R95" s="72">
        <f t="shared" si="45"/>
        <v>76561513.993556961</v>
      </c>
      <c r="S95" s="102">
        <f t="shared" si="42"/>
        <v>474756305.36776417</v>
      </c>
      <c r="T95" s="437">
        <f t="shared" si="43"/>
        <v>7.6888592842899008</v>
      </c>
      <c r="V95" s="292"/>
    </row>
    <row r="96" spans="1:26">
      <c r="A96" s="105" t="str">
        <f t="shared" si="37"/>
        <v>7121p</v>
      </c>
      <c r="B96" s="567" t="str">
        <f>+VLOOKUP(LEFT($A96,LEN(A96)-1)*1,Master!$D$30:$G$229,4,FALSE)</f>
        <v>Doprinosi za penzijsko i invalidsko osiguranje</v>
      </c>
      <c r="C96" s="568"/>
      <c r="D96" s="568"/>
      <c r="E96" s="568"/>
      <c r="F96" s="568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42"/>
        <v>438725546.84560192</v>
      </c>
      <c r="T96" s="436">
        <f t="shared" si="43"/>
        <v>7.1053274195187051</v>
      </c>
      <c r="V96" s="292"/>
      <c r="W96" s="292"/>
    </row>
    <row r="97" spans="1:23">
      <c r="A97" s="105" t="str">
        <f t="shared" si="37"/>
        <v>7122p</v>
      </c>
      <c r="B97" s="567" t="str">
        <f>+VLOOKUP(LEFT($A97,LEN(A97)-1)*1,Master!$D$30:$G$229,4,FALSE)</f>
        <v>Doprinosi za zdravstveno osiguranje</v>
      </c>
      <c r="C97" s="568"/>
      <c r="D97" s="568"/>
      <c r="E97" s="568"/>
      <c r="F97" s="568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42"/>
        <v>1200286.4243292995</v>
      </c>
      <c r="T97" s="436">
        <f t="shared" si="43"/>
        <v>1.9439096043942922E-2</v>
      </c>
      <c r="V97" s="292"/>
    </row>
    <row r="98" spans="1:23">
      <c r="A98" s="105" t="str">
        <f t="shared" si="37"/>
        <v>7123p</v>
      </c>
      <c r="B98" s="567" t="str">
        <f>+VLOOKUP(LEFT($A98,LEN(A98)-1)*1,Master!$D$30:$G$229,4,FALSE)</f>
        <v>Doprinosi za osiguranje od nezaposlenosti</v>
      </c>
      <c r="C98" s="568"/>
      <c r="D98" s="568"/>
      <c r="E98" s="568"/>
      <c r="F98" s="568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42"/>
        <v>20360913.711489163</v>
      </c>
      <c r="T98" s="436">
        <f t="shared" si="43"/>
        <v>0.32975275663993076</v>
      </c>
      <c r="V98" s="292"/>
    </row>
    <row r="99" spans="1:23">
      <c r="A99" s="105" t="str">
        <f t="shared" si="37"/>
        <v>7124p</v>
      </c>
      <c r="B99" s="567" t="str">
        <f>+VLOOKUP(LEFT($A99,LEN(A99)-1)*1,Master!$D$30:$G$229,4,FALSE)</f>
        <v>Ostali doprinosi</v>
      </c>
      <c r="C99" s="568"/>
      <c r="D99" s="568"/>
      <c r="E99" s="568"/>
      <c r="F99" s="568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42"/>
        <v>14469558.386343762</v>
      </c>
      <c r="T99" s="436">
        <f t="shared" si="43"/>
        <v>0.23434001208732166</v>
      </c>
      <c r="V99" s="292"/>
    </row>
    <row r="100" spans="1:23">
      <c r="A100" s="105" t="str">
        <f t="shared" si="37"/>
        <v>713p</v>
      </c>
      <c r="B100" s="577" t="str">
        <f>+VLOOKUP(LEFT($A100,LEN(A100)-1)*1,Master!$D$30:$G$229,4,FALSE)</f>
        <v>Takse</v>
      </c>
      <c r="C100" s="578"/>
      <c r="D100" s="578"/>
      <c r="E100" s="578"/>
      <c r="F100" s="578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42"/>
        <v>14250938.223525003</v>
      </c>
      <c r="T100" s="437">
        <f t="shared" si="43"/>
        <v>0.23079937523928679</v>
      </c>
      <c r="V100" s="292"/>
    </row>
    <row r="101" spans="1:23">
      <c r="A101" s="105" t="str">
        <f t="shared" si="37"/>
        <v>714p</v>
      </c>
      <c r="B101" s="577" t="str">
        <f>+VLOOKUP(LEFT($A101,LEN(A101)-1)*1,Master!$D$30:$G$229,4,FALSE)</f>
        <v>Naknade</v>
      </c>
      <c r="C101" s="578"/>
      <c r="D101" s="578"/>
      <c r="E101" s="578"/>
      <c r="F101" s="578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42"/>
        <v>41688257.276150532</v>
      </c>
      <c r="T101" s="437">
        <f t="shared" si="43"/>
        <v>0.67515721303648069</v>
      </c>
      <c r="V101" s="292"/>
    </row>
    <row r="102" spans="1:23">
      <c r="A102" s="105" t="str">
        <f t="shared" si="37"/>
        <v>715p</v>
      </c>
      <c r="B102" s="577" t="str">
        <f>+VLOOKUP(LEFT($A102,LEN(A102)-1)*1,Master!$D$30:$G$229,4,FALSE)</f>
        <v>Ostali prihodi</v>
      </c>
      <c r="C102" s="578"/>
      <c r="D102" s="578"/>
      <c r="E102" s="578"/>
      <c r="F102" s="578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42"/>
        <v>100175411.57200001</v>
      </c>
      <c r="T102" s="437">
        <f t="shared" si="43"/>
        <v>1.6223789649855862</v>
      </c>
      <c r="V102" s="292"/>
    </row>
    <row r="103" spans="1:23">
      <c r="A103" s="105" t="str">
        <f t="shared" si="37"/>
        <v>73p</v>
      </c>
      <c r="B103" s="577" t="str">
        <f>+VLOOKUP(LEFT($A103,LEN(A103)-1)*1,Master!$D$30:$G$229,4,FALSE)</f>
        <v>Primici od otplate kredita i sredstva prenesena iz prethodne godine</v>
      </c>
      <c r="C103" s="578"/>
      <c r="D103" s="578"/>
      <c r="E103" s="578"/>
      <c r="F103" s="578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 t="shared" si="42"/>
        <v>9747904</v>
      </c>
      <c r="T103" s="437">
        <f t="shared" si="43"/>
        <v>0.15787101998510025</v>
      </c>
      <c r="V103" s="292"/>
      <c r="W103" s="292"/>
    </row>
    <row r="104" spans="1:23" ht="13.5" thickBot="1">
      <c r="A104" s="105" t="str">
        <f t="shared" si="37"/>
        <v>74p</v>
      </c>
      <c r="B104" s="579" t="str">
        <f>+VLOOKUP(LEFT($A104,LEN(A104)-1)*1,Master!$D$30:$G$229,4,FALSE)</f>
        <v>Donacije i transferi</v>
      </c>
      <c r="C104" s="580"/>
      <c r="D104" s="580"/>
      <c r="E104" s="580"/>
      <c r="F104" s="580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42"/>
        <v>41383384.580000006</v>
      </c>
      <c r="T104" s="438">
        <f t="shared" si="43"/>
        <v>0.67021968354225381</v>
      </c>
      <c r="V104" s="292"/>
    </row>
    <row r="105" spans="1:23" ht="13.5" thickBot="1">
      <c r="A105" s="105" t="str">
        <f t="shared" si="37"/>
        <v>4p</v>
      </c>
      <c r="B105" s="563" t="str">
        <f>+VLOOKUP(LEFT($A105,LEN(A105)-1)*1,Master!$D$30:$G$229,4,FALSE)</f>
        <v>Izdaci budžeta</v>
      </c>
      <c r="C105" s="564"/>
      <c r="D105" s="564"/>
      <c r="E105" s="564"/>
      <c r="F105" s="564"/>
      <c r="G105" s="82">
        <f t="shared" ref="G105:L105" si="46">+G106+G116+G122+SUM(G123:G127)</f>
        <v>175509865.05999997</v>
      </c>
      <c r="H105" s="82">
        <f t="shared" si="46"/>
        <v>194904102.36999997</v>
      </c>
      <c r="I105" s="82">
        <f t="shared" si="46"/>
        <v>204056525.62</v>
      </c>
      <c r="J105" s="82">
        <f t="shared" si="46"/>
        <v>215049716.38000003</v>
      </c>
      <c r="K105" s="82">
        <f t="shared" si="46"/>
        <v>199767991.34</v>
      </c>
      <c r="L105" s="82">
        <f t="shared" si="46"/>
        <v>194478060.15000001</v>
      </c>
      <c r="M105" s="82">
        <f t="shared" ref="M105:R105" si="47">+M106+M116+M122+SUM(M123:M127)</f>
        <v>237229120.77000004</v>
      </c>
      <c r="N105" s="82">
        <f t="shared" si="47"/>
        <v>208577181.37000003</v>
      </c>
      <c r="O105" s="82">
        <f t="shared" si="47"/>
        <v>212332628.14999998</v>
      </c>
      <c r="P105" s="82">
        <f t="shared" si="47"/>
        <v>219165654.14000002</v>
      </c>
      <c r="Q105" s="82">
        <f t="shared" si="47"/>
        <v>215801622.55000001</v>
      </c>
      <c r="R105" s="82">
        <f t="shared" si="47"/>
        <v>236910680.68000001</v>
      </c>
      <c r="S105" s="423">
        <f>+SUM(G105:R105)</f>
        <v>2513783148.5799999</v>
      </c>
      <c r="T105" s="450">
        <f t="shared" si="43"/>
        <v>40.711676036990248</v>
      </c>
      <c r="V105" s="275"/>
    </row>
    <row r="106" spans="1:23">
      <c r="A106" s="105" t="str">
        <f t="shared" si="37"/>
        <v>41p</v>
      </c>
      <c r="B106" s="581" t="str">
        <f>+VLOOKUP(LEFT($A106,LEN(A106)-1)*1,Master!$D$30:$G$229,4,FALSE)</f>
        <v>Tekući izdaci</v>
      </c>
      <c r="C106" s="582"/>
      <c r="D106" s="582"/>
      <c r="E106" s="582"/>
      <c r="F106" s="582"/>
      <c r="G106" s="75">
        <f t="shared" ref="G106:L106" si="48">+SUM(G107:G115)</f>
        <v>71899625.829999968</v>
      </c>
      <c r="H106" s="75">
        <f t="shared" si="48"/>
        <v>80973595.029999986</v>
      </c>
      <c r="I106" s="75">
        <f t="shared" si="48"/>
        <v>81069361.99000001</v>
      </c>
      <c r="J106" s="75">
        <f t="shared" si="48"/>
        <v>100567396.8</v>
      </c>
      <c r="K106" s="75">
        <f t="shared" si="48"/>
        <v>84597904.25999999</v>
      </c>
      <c r="L106" s="75">
        <f t="shared" si="48"/>
        <v>78964000.50999999</v>
      </c>
      <c r="M106" s="75">
        <f t="shared" ref="M106:R106" si="49">+SUM(M107:M115)</f>
        <v>94970976.420000017</v>
      </c>
      <c r="N106" s="75">
        <f t="shared" si="49"/>
        <v>81866855.860000014</v>
      </c>
      <c r="O106" s="75">
        <f t="shared" si="49"/>
        <v>80815803.73999998</v>
      </c>
      <c r="P106" s="75">
        <f t="shared" si="49"/>
        <v>93936445.850000009</v>
      </c>
      <c r="Q106" s="75">
        <f t="shared" si="49"/>
        <v>91854698.299999997</v>
      </c>
      <c r="R106" s="76">
        <f t="shared" si="49"/>
        <v>112771922.60000001</v>
      </c>
      <c r="S106" s="100">
        <f t="shared" si="42"/>
        <v>1054288587.1899999</v>
      </c>
      <c r="T106" s="435">
        <f t="shared" si="43"/>
        <v>17.074605435007932</v>
      </c>
      <c r="V106" s="275"/>
      <c r="W106" s="275"/>
    </row>
    <row r="107" spans="1:23">
      <c r="A107" s="105" t="str">
        <f t="shared" si="37"/>
        <v>411p</v>
      </c>
      <c r="B107" s="567" t="str">
        <f>+VLOOKUP(LEFT($A107,LEN(A107)-1)*1,Master!$D$30:$G$229,4,FALSE)</f>
        <v>Bruto zarade i doprinosi na teret poslodavca</v>
      </c>
      <c r="C107" s="568"/>
      <c r="D107" s="568"/>
      <c r="E107" s="568"/>
      <c r="F107" s="568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42"/>
        <v>627306329.07000005</v>
      </c>
      <c r="T107" s="436">
        <f t="shared" si="43"/>
        <v>10.159465051501313</v>
      </c>
      <c r="V107" s="488"/>
    </row>
    <row r="108" spans="1:23">
      <c r="A108" s="105" t="str">
        <f t="shared" si="37"/>
        <v>412p</v>
      </c>
      <c r="B108" s="567" t="str">
        <f>+VLOOKUP(LEFT($A108,LEN(A108)-1)*1,Master!$D$30:$G$229,4,FALSE)</f>
        <v>Ostala lična primanja</v>
      </c>
      <c r="C108" s="568"/>
      <c r="D108" s="568"/>
      <c r="E108" s="568"/>
      <c r="F108" s="568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42"/>
        <v>19652018.739999998</v>
      </c>
      <c r="T108" s="436">
        <f t="shared" si="43"/>
        <v>0.31827193243287011</v>
      </c>
      <c r="V108" s="488"/>
    </row>
    <row r="109" spans="1:23">
      <c r="A109" s="105" t="str">
        <f t="shared" si="37"/>
        <v>413p</v>
      </c>
      <c r="B109" s="567" t="str">
        <f>+VLOOKUP(LEFT($A109,LEN(A109)-1)*1,Master!$D$30:$G$229,4,FALSE)</f>
        <v>Rashodi za materijal</v>
      </c>
      <c r="C109" s="568"/>
      <c r="D109" s="568"/>
      <c r="E109" s="568"/>
      <c r="F109" s="568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42"/>
        <v>53726729.589999996</v>
      </c>
      <c r="T109" s="436">
        <f t="shared" si="43"/>
        <v>0.8701248597479998</v>
      </c>
      <c r="V109" s="488"/>
    </row>
    <row r="110" spans="1:23">
      <c r="A110" s="105" t="str">
        <f t="shared" si="37"/>
        <v>414p</v>
      </c>
      <c r="B110" s="567" t="str">
        <f>+VLOOKUP(LEFT($A110,LEN(A110)-1)*1,Master!$D$30:$G$229,4,FALSE)</f>
        <v>Rashodi za usluge</v>
      </c>
      <c r="C110" s="568"/>
      <c r="D110" s="568"/>
      <c r="E110" s="568"/>
      <c r="F110" s="568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42"/>
        <v>66414663.019999959</v>
      </c>
      <c r="T110" s="436">
        <f t="shared" si="43"/>
        <v>1.0756107767304759</v>
      </c>
      <c r="V110" s="488"/>
    </row>
    <row r="111" spans="1:23">
      <c r="A111" s="105" t="str">
        <f t="shared" si="37"/>
        <v>415p</v>
      </c>
      <c r="B111" s="567" t="str">
        <f>+VLOOKUP(LEFT($A111,LEN(A111)-1)*1,Master!$D$30:$G$229,4,FALSE)</f>
        <v>Rashodi za tekuće održavanje</v>
      </c>
      <c r="C111" s="568"/>
      <c r="D111" s="568"/>
      <c r="E111" s="568"/>
      <c r="F111" s="568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42"/>
        <v>35579121.740000002</v>
      </c>
      <c r="T111" s="436">
        <f t="shared" si="43"/>
        <v>0.57621743497554501</v>
      </c>
      <c r="V111" s="488"/>
    </row>
    <row r="112" spans="1:23">
      <c r="A112" s="105" t="str">
        <f t="shared" si="37"/>
        <v>416p</v>
      </c>
      <c r="B112" s="567" t="str">
        <f>+VLOOKUP(LEFT($A112,LEN(A112)-1)*1,Master!$D$30:$G$229,4,FALSE)</f>
        <v>Kamate</v>
      </c>
      <c r="C112" s="568"/>
      <c r="D112" s="568"/>
      <c r="E112" s="568"/>
      <c r="F112" s="568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42"/>
        <v>109927809.38000001</v>
      </c>
      <c r="T112" s="436">
        <f t="shared" si="43"/>
        <v>1.7803227639037349</v>
      </c>
      <c r="V112" s="488"/>
    </row>
    <row r="113" spans="1:22">
      <c r="A113" s="105" t="str">
        <f t="shared" si="37"/>
        <v>417p</v>
      </c>
      <c r="B113" s="567" t="str">
        <f>+VLOOKUP(LEFT($A113,LEN(A113)-1)*1,Master!$D$30:$G$229,4,FALSE)</f>
        <v>Renta</v>
      </c>
      <c r="C113" s="568"/>
      <c r="D113" s="568"/>
      <c r="E113" s="568"/>
      <c r="F113" s="568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42"/>
        <v>12254306.269999998</v>
      </c>
      <c r="T113" s="436">
        <f t="shared" si="43"/>
        <v>0.19846315988080193</v>
      </c>
      <c r="V113" s="488"/>
    </row>
    <row r="114" spans="1:22">
      <c r="A114" s="105" t="str">
        <f t="shared" si="37"/>
        <v>418p</v>
      </c>
      <c r="B114" s="567" t="str">
        <f>+VLOOKUP(LEFT($A114,LEN(A114)-1)*1,Master!$D$30:$G$229,4,FALSE)</f>
        <v>Subvencije</v>
      </c>
      <c r="C114" s="568"/>
      <c r="D114" s="568"/>
      <c r="E114" s="568"/>
      <c r="F114" s="568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42"/>
        <v>60973265.960000008</v>
      </c>
      <c r="T114" s="436">
        <f t="shared" si="43"/>
        <v>0.98748527775078565</v>
      </c>
      <c r="V114" s="488"/>
    </row>
    <row r="115" spans="1:22">
      <c r="A115" s="105" t="str">
        <f t="shared" si="37"/>
        <v>419p</v>
      </c>
      <c r="B115" s="567" t="str">
        <f>+VLOOKUP(LEFT($A115,LEN(A115)-1)*1,Master!$D$30:$G$229,4,FALSE)</f>
        <v>Ostali izdaci</v>
      </c>
      <c r="C115" s="568"/>
      <c r="D115" s="568"/>
      <c r="E115" s="568"/>
      <c r="F115" s="568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42"/>
        <v>68454343.420000017</v>
      </c>
      <c r="T115" s="436">
        <f t="shared" si="43"/>
        <v>1.1086441780844105</v>
      </c>
      <c r="V115" s="488"/>
    </row>
    <row r="116" spans="1:22">
      <c r="A116" s="105" t="str">
        <f t="shared" si="37"/>
        <v>42p</v>
      </c>
      <c r="B116" s="587" t="str">
        <f>+VLOOKUP(LEFT($A116,LEN(A116)-1)*1,Master!$D$30:$G$229,4,FALSE)</f>
        <v>Transferi za socijalnu zaštitu</v>
      </c>
      <c r="C116" s="588"/>
      <c r="D116" s="588"/>
      <c r="E116" s="588"/>
      <c r="F116" s="588"/>
      <c r="G116" s="74">
        <f t="shared" ref="G116:L116" si="50">+SUM(G117:G121)</f>
        <v>64631162.970000006</v>
      </c>
      <c r="H116" s="74">
        <f t="shared" si="50"/>
        <v>64593275.310000002</v>
      </c>
      <c r="I116" s="74">
        <f t="shared" si="50"/>
        <v>64593275.430000007</v>
      </c>
      <c r="J116" s="74">
        <f t="shared" si="50"/>
        <v>64693275.430000007</v>
      </c>
      <c r="K116" s="74">
        <f t="shared" si="50"/>
        <v>64693275.430000007</v>
      </c>
      <c r="L116" s="74">
        <f t="shared" si="50"/>
        <v>64793279.390000008</v>
      </c>
      <c r="M116" s="74">
        <f t="shared" ref="M116:R116" si="51">+SUM(M117:M121)</f>
        <v>66194886.530000009</v>
      </c>
      <c r="N116" s="74">
        <f t="shared" si="51"/>
        <v>66197971.850000009</v>
      </c>
      <c r="O116" s="74">
        <f t="shared" si="51"/>
        <v>66197971.850000009</v>
      </c>
      <c r="P116" s="74">
        <f t="shared" si="51"/>
        <v>66197971.760000005</v>
      </c>
      <c r="Q116" s="74">
        <f t="shared" si="51"/>
        <v>66197971.850000009</v>
      </c>
      <c r="R116" s="74">
        <f t="shared" si="51"/>
        <v>66197971.939999998</v>
      </c>
      <c r="S116" s="102">
        <f t="shared" si="42"/>
        <v>785182289.74000001</v>
      </c>
      <c r="T116" s="437">
        <f t="shared" si="43"/>
        <v>12.716326397499433</v>
      </c>
      <c r="V116" s="292"/>
    </row>
    <row r="117" spans="1:22">
      <c r="A117" s="105" t="str">
        <f t="shared" si="37"/>
        <v>421p</v>
      </c>
      <c r="B117" s="567" t="str">
        <f>+VLOOKUP(LEFT($A117,LEN(A117)-1)*1,Master!$D$30:$G$229,4,FALSE)</f>
        <v>Prava iz oblasti socijalne zaštite</v>
      </c>
      <c r="C117" s="568"/>
      <c r="D117" s="568"/>
      <c r="E117" s="568"/>
      <c r="F117" s="568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42"/>
        <v>190160811.71000004</v>
      </c>
      <c r="T117" s="436">
        <f t="shared" si="43"/>
        <v>3.0797268116153282</v>
      </c>
      <c r="V117" s="488"/>
    </row>
    <row r="118" spans="1:22">
      <c r="A118" s="105" t="str">
        <f t="shared" ref="A118:A134" si="52">+CONCATENATE(A42,"p")</f>
        <v>422p</v>
      </c>
      <c r="B118" s="567" t="str">
        <f>+VLOOKUP(LEFT($A118,LEN(A118)-1)*1,Master!$D$30:$G$229,4,FALSE)</f>
        <v>Sredstva za tehnološke viškove</v>
      </c>
      <c r="C118" s="568"/>
      <c r="D118" s="568"/>
      <c r="E118" s="568"/>
      <c r="F118" s="568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42"/>
        <v>28611075.999999996</v>
      </c>
      <c r="T118" s="436">
        <f t="shared" si="43"/>
        <v>0.46336727885207135</v>
      </c>
      <c r="V118" s="488"/>
    </row>
    <row r="119" spans="1:22">
      <c r="A119" s="105" t="str">
        <f t="shared" si="52"/>
        <v>423p</v>
      </c>
      <c r="B119" s="567" t="str">
        <f>+VLOOKUP(LEFT($A119,LEN(A119)-1)*1,Master!$D$30:$G$229,4,FALSE)</f>
        <v>Prava iz oblasti penzijskog i invalidskog osiguranja</v>
      </c>
      <c r="C119" s="568"/>
      <c r="D119" s="568"/>
      <c r="E119" s="568"/>
      <c r="F119" s="568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42"/>
        <v>529750402.03000009</v>
      </c>
      <c r="T119" s="436">
        <f t="shared" si="43"/>
        <v>8.5795096367376029</v>
      </c>
      <c r="V119" s="488"/>
    </row>
    <row r="120" spans="1:22">
      <c r="A120" s="105" t="str">
        <f t="shared" si="52"/>
        <v>424p</v>
      </c>
      <c r="B120" s="567" t="str">
        <f>+VLOOKUP(LEFT($A120,LEN(A120)-1)*1,Master!$D$30:$G$229,4,FALSE)</f>
        <v>Ostala prava iz oblasti zdravstvene zaštite</v>
      </c>
      <c r="C120" s="568"/>
      <c r="D120" s="568"/>
      <c r="E120" s="568"/>
      <c r="F120" s="568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42"/>
        <v>21060000</v>
      </c>
      <c r="T120" s="436">
        <f t="shared" si="43"/>
        <v>0.34107472548829071</v>
      </c>
      <c r="V120" s="488"/>
    </row>
    <row r="121" spans="1:22">
      <c r="A121" s="105" t="str">
        <f t="shared" si="52"/>
        <v>425p</v>
      </c>
      <c r="B121" s="567" t="str">
        <f>+VLOOKUP(LEFT($A121,LEN(A121)-1)*1,Master!$D$30:$G$229,4,FALSE)</f>
        <v>Ostala prava iz zdravstvenog osiguranja</v>
      </c>
      <c r="C121" s="568"/>
      <c r="D121" s="568"/>
      <c r="E121" s="568"/>
      <c r="F121" s="568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42"/>
        <v>15600000</v>
      </c>
      <c r="T121" s="436">
        <f t="shared" si="43"/>
        <v>0.25264794480614128</v>
      </c>
      <c r="V121" s="488"/>
    </row>
    <row r="122" spans="1:22">
      <c r="A122" s="105" t="str">
        <f t="shared" si="52"/>
        <v>43p</v>
      </c>
      <c r="B122" s="583" t="str">
        <f>+VLOOKUP(LEFT($A122,LEN(A122)-1)*1,Master!$D$30:$G$229,4,FALSE)</f>
        <v xml:space="preserve">Transferi institucijama, pojedincima, nevladinom i javnom sektoru </v>
      </c>
      <c r="C122" s="584"/>
      <c r="D122" s="584"/>
      <c r="E122" s="584"/>
      <c r="F122" s="584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43"/>
        <v>5.7077314491626998</v>
      </c>
      <c r="V122" s="488"/>
    </row>
    <row r="123" spans="1:22">
      <c r="A123" s="105" t="str">
        <f t="shared" si="52"/>
        <v>44p</v>
      </c>
      <c r="B123" s="583" t="str">
        <f>+VLOOKUP(LEFT($A123,LEN(A123)-1)*1,Master!$D$30:$G$229,4,FALSE)</f>
        <v>Kapitalni izdaci</v>
      </c>
      <c r="C123" s="584"/>
      <c r="D123" s="584"/>
      <c r="E123" s="584"/>
      <c r="F123" s="584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43"/>
        <v>4.0663124239626862</v>
      </c>
      <c r="U123" s="292"/>
      <c r="V123" s="488"/>
    </row>
    <row r="124" spans="1:22">
      <c r="A124" s="105" t="str">
        <f t="shared" si="52"/>
        <v>451p</v>
      </c>
      <c r="B124" s="585" t="str">
        <f>+VLOOKUP(LEFT($A124,LEN(A124)-1)*1,Master!$D$30:$G$229,4,FALSE)</f>
        <v>Pozajmice i krediti</v>
      </c>
      <c r="C124" s="586"/>
      <c r="D124" s="586"/>
      <c r="E124" s="586"/>
      <c r="F124" s="586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42"/>
        <v>4524007</v>
      </c>
      <c r="T124" s="436">
        <f t="shared" si="43"/>
        <v>7.3268017361448515E-2</v>
      </c>
      <c r="U124" s="292"/>
      <c r="V124" s="488"/>
    </row>
    <row r="125" spans="1:22">
      <c r="A125" s="105" t="str">
        <f t="shared" si="52"/>
        <v>47p</v>
      </c>
      <c r="B125" s="585" t="str">
        <f>+VLOOKUP(LEFT($A125,LEN(A125)-1)*1,Master!$D$30:$G$229,4,FALSE)</f>
        <v>Rezerve</v>
      </c>
      <c r="C125" s="586"/>
      <c r="D125" s="586"/>
      <c r="E125" s="586"/>
      <c r="F125" s="586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42"/>
        <v>38847999</v>
      </c>
      <c r="T125" s="436">
        <f t="shared" si="43"/>
        <v>0.62915814789621993</v>
      </c>
      <c r="U125" s="292"/>
      <c r="V125" s="488"/>
    </row>
    <row r="126" spans="1:22">
      <c r="A126" s="105" t="str">
        <f t="shared" si="52"/>
        <v>462p</v>
      </c>
      <c r="B126" s="585" t="str">
        <f>+VLOOKUP(LEFT($A126,LEN(A126)-1)*1,Master!$D$30:$G$229,4,FALSE)</f>
        <v>Otplata garancija</v>
      </c>
      <c r="C126" s="586"/>
      <c r="D126" s="586"/>
      <c r="E126" s="586"/>
      <c r="F126" s="586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42"/>
        <v>1.9999999999999998</v>
      </c>
      <c r="T126" s="436">
        <f t="shared" si="43"/>
        <v>3.23907621546335E-8</v>
      </c>
      <c r="U126" s="292"/>
      <c r="V126" s="488"/>
    </row>
    <row r="127" spans="1:22">
      <c r="A127" s="106" t="str">
        <f t="shared" si="52"/>
        <v>4630p</v>
      </c>
      <c r="B127" s="585" t="str">
        <f>+VLOOKUP(LEFT($A127,LEN(A127)-1)*1,Master!$D$30:$G$229,4,FALSE)</f>
        <v>Otplata obaveza iz prethodnog perioda</v>
      </c>
      <c r="C127" s="586"/>
      <c r="D127" s="586"/>
      <c r="E127" s="586"/>
      <c r="F127" s="586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43"/>
        <v>0.44427413370906715</v>
      </c>
      <c r="U127" s="292"/>
      <c r="V127" s="488"/>
    </row>
    <row r="128" spans="1:22" ht="13.5" thickBot="1">
      <c r="A128" s="105" t="str">
        <f t="shared" si="52"/>
        <v>1005p</v>
      </c>
      <c r="B128" s="585" t="str">
        <f>+VLOOKUP(LEFT($A128,LEN(A128)-1)*1,Master!$D$30:$G$229,4,FALSE)</f>
        <v>Neto povećanje obaveza</v>
      </c>
      <c r="C128" s="586"/>
      <c r="D128" s="586"/>
      <c r="E128" s="586"/>
      <c r="F128" s="586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43"/>
        <v>0</v>
      </c>
      <c r="U128" s="292"/>
      <c r="V128" s="292"/>
    </row>
    <row r="129" spans="1:22" ht="13.5" thickBot="1">
      <c r="A129" s="106" t="str">
        <f t="shared" si="52"/>
        <v>1000p</v>
      </c>
      <c r="B129" s="593" t="str">
        <f>+VLOOKUP(LEFT($A129,LEN(A129)-1)*1,Master!$D$30:$G$226,4,FALSE)</f>
        <v>Suficit / deficit</v>
      </c>
      <c r="C129" s="594"/>
      <c r="D129" s="594"/>
      <c r="E129" s="594"/>
      <c r="F129" s="594"/>
      <c r="G129" s="82">
        <f t="shared" ref="G129:L129" si="53">+G86-G105</f>
        <v>-22397133.607592493</v>
      </c>
      <c r="H129" s="82">
        <f t="shared" si="53"/>
        <v>-67071345.814519361</v>
      </c>
      <c r="I129" s="82">
        <f t="shared" si="53"/>
        <v>-2316292.9897459149</v>
      </c>
      <c r="J129" s="82">
        <f t="shared" si="53"/>
        <v>-17885734.609765023</v>
      </c>
      <c r="K129" s="82">
        <f t="shared" si="53"/>
        <v>-41471663.368712515</v>
      </c>
      <c r="L129" s="82">
        <f t="shared" si="53"/>
        <v>-27277595.668724924</v>
      </c>
      <c r="M129" s="82">
        <f t="shared" ref="M129:R129" si="54">+M86-M105</f>
        <v>-55367145.076071084</v>
      </c>
      <c r="N129" s="82">
        <f t="shared" si="54"/>
        <v>-6467668.1569713652</v>
      </c>
      <c r="O129" s="82">
        <f t="shared" si="54"/>
        <v>-27310745.93416518</v>
      </c>
      <c r="P129" s="82">
        <f t="shared" si="54"/>
        <v>-41600384.900887519</v>
      </c>
      <c r="Q129" s="82">
        <f t="shared" si="54"/>
        <v>-46834285.210350275</v>
      </c>
      <c r="R129" s="82">
        <f t="shared" si="54"/>
        <v>-10316938.668598384</v>
      </c>
      <c r="S129" s="95">
        <f t="shared" si="42"/>
        <v>-366316934.00610411</v>
      </c>
      <c r="T129" s="442">
        <f t="shared" si="43"/>
        <v>-5.932642341303147</v>
      </c>
      <c r="U129" s="292"/>
      <c r="V129" s="292"/>
    </row>
    <row r="130" spans="1:22" ht="13.5" thickBot="1">
      <c r="A130" s="106" t="str">
        <f t="shared" si="52"/>
        <v>1001p</v>
      </c>
      <c r="B130" s="595" t="str">
        <f>+VLOOKUP(LEFT($A130,LEN(A130)-1)*1,Master!$D$30:$G$226,4,FALSE)</f>
        <v>Primarni suficit/deficit</v>
      </c>
      <c r="C130" s="596"/>
      <c r="D130" s="596"/>
      <c r="E130" s="596"/>
      <c r="F130" s="596"/>
      <c r="G130" s="83">
        <f>+G129+G112</f>
        <v>-16955013.227592494</v>
      </c>
      <c r="H130" s="83">
        <f t="shared" ref="H130:L130" si="55">+H129+H112</f>
        <v>-64630035.204519361</v>
      </c>
      <c r="I130" s="83">
        <f t="shared" si="55"/>
        <v>-314464.45974591444</v>
      </c>
      <c r="J130" s="83">
        <f t="shared" si="55"/>
        <v>6704359.1802349798</v>
      </c>
      <c r="K130" s="83">
        <f t="shared" si="55"/>
        <v>-30861356.008712515</v>
      </c>
      <c r="L130" s="83">
        <f t="shared" si="55"/>
        <v>-24201043.138724923</v>
      </c>
      <c r="M130" s="83">
        <f t="shared" ref="M130:R130" si="56">+M129+M112</f>
        <v>-45628256.98607108</v>
      </c>
      <c r="N130" s="83">
        <f t="shared" si="56"/>
        <v>-3687920.8469713656</v>
      </c>
      <c r="O130" s="83">
        <f t="shared" si="56"/>
        <v>-25434319.32416518</v>
      </c>
      <c r="P130" s="83">
        <f t="shared" si="56"/>
        <v>-26802095.280887522</v>
      </c>
      <c r="Q130" s="83">
        <f t="shared" si="56"/>
        <v>-38003149.750350274</v>
      </c>
      <c r="R130" s="83">
        <f t="shared" si="56"/>
        <v>13424170.421401616</v>
      </c>
      <c r="S130" s="95">
        <f t="shared" si="42"/>
        <v>-256389124.626104</v>
      </c>
      <c r="T130" s="442">
        <f t="shared" si="43"/>
        <v>-4.1523195773994104</v>
      </c>
      <c r="U130" s="292"/>
      <c r="V130" s="292"/>
    </row>
    <row r="131" spans="1:22">
      <c r="A131" s="106" t="str">
        <f t="shared" si="52"/>
        <v>46p</v>
      </c>
      <c r="B131" s="587" t="str">
        <f>+VLOOKUP(LEFT($A131,LEN(A131)-1)*1,Master!$D$30:$G$226,4,FALSE)</f>
        <v>Otplata dugova</v>
      </c>
      <c r="C131" s="588"/>
      <c r="D131" s="588"/>
      <c r="E131" s="588"/>
      <c r="F131" s="588"/>
      <c r="G131" s="74">
        <f>+SUM(G132:G133)</f>
        <v>30842089.259999998</v>
      </c>
      <c r="H131" s="74">
        <f t="shared" ref="H131:L131" si="57">+SUM(H132:H133)</f>
        <v>6803111.790000001</v>
      </c>
      <c r="I131" s="74">
        <f t="shared" si="57"/>
        <v>9004349.7899999991</v>
      </c>
      <c r="J131" s="74">
        <f t="shared" si="57"/>
        <v>7976370.0700000003</v>
      </c>
      <c r="K131" s="74">
        <f t="shared" si="57"/>
        <v>92780108.99000001</v>
      </c>
      <c r="L131" s="74">
        <f t="shared" si="57"/>
        <v>14226825.530000001</v>
      </c>
      <c r="M131" s="456">
        <f t="shared" ref="M131" si="58">+SUM(M132:M133)</f>
        <v>40968432.359999999</v>
      </c>
      <c r="N131" s="74">
        <f t="shared" ref="N131:R131" si="59">+SUM(N132:N133)</f>
        <v>9320542.290000001</v>
      </c>
      <c r="O131" s="74">
        <f t="shared" si="59"/>
        <v>19467352.800000001</v>
      </c>
      <c r="P131" s="74">
        <f t="shared" si="59"/>
        <v>19749872.740000002</v>
      </c>
      <c r="Q131" s="74">
        <f t="shared" si="59"/>
        <v>64752298.200000003</v>
      </c>
      <c r="R131" s="74">
        <f t="shared" si="59"/>
        <v>22194542.870000001</v>
      </c>
      <c r="S131" s="93">
        <f t="shared" si="42"/>
        <v>338085896.69000006</v>
      </c>
      <c r="T131" s="443">
        <f t="shared" si="43"/>
        <v>5.4754299337608927</v>
      </c>
      <c r="U131" s="292"/>
      <c r="V131" s="292"/>
    </row>
    <row r="132" spans="1:22">
      <c r="A132" s="106" t="str">
        <f t="shared" si="52"/>
        <v>4611p</v>
      </c>
      <c r="B132" s="591" t="str">
        <f>+VLOOKUP(LEFT($A132,LEN(A132)-1)*1,Master!$D$30:$G$226,4,FALSE)</f>
        <v>Otplata hartija od vrijednosti i kredita rezidentima</v>
      </c>
      <c r="C132" s="592"/>
      <c r="D132" s="592"/>
      <c r="E132" s="592"/>
      <c r="F132" s="592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42"/>
        <v>96555896.690000013</v>
      </c>
      <c r="T132" s="444">
        <f t="shared" si="43"/>
        <v>1.5637595421565773</v>
      </c>
      <c r="U132" s="292"/>
      <c r="V132" s="292"/>
    </row>
    <row r="133" spans="1:22" ht="13.5" thickBot="1">
      <c r="A133" s="106" t="str">
        <f t="shared" si="52"/>
        <v>4612p</v>
      </c>
      <c r="B133" s="585" t="str">
        <f>+VLOOKUP(LEFT($A133,LEN(A133)-1)*1,Master!$D$30:$G$226,4,FALSE)</f>
        <v>Otplata hartija od vrijednosti i kredita nerezidentima</v>
      </c>
      <c r="C133" s="586"/>
      <c r="D133" s="586"/>
      <c r="E133" s="586"/>
      <c r="F133" s="586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42"/>
        <v>241530000</v>
      </c>
      <c r="T133" s="444">
        <f t="shared" si="43"/>
        <v>3.9116703916043147</v>
      </c>
      <c r="U133" s="292"/>
      <c r="V133" s="292"/>
    </row>
    <row r="134" spans="1:22" ht="13.5" thickBot="1">
      <c r="A134" s="106" t="str">
        <f t="shared" si="52"/>
        <v>4418p</v>
      </c>
      <c r="B134" s="563" t="str">
        <f>+VLOOKUP(LEFT($A134,LEN(A134)-1)*1,Master!$D$30:$G$226,4,FALSE)</f>
        <v>Izdaci za kupovinu hartija od vrijednosti</v>
      </c>
      <c r="C134" s="564"/>
      <c r="D134" s="564"/>
      <c r="E134" s="564"/>
      <c r="F134" s="564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42"/>
        <v>779000</v>
      </c>
      <c r="T134" s="451">
        <f t="shared" si="43"/>
        <v>1.2616201859229747E-2</v>
      </c>
      <c r="U134" s="292"/>
      <c r="V134" s="292"/>
    </row>
    <row r="135" spans="1:22" ht="13.5" thickBot="1">
      <c r="A135" s="106" t="s">
        <v>856</v>
      </c>
      <c r="B135" s="563" t="s">
        <v>113</v>
      </c>
      <c r="C135" s="564"/>
      <c r="D135" s="564"/>
      <c r="E135" s="564"/>
      <c r="F135" s="564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42"/>
        <v>0</v>
      </c>
      <c r="T135" s="451">
        <f t="shared" si="43"/>
        <v>0</v>
      </c>
      <c r="U135" s="292"/>
      <c r="V135" s="292"/>
    </row>
    <row r="136" spans="1:22" ht="13.5" thickBot="1">
      <c r="A136" s="106" t="str">
        <f>+CONCATENATE(A60,"p")</f>
        <v>1002p</v>
      </c>
      <c r="B136" s="589" t="str">
        <f>+VLOOKUP(LEFT($A136,LEN(A136)-1)*1,Master!$D$30:$G$226,4,FALSE)</f>
        <v>Nedostajuća sredstva</v>
      </c>
      <c r="C136" s="590"/>
      <c r="D136" s="590"/>
      <c r="E136" s="590"/>
      <c r="F136" s="590"/>
      <c r="G136" s="67">
        <f t="shared" ref="G136:L136" si="60">+G129-G131-G134</f>
        <v>-53245889.537592493</v>
      </c>
      <c r="H136" s="67">
        <f t="shared" si="60"/>
        <v>-73881124.274519369</v>
      </c>
      <c r="I136" s="67">
        <f t="shared" si="60"/>
        <v>-11706309.449745914</v>
      </c>
      <c r="J136" s="67">
        <f t="shared" si="60"/>
        <v>-26168771.349765025</v>
      </c>
      <c r="K136" s="67">
        <f t="shared" si="60"/>
        <v>-134258439.02871251</v>
      </c>
      <c r="L136" s="67">
        <f t="shared" si="60"/>
        <v>-41511087.848724924</v>
      </c>
      <c r="M136" s="67">
        <f t="shared" ref="M136:R136" si="61">+M129-M131-M134</f>
        <v>-96345577.436071083</v>
      </c>
      <c r="N136" s="67">
        <f t="shared" si="61"/>
        <v>-15798210.446971366</v>
      </c>
      <c r="O136" s="67">
        <f t="shared" si="61"/>
        <v>-46788098.734165177</v>
      </c>
      <c r="P136" s="67">
        <f t="shared" si="61"/>
        <v>-61360257.640887521</v>
      </c>
      <c r="Q136" s="67">
        <f t="shared" si="61"/>
        <v>-111596583.41035028</v>
      </c>
      <c r="R136" s="67">
        <f t="shared" si="61"/>
        <v>-32521481.538598385</v>
      </c>
      <c r="S136" s="98">
        <f t="shared" si="42"/>
        <v>-705181830.69610417</v>
      </c>
      <c r="T136" s="446">
        <f t="shared" si="43"/>
        <v>-11.420688476923269</v>
      </c>
      <c r="U136" s="292"/>
      <c r="V136" s="292"/>
    </row>
    <row r="137" spans="1:22" ht="13.5" thickBot="1">
      <c r="A137" s="106" t="str">
        <f>+CONCATENATE(A61,"p")</f>
        <v>1003p</v>
      </c>
      <c r="B137" s="563" t="str">
        <f>+VLOOKUP(LEFT($A137,LEN(A137)-1)*1,Master!$D$30:$G$226,4,FALSE)</f>
        <v>Finansiranje</v>
      </c>
      <c r="C137" s="564"/>
      <c r="D137" s="564"/>
      <c r="E137" s="564"/>
      <c r="F137" s="564"/>
      <c r="G137" s="82">
        <f t="shared" ref="G137:L137" si="62">+SUM(G138:G142)</f>
        <v>53245889.537592493</v>
      </c>
      <c r="H137" s="82">
        <f t="shared" si="62"/>
        <v>73881124.274519369</v>
      </c>
      <c r="I137" s="82">
        <f t="shared" si="62"/>
        <v>11706309.449745908</v>
      </c>
      <c r="J137" s="82">
        <f t="shared" si="62"/>
        <v>26168771.349765025</v>
      </c>
      <c r="K137" s="82">
        <f t="shared" si="62"/>
        <v>134258439.02871251</v>
      </c>
      <c r="L137" s="82">
        <f t="shared" si="62"/>
        <v>41511087.848724924</v>
      </c>
      <c r="M137" s="82">
        <f t="shared" ref="M137:R137" si="63">+SUM(M138:M142)</f>
        <v>96345577.436071083</v>
      </c>
      <c r="N137" s="82">
        <f t="shared" si="63"/>
        <v>15798210.446971366</v>
      </c>
      <c r="O137" s="82">
        <f t="shared" si="63"/>
        <v>46788098.734165192</v>
      </c>
      <c r="P137" s="82">
        <f t="shared" si="63"/>
        <v>61360257.640887521</v>
      </c>
      <c r="Q137" s="82">
        <f t="shared" si="63"/>
        <v>111596583.41035028</v>
      </c>
      <c r="R137" s="82">
        <f t="shared" si="63"/>
        <v>32521481.538598385</v>
      </c>
      <c r="S137" s="99">
        <f t="shared" si="42"/>
        <v>705181830.69610417</v>
      </c>
      <c r="T137" s="447">
        <f t="shared" si="43"/>
        <v>11.420688476923269</v>
      </c>
      <c r="U137" s="292"/>
      <c r="V137" s="292"/>
    </row>
    <row r="138" spans="1:22">
      <c r="A138" s="106" t="str">
        <f>+CONCATENATE(A62,"p")</f>
        <v>7511p</v>
      </c>
      <c r="B138" s="591" t="str">
        <f>+VLOOKUP(LEFT($A138,LEN(A138)-1)*1,Master!$D$30:$G$226,4,FALSE)</f>
        <v>Pozajmice i krediti od domaćih izvora</v>
      </c>
      <c r="C138" s="592"/>
      <c r="D138" s="592"/>
      <c r="E138" s="592"/>
      <c r="F138" s="592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42"/>
        <v>100000000</v>
      </c>
      <c r="T138" s="444">
        <f t="shared" si="43"/>
        <v>1.6195381077316748</v>
      </c>
      <c r="U138" s="292"/>
      <c r="V138" s="292"/>
    </row>
    <row r="139" spans="1:22">
      <c r="A139" s="106" t="str">
        <f>+CONCATENATE(A63,"p")</f>
        <v>7512p</v>
      </c>
      <c r="B139" s="585" t="str">
        <f>+VLOOKUP(LEFT($A139,LEN(A139)-1)*1,Master!$D$30:$G$226,4,FALSE)</f>
        <v>Pozajmice i krediti od inostranih izvora</v>
      </c>
      <c r="C139" s="586"/>
      <c r="D139" s="586"/>
      <c r="E139" s="586"/>
      <c r="F139" s="586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42"/>
        <v>499181830.68901968</v>
      </c>
      <c r="T139" s="444">
        <f t="shared" si="43"/>
        <v>8.084439974881283</v>
      </c>
      <c r="U139" s="292"/>
      <c r="V139" s="292"/>
    </row>
    <row r="140" spans="1:22">
      <c r="A140" s="106" t="str">
        <f>+CONCATENATE(A64,"p")</f>
        <v>72p</v>
      </c>
      <c r="B140" s="585" t="str">
        <f>+VLOOKUP(LEFT($A140,LEN(A140)-1)*1,Master!$D$30:$G$226,4,FALSE)</f>
        <v>Primici od prodaje imovine</v>
      </c>
      <c r="C140" s="586"/>
      <c r="D140" s="586"/>
      <c r="E140" s="586"/>
      <c r="F140" s="586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42"/>
        <v>6000000</v>
      </c>
      <c r="T140" s="444">
        <f t="shared" si="43"/>
        <v>9.7172286463900498E-2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 t="shared" si="42"/>
        <v>0</v>
      </c>
      <c r="T141" s="444">
        <f t="shared" si="43"/>
        <v>0</v>
      </c>
      <c r="U141" s="292"/>
      <c r="V141" s="292"/>
    </row>
    <row r="142" spans="1:22" ht="13.5" thickBot="1">
      <c r="A142" s="106" t="str">
        <f t="shared" ref="A142" si="64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65">-H136-SUM(H138:H140)</f>
        <v>73381124.274519369</v>
      </c>
      <c r="I142" s="86">
        <f t="shared" si="65"/>
        <v>-88793690.550254092</v>
      </c>
      <c r="J142" s="86">
        <f t="shared" si="65"/>
        <v>25668771.349765025</v>
      </c>
      <c r="K142" s="86">
        <f t="shared" si="65"/>
        <v>133758439.02871251</v>
      </c>
      <c r="L142" s="86">
        <f t="shared" si="65"/>
        <v>41011087.848724924</v>
      </c>
      <c r="M142" s="86">
        <f t="shared" ref="M142:R142" si="66">-M136-SUM(M138:M140)</f>
        <v>95845577.436071083</v>
      </c>
      <c r="N142" s="86">
        <f t="shared" si="66"/>
        <v>15298210.446971366</v>
      </c>
      <c r="O142" s="86">
        <f t="shared" si="66"/>
        <v>-452893731.95485449</v>
      </c>
      <c r="P142" s="86">
        <f t="shared" si="66"/>
        <v>60860257.640887521</v>
      </c>
      <c r="Q142" s="86">
        <f t="shared" si="66"/>
        <v>111096583.41035028</v>
      </c>
      <c r="R142" s="86">
        <f t="shared" si="66"/>
        <v>32021481.538598385</v>
      </c>
      <c r="S142" s="94">
        <f>+SUM(G142:R142)</f>
        <v>100000000.00708437</v>
      </c>
      <c r="T142" s="448">
        <f t="shared" si="43"/>
        <v>1.6195381078464091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dwg+m8df8/ipBzMck60kgXgEYo17ORRVYF56LKsaffO9CD/MQLkXSk4IaK36PreAqfXu0m4W12KWdusGCqGjhA==" saltValue="zzr63uPvfrewEZNwU2URYA==" spinCount="100000" sheet="1" objects="1" scenarios="1"/>
  <mergeCells count="117"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48"/>
  <sheetViews>
    <sheetView topLeftCell="B1" zoomScaleNormal="100" workbookViewId="0">
      <pane ySplit="1" topLeftCell="A20" activePane="bottomLeft" state="frozen"/>
      <selection pane="bottomLeft" activeCell="N16" sqref="N16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00" t="str">
        <f>+Master!G252</f>
        <v>Ostvarenje budžeta</v>
      </c>
      <c r="C7" s="501"/>
      <c r="D7" s="501"/>
      <c r="E7" s="501"/>
      <c r="F7" s="501"/>
      <c r="G7" s="509">
        <v>2022</v>
      </c>
      <c r="H7" s="510"/>
      <c r="I7" s="510"/>
      <c r="J7" s="510"/>
      <c r="K7" s="510"/>
      <c r="L7" s="510"/>
      <c r="M7" s="510"/>
      <c r="N7" s="510"/>
      <c r="O7" s="510"/>
      <c r="P7" s="510"/>
      <c r="Q7" s="510"/>
      <c r="R7" s="513"/>
      <c r="S7" s="220" t="str">
        <f>+Master!G249</f>
        <v>BDP</v>
      </c>
      <c r="T7" s="221">
        <v>5796761000</v>
      </c>
    </row>
    <row r="8" spans="1:23" ht="16.5" customHeight="1">
      <c r="A8" s="129"/>
      <c r="B8" s="502"/>
      <c r="C8" s="503"/>
      <c r="D8" s="503"/>
      <c r="E8" s="503"/>
      <c r="F8" s="504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09" t="str">
        <f>+Master!G247</f>
        <v>Jan - Dec</v>
      </c>
      <c r="T8" s="513"/>
    </row>
    <row r="9" spans="1:23" ht="13.5" thickBot="1">
      <c r="A9" s="129"/>
      <c r="B9" s="505"/>
      <c r="C9" s="506"/>
      <c r="D9" s="506"/>
      <c r="E9" s="506"/>
      <c r="F9" s="50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20" t="str">
        <f>+VLOOKUP($A10,Master!$D$30:$G$226,4,FALSE)</f>
        <v>Prihodi budžeta</v>
      </c>
      <c r="C10" s="521"/>
      <c r="D10" s="521"/>
      <c r="E10" s="521"/>
      <c r="F10" s="521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544" t="str">
        <f>+VLOOKUP($A11,Master!$D$30:$G$226,4,FALSE)</f>
        <v>Porezi</v>
      </c>
      <c r="C11" s="545"/>
      <c r="D11" s="545"/>
      <c r="E11" s="545"/>
      <c r="F11" s="545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30" t="str">
        <f>+VLOOKUP($A12,Master!$D$30:$G$226,4,FALSE)</f>
        <v>Porez na dohodak fizičkih lica</v>
      </c>
      <c r="C12" s="531"/>
      <c r="D12" s="531"/>
      <c r="E12" s="531"/>
      <c r="F12" s="531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30" t="str">
        <f>+VLOOKUP($A13,Master!$D$30:$G$226,4,FALSE)</f>
        <v>Porez na dobit pravnih lica</v>
      </c>
      <c r="C13" s="531"/>
      <c r="D13" s="531"/>
      <c r="E13" s="531"/>
      <c r="F13" s="531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30" t="str">
        <f>+VLOOKUP($A14,Master!$D$30:$G$226,4,FALSE)</f>
        <v>Porez na promet nepokretnosti</v>
      </c>
      <c r="C14" s="531"/>
      <c r="D14" s="531"/>
      <c r="E14" s="531"/>
      <c r="F14" s="531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30" t="str">
        <f>+VLOOKUP($A15,Master!$D$30:$G$226,4,FALSE)</f>
        <v>Porez na dodatu vrijednost</v>
      </c>
      <c r="C15" s="531"/>
      <c r="D15" s="531"/>
      <c r="E15" s="531"/>
      <c r="F15" s="531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30" t="str">
        <f>+VLOOKUP($A16,Master!$D$30:$G$226,4,FALSE)</f>
        <v>Akcize</v>
      </c>
      <c r="C16" s="531"/>
      <c r="D16" s="531"/>
      <c r="E16" s="531"/>
      <c r="F16" s="531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30" t="str">
        <f>+VLOOKUP($A17,Master!$D$30:$G$226,4,FALSE)</f>
        <v>Porez na međunarodnu trgovinu i transakcije</v>
      </c>
      <c r="C17" s="531"/>
      <c r="D17" s="531"/>
      <c r="E17" s="531"/>
      <c r="F17" s="531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30" t="str">
        <f>+VLOOKUP($A18,Master!$D$30:$G$226,4,FALSE)</f>
        <v>Ostali državni porezi</v>
      </c>
      <c r="C18" s="531"/>
      <c r="D18" s="531"/>
      <c r="E18" s="531"/>
      <c r="F18" s="531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32" t="str">
        <f>+VLOOKUP($A19,Master!$D$30:$G$226,4,FALSE)</f>
        <v>Doprinosi</v>
      </c>
      <c r="C19" s="533"/>
      <c r="D19" s="533"/>
      <c r="E19" s="533"/>
      <c r="F19" s="533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30" t="str">
        <f>+VLOOKUP($A20,Master!$D$30:$G$226,4,FALSE)</f>
        <v>Doprinosi za penzijsko i invalidsko osiguranje</v>
      </c>
      <c r="C20" s="531"/>
      <c r="D20" s="531"/>
      <c r="E20" s="531"/>
      <c r="F20" s="531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30" t="str">
        <f>+VLOOKUP($A21,Master!$D$30:$G$226,4,FALSE)</f>
        <v>Doprinosi za zdravstveno osiguranje</v>
      </c>
      <c r="C21" s="531"/>
      <c r="D21" s="531"/>
      <c r="E21" s="531"/>
      <c r="F21" s="531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30" t="str">
        <f>+VLOOKUP($A22,Master!$D$30:$G$226,4,FALSE)</f>
        <v>Doprinosi za osiguranje od nezaposlenosti</v>
      </c>
      <c r="C22" s="531"/>
      <c r="D22" s="531"/>
      <c r="E22" s="531"/>
      <c r="F22" s="531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30" t="str">
        <f>+VLOOKUP($A23,Master!$D$30:$G$226,4,FALSE)</f>
        <v>Ostali doprinosi</v>
      </c>
      <c r="C23" s="531"/>
      <c r="D23" s="531"/>
      <c r="E23" s="531"/>
      <c r="F23" s="531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32" t="str">
        <f>+VLOOKUP($A24,Master!$D$30:$G$226,4,FALSE)</f>
        <v>Takse</v>
      </c>
      <c r="C24" s="533"/>
      <c r="D24" s="533"/>
      <c r="E24" s="533"/>
      <c r="F24" s="533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32" t="str">
        <f>+VLOOKUP($A25,Master!$D$30:$G$226,4,FALSE)</f>
        <v>Naknade</v>
      </c>
      <c r="C25" s="533"/>
      <c r="D25" s="533"/>
      <c r="E25" s="533"/>
      <c r="F25" s="533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32" t="str">
        <f>+VLOOKUP($A26,Master!$D$30:$G$226,4,FALSE)</f>
        <v>Ostali prihodi</v>
      </c>
      <c r="C26" s="533"/>
      <c r="D26" s="533"/>
      <c r="E26" s="533"/>
      <c r="F26" s="533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32" t="str">
        <f>+VLOOKUP($A27,Master!$D$30:$G$226,4,FALSE)</f>
        <v>Primici od otplate kredita i sredstva prenesena iz prethodne godine</v>
      </c>
      <c r="C27" s="533"/>
      <c r="D27" s="533"/>
      <c r="E27" s="533"/>
      <c r="F27" s="53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32" t="str">
        <f>+VLOOKUP($A28,Master!$D$30:$G$226,4,FALSE)</f>
        <v>Donacije i transferi</v>
      </c>
      <c r="C28" s="533"/>
      <c r="D28" s="533"/>
      <c r="E28" s="533"/>
      <c r="F28" s="533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20" t="str">
        <f>+VLOOKUP($A29,Master!$D$30:$G$226,4,FALSE)</f>
        <v>Izdaci budžeta</v>
      </c>
      <c r="C29" s="521"/>
      <c r="D29" s="521"/>
      <c r="E29" s="521"/>
      <c r="F29" s="521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538" t="str">
        <f>+VLOOKUP($A30,Master!$D$30:$G$226,4,FALSE)</f>
        <v>Tekući izdaci</v>
      </c>
      <c r="C30" s="539"/>
      <c r="D30" s="539"/>
      <c r="E30" s="539"/>
      <c r="F30" s="539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30" t="str">
        <f>+VLOOKUP($A31,Master!$D$30:$G$226,4,FALSE)</f>
        <v>Bruto zarade i doprinosi na teret poslodavca</v>
      </c>
      <c r="C31" s="531"/>
      <c r="D31" s="531"/>
      <c r="E31" s="531"/>
      <c r="F31" s="531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30" t="str">
        <f>+VLOOKUP($A32,Master!$D$30:$G$226,4,FALSE)</f>
        <v>Ostala lična primanja</v>
      </c>
      <c r="C32" s="531"/>
      <c r="D32" s="531"/>
      <c r="E32" s="531"/>
      <c r="F32" s="531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30" t="str">
        <f>+VLOOKUP($A33,Master!$D$30:$G$226,4,FALSE)</f>
        <v>Rashodi za materijal</v>
      </c>
      <c r="C33" s="531"/>
      <c r="D33" s="531"/>
      <c r="E33" s="531"/>
      <c r="F33" s="531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548" t="str">
        <f>+VLOOKUP($A34,Master!$D$30:$G$226,4,FALSE)</f>
        <v>Rashodi za usluge</v>
      </c>
      <c r="C34" s="549"/>
      <c r="D34" s="549"/>
      <c r="E34" s="549"/>
      <c r="F34" s="549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30" t="str">
        <f>+VLOOKUP($A35,Master!$D$30:$G$226,4,FALSE)</f>
        <v>Rashodi za tekuće održavanje</v>
      </c>
      <c r="C35" s="531"/>
      <c r="D35" s="531"/>
      <c r="E35" s="531"/>
      <c r="F35" s="531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30" t="str">
        <f>+VLOOKUP($A36,Master!$D$30:$G$226,4,FALSE)</f>
        <v>Kamate</v>
      </c>
      <c r="C36" s="531"/>
      <c r="D36" s="531"/>
      <c r="E36" s="531"/>
      <c r="F36" s="531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30" t="str">
        <f>+VLOOKUP($A37,Master!$D$30:$G$226,4,FALSE)</f>
        <v>Renta</v>
      </c>
      <c r="C37" s="531"/>
      <c r="D37" s="531"/>
      <c r="E37" s="531"/>
      <c r="F37" s="531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30" t="str">
        <f>+VLOOKUP($A38,Master!$D$30:$G$226,4,FALSE)</f>
        <v>Subvencije</v>
      </c>
      <c r="C38" s="531"/>
      <c r="D38" s="531"/>
      <c r="E38" s="531"/>
      <c r="F38" s="531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30" t="str">
        <f>+VLOOKUP($A39,Master!$D$30:$G$226,4,FALSE)</f>
        <v>Ostali izdaci</v>
      </c>
      <c r="C39" s="531"/>
      <c r="D39" s="531"/>
      <c r="E39" s="531"/>
      <c r="F39" s="531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26" t="str">
        <f>+VLOOKUP($A40,Master!$D$30:$G$226,4,FALSE)</f>
        <v>Transferi za socijalnu zaštitu</v>
      </c>
      <c r="C40" s="527"/>
      <c r="D40" s="527"/>
      <c r="E40" s="527"/>
      <c r="F40" s="527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30" t="str">
        <f>+VLOOKUP($A41,Master!$D$30:$G$226,4,FALSE)</f>
        <v>Prava iz oblasti socijalne zaštite</v>
      </c>
      <c r="C41" s="531"/>
      <c r="D41" s="531"/>
      <c r="E41" s="531"/>
      <c r="F41" s="531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30" t="str">
        <f>+VLOOKUP($A42,Master!$D$30:$G$226,4,FALSE)</f>
        <v>Sredstva za tehnološke viškove</v>
      </c>
      <c r="C42" s="531"/>
      <c r="D42" s="531"/>
      <c r="E42" s="531"/>
      <c r="F42" s="531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30" t="str">
        <f>+VLOOKUP($A43,Master!$D$30:$G$226,4,FALSE)</f>
        <v>Prava iz oblasti penzijskog i invalidskog osiguranja</v>
      </c>
      <c r="C43" s="531"/>
      <c r="D43" s="531"/>
      <c r="E43" s="531"/>
      <c r="F43" s="531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30" t="str">
        <f>+VLOOKUP($A44,Master!$D$30:$G$226,4,FALSE)</f>
        <v>Ostala prava iz oblasti zdravstvene zaštite</v>
      </c>
      <c r="C44" s="531"/>
      <c r="D44" s="531"/>
      <c r="E44" s="531"/>
      <c r="F44" s="531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550" t="str">
        <f>+VLOOKUP($A45,Master!$D$30:$G$226,4,FALSE)</f>
        <v>Ostala prava iz zdravstvenog osiguranja</v>
      </c>
      <c r="C45" s="551"/>
      <c r="D45" s="551"/>
      <c r="E45" s="551"/>
      <c r="F45" s="551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28" t="str">
        <f>+VLOOKUP($A46,Master!$D$30:$G$226,4,FALSE)</f>
        <v xml:space="preserve">Transferi institucijama, pojedincima, nevladinom i javnom sektoru </v>
      </c>
      <c r="C46" s="529"/>
      <c r="D46" s="529"/>
      <c r="E46" s="529"/>
      <c r="F46" s="529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28" t="str">
        <f>+VLOOKUP($A47,Master!$D$30:$G$226,4,FALSE)</f>
        <v>Kapitalni izdaci</v>
      </c>
      <c r="C47" s="529"/>
      <c r="D47" s="529"/>
      <c r="E47" s="529"/>
      <c r="F47" s="529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552" t="str">
        <f>+VLOOKUP($A48,Master!$D$30:$G$226,4,FALSE)</f>
        <v>Pozajmice i krediti</v>
      </c>
      <c r="C48" s="553"/>
      <c r="D48" s="553"/>
      <c r="E48" s="553"/>
      <c r="F48" s="553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557" t="str">
        <f>+VLOOKUP($A49,Master!$D$30:$G$226,4,FALSE)</f>
        <v>Rezerve</v>
      </c>
      <c r="C49" s="558"/>
      <c r="D49" s="558"/>
      <c r="E49" s="558"/>
      <c r="F49" s="558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16" t="str">
        <f>+VLOOKUP($A50,Master!$D$30:$G$226,4,FALSE)</f>
        <v>Otplata garancija</v>
      </c>
      <c r="C50" s="517"/>
      <c r="D50" s="517"/>
      <c r="E50" s="517"/>
      <c r="F50" s="517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559" t="str">
        <f>+VLOOKUP($A51,Master!$D$30:$G$226,4,TRUE)</f>
        <v>Otplata obaveza iz prethodnog perioda</v>
      </c>
      <c r="C51" s="560"/>
      <c r="D51" s="560"/>
      <c r="E51" s="560"/>
      <c r="F51" s="560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561" t="str">
        <f>+VLOOKUP($A52,Master!$D$30:$G$228,4,FALSE)</f>
        <v>Neto povećanje obaveza</v>
      </c>
      <c r="C52" s="562"/>
      <c r="D52" s="562"/>
      <c r="E52" s="562"/>
      <c r="F52" s="562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22" t="str">
        <f>+VLOOKUP($A53,Master!$D$30:$G$226,4,FALSE)</f>
        <v>Suficit / deficit</v>
      </c>
      <c r="C53" s="523"/>
      <c r="D53" s="523"/>
      <c r="E53" s="523"/>
      <c r="F53" s="523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24" t="str">
        <f>+VLOOKUP($A54,Master!$D$30:$G$226,4,FALSE)</f>
        <v>Primarni suficit/deficit</v>
      </c>
      <c r="C54" s="525"/>
      <c r="D54" s="525"/>
      <c r="E54" s="525"/>
      <c r="F54" s="525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546" t="str">
        <f>+VLOOKUP($A55,Master!$D$30:$G$226,4,FALSE)</f>
        <v>Otplata dugova</v>
      </c>
      <c r="C55" s="547"/>
      <c r="D55" s="547"/>
      <c r="E55" s="547"/>
      <c r="F55" s="547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514" t="str">
        <f>+VLOOKUP($A56,Master!$D$30:$G$226,4,FALSE)</f>
        <v>Otplata hartija od vrijednosti i kredita rezidentima</v>
      </c>
      <c r="C56" s="515"/>
      <c r="D56" s="515"/>
      <c r="E56" s="515"/>
      <c r="F56" s="515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498" t="str">
        <f>+VLOOKUP($A57,Master!$D$30:$G$226,4,FALSE)</f>
        <v>Otplata hartija od vrijednosti i kredita nerezidentima</v>
      </c>
      <c r="C57" s="499"/>
      <c r="D57" s="499"/>
      <c r="E57" s="499"/>
      <c r="F57" s="499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536" t="str">
        <f>+VLOOKUP($A58,Master!$D$30:$G$226,4,FALSE)</f>
        <v>Izdaci za kupovinu hartija od vrijednosti</v>
      </c>
      <c r="C58" s="537"/>
      <c r="D58" s="537"/>
      <c r="E58" s="537"/>
      <c r="F58" s="537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536" t="str">
        <f>+VLOOKUP($A59,Master!$D$30:$G$226,4,FALSE)</f>
        <v>Pozajmice i krediti</v>
      </c>
      <c r="C59" s="537"/>
      <c r="D59" s="537"/>
      <c r="E59" s="537"/>
      <c r="F59" s="537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518" t="str">
        <f>+VLOOKUP($A60,Master!$D$30:$G$226,4,FALSE)</f>
        <v>Nedostajuća sredstva</v>
      </c>
      <c r="C60" s="519"/>
      <c r="D60" s="519"/>
      <c r="E60" s="519"/>
      <c r="F60" s="519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20" t="str">
        <f>+VLOOKUP($A61,Master!$D$30:$G$226,4,FALSE)</f>
        <v>Finansiranje</v>
      </c>
      <c r="C61" s="521"/>
      <c r="D61" s="521"/>
      <c r="E61" s="521"/>
      <c r="F61" s="521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514" t="str">
        <f>+VLOOKUP($A62,Master!$D$30:$G$226,4,FALSE)</f>
        <v>Pozajmice i krediti od domaćih izvora</v>
      </c>
      <c r="C62" s="515"/>
      <c r="D62" s="515"/>
      <c r="E62" s="515"/>
      <c r="F62" s="515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514" t="str">
        <f>+VLOOKUP($A63,Master!$D$30:$G$226,4,FALSE)</f>
        <v>Pozajmice i krediti od inostranih izvora</v>
      </c>
      <c r="C63" s="515"/>
      <c r="D63" s="515"/>
      <c r="E63" s="515"/>
      <c r="F63" s="515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498" t="str">
        <f>+VLOOKUP($A64,Master!$D$30:$G$226,4,FALSE)</f>
        <v>Primici od prodaje imovine</v>
      </c>
      <c r="C64" s="499"/>
      <c r="D64" s="499"/>
      <c r="E64" s="499"/>
      <c r="F64" s="499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498" t="s">
        <v>101</v>
      </c>
      <c r="C65" s="499"/>
      <c r="D65" s="499"/>
      <c r="E65" s="499"/>
      <c r="F65" s="499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569" t="str">
        <f>+Master!G253</f>
        <v>Plan ostvarenja budžeta</v>
      </c>
      <c r="C83" s="570"/>
      <c r="D83" s="570"/>
      <c r="E83" s="570"/>
      <c r="F83" s="570"/>
      <c r="G83" s="554">
        <v>2022</v>
      </c>
      <c r="H83" s="555"/>
      <c r="I83" s="555"/>
      <c r="J83" s="555"/>
      <c r="K83" s="555"/>
      <c r="L83" s="555"/>
      <c r="M83" s="555"/>
      <c r="N83" s="555"/>
      <c r="O83" s="555"/>
      <c r="P83" s="555"/>
      <c r="Q83" s="555"/>
      <c r="R83" s="556"/>
      <c r="S83" s="96" t="str">
        <f>+S7</f>
        <v>BDP</v>
      </c>
      <c r="T83" s="97">
        <v>5700400000</v>
      </c>
    </row>
    <row r="84" spans="1:26" ht="15.75" customHeight="1">
      <c r="B84" s="571"/>
      <c r="C84" s="572"/>
      <c r="D84" s="572"/>
      <c r="E84" s="572"/>
      <c r="F84" s="573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554" t="str">
        <f>+Master!G247</f>
        <v>Jan - Dec</v>
      </c>
      <c r="T84" s="556">
        <f>+T8</f>
        <v>0</v>
      </c>
    </row>
    <row r="85" spans="1:26" ht="13.5" thickBot="1">
      <c r="B85" s="574"/>
      <c r="C85" s="575"/>
      <c r="D85" s="575"/>
      <c r="E85" s="575"/>
      <c r="F85" s="57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563" t="str">
        <f>+VLOOKUP(LEFT($A86,LEN(A86)-1)*1,Master!$D$30:$G$226,4,FALSE)</f>
        <v>Prihodi budžeta</v>
      </c>
      <c r="C86" s="564"/>
      <c r="D86" s="564"/>
      <c r="E86" s="564"/>
      <c r="F86" s="564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565" t="str">
        <f>+VLOOKUP(LEFT($A87,LEN(A87)-1)*1,Master!$D$30:$G$226,4,FALSE)</f>
        <v>Porezi</v>
      </c>
      <c r="C87" s="566"/>
      <c r="D87" s="566"/>
      <c r="E87" s="566"/>
      <c r="F87" s="566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567" t="str">
        <f>+VLOOKUP(LEFT($A88,LEN(A88)-1)*1,Master!$D$30:$G$229,4,FALSE)</f>
        <v>Porez na dohodak fizičkih lica</v>
      </c>
      <c r="C88" s="568"/>
      <c r="D88" s="568"/>
      <c r="E88" s="568"/>
      <c r="F88" s="568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567" t="str">
        <f>+VLOOKUP(LEFT($A89,LEN(A89)-1)*1,Master!$D$30:$G$229,4,FALSE)</f>
        <v>Porez na dobit pravnih lica</v>
      </c>
      <c r="C89" s="568"/>
      <c r="D89" s="568"/>
      <c r="E89" s="568"/>
      <c r="F89" s="568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567" t="str">
        <f>+VLOOKUP(LEFT($A90,LEN(A90)-1)*1,Master!$D$30:$G$229,4,FALSE)</f>
        <v>Porez na promet nepokretnosti</v>
      </c>
      <c r="C90" s="568"/>
      <c r="D90" s="568"/>
      <c r="E90" s="568"/>
      <c r="F90" s="568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567" t="str">
        <f>+VLOOKUP(LEFT($A91,LEN(A91)-1)*1,Master!$D$30:$G$229,4,FALSE)</f>
        <v>Porez na dodatu vrijednost</v>
      </c>
      <c r="C91" s="568"/>
      <c r="D91" s="568"/>
      <c r="E91" s="568"/>
      <c r="F91" s="568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567" t="str">
        <f>+VLOOKUP(LEFT($A92,LEN(A92)-1)*1,Master!$D$30:$G$229,4,FALSE)</f>
        <v>Akcize</v>
      </c>
      <c r="C92" s="568"/>
      <c r="D92" s="568"/>
      <c r="E92" s="568"/>
      <c r="F92" s="568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567" t="str">
        <f>+VLOOKUP(LEFT($A93,LEN(A93)-1)*1,Master!$D$30:$G$229,4,FALSE)</f>
        <v>Porez na međunarodnu trgovinu i transakcije</v>
      </c>
      <c r="C93" s="568"/>
      <c r="D93" s="568"/>
      <c r="E93" s="568"/>
      <c r="F93" s="568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567" t="str">
        <f>+VLOOKUP(LEFT($A94,LEN(A94)-1)*1,Master!$D$30:$G$229,4,FALSE)</f>
        <v>Ostali državni porezi</v>
      </c>
      <c r="C94" s="568"/>
      <c r="D94" s="568"/>
      <c r="E94" s="568"/>
      <c r="F94" s="568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577" t="str">
        <f>+VLOOKUP(LEFT($A95,LEN(A95)-1)*1,Master!$D$30:$G$229,4,FALSE)</f>
        <v>Doprinosi</v>
      </c>
      <c r="C95" s="578"/>
      <c r="D95" s="578"/>
      <c r="E95" s="578"/>
      <c r="F95" s="578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567" t="str">
        <f>+VLOOKUP(LEFT($A96,LEN(A96)-1)*1,Master!$D$30:$G$229,4,FALSE)</f>
        <v>Doprinosi za penzijsko i invalidsko osiguranje</v>
      </c>
      <c r="C96" s="568"/>
      <c r="D96" s="568"/>
      <c r="E96" s="568"/>
      <c r="F96" s="568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567" t="str">
        <f>+VLOOKUP(LEFT($A97,LEN(A97)-1)*1,Master!$D$30:$G$229,4,FALSE)</f>
        <v>Doprinosi za zdravstveno osiguranje</v>
      </c>
      <c r="C97" s="568"/>
      <c r="D97" s="568"/>
      <c r="E97" s="568"/>
      <c r="F97" s="568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567" t="str">
        <f>+VLOOKUP(LEFT($A98,LEN(A98)-1)*1,Master!$D$30:$G$229,4,FALSE)</f>
        <v>Doprinosi za osiguranje od nezaposlenosti</v>
      </c>
      <c r="C98" s="568"/>
      <c r="D98" s="568"/>
      <c r="E98" s="568"/>
      <c r="F98" s="568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567" t="str">
        <f>+VLOOKUP(LEFT($A99,LEN(A99)-1)*1,Master!$D$30:$G$229,4,FALSE)</f>
        <v>Ostali doprinosi</v>
      </c>
      <c r="C99" s="568"/>
      <c r="D99" s="568"/>
      <c r="E99" s="568"/>
      <c r="F99" s="568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577" t="str">
        <f>+VLOOKUP(LEFT($A100,LEN(A100)-1)*1,Master!$D$30:$G$229,4,FALSE)</f>
        <v>Takse</v>
      </c>
      <c r="C100" s="578"/>
      <c r="D100" s="578"/>
      <c r="E100" s="578"/>
      <c r="F100" s="578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577" t="str">
        <f>+VLOOKUP(LEFT($A101,LEN(A101)-1)*1,Master!$D$30:$G$229,4,FALSE)</f>
        <v>Naknade</v>
      </c>
      <c r="C101" s="578"/>
      <c r="D101" s="578"/>
      <c r="E101" s="578"/>
      <c r="F101" s="578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577" t="str">
        <f>+VLOOKUP(LEFT($A102,LEN(A102)-1)*1,Master!$D$30:$G$229,4,FALSE)</f>
        <v>Ostali prihodi</v>
      </c>
      <c r="C102" s="578"/>
      <c r="D102" s="578"/>
      <c r="E102" s="578"/>
      <c r="F102" s="578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577" t="str">
        <f>+VLOOKUP(LEFT($A103,LEN(A103)-1)*1,Master!$D$30:$G$229,4,FALSE)</f>
        <v>Primici od otplate kredita i sredstva prenesena iz prethodne godine</v>
      </c>
      <c r="C103" s="578"/>
      <c r="D103" s="578"/>
      <c r="E103" s="578"/>
      <c r="F103" s="578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579" t="str">
        <f>+VLOOKUP(LEFT($A104,LEN(A104)-1)*1,Master!$D$30:$G$229,4,FALSE)</f>
        <v>Donacije i transferi</v>
      </c>
      <c r="C104" s="580"/>
      <c r="D104" s="580"/>
      <c r="E104" s="580"/>
      <c r="F104" s="580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563" t="str">
        <f>+VLOOKUP(LEFT($A105,LEN(A105)-1)*1,Master!$D$30:$G$229,4,FALSE)</f>
        <v>Izdaci budžeta</v>
      </c>
      <c r="C105" s="564"/>
      <c r="D105" s="564"/>
      <c r="E105" s="564"/>
      <c r="F105" s="564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581" t="str">
        <f>+VLOOKUP(LEFT($A106,LEN(A106)-1)*1,Master!$D$30:$G$229,4,FALSE)</f>
        <v>Tekući izdaci</v>
      </c>
      <c r="C106" s="582"/>
      <c r="D106" s="582"/>
      <c r="E106" s="582"/>
      <c r="F106" s="582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567" t="str">
        <f>+VLOOKUP(LEFT($A107,LEN(A107)-1)*1,Master!$D$30:$G$229,4,FALSE)</f>
        <v>Bruto zarade i doprinosi na teret poslodavca</v>
      </c>
      <c r="C107" s="568"/>
      <c r="D107" s="568"/>
      <c r="E107" s="568"/>
      <c r="F107" s="568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567" t="str">
        <f>+VLOOKUP(LEFT($A108,LEN(A108)-1)*1,Master!$D$30:$G$229,4,FALSE)</f>
        <v>Ostala lična primanja</v>
      </c>
      <c r="C108" s="568"/>
      <c r="D108" s="568"/>
      <c r="E108" s="568"/>
      <c r="F108" s="568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567" t="str">
        <f>+VLOOKUP(LEFT($A109,LEN(A109)-1)*1,Master!$D$30:$G$229,4,FALSE)</f>
        <v>Rashodi za materijal</v>
      </c>
      <c r="C109" s="568"/>
      <c r="D109" s="568"/>
      <c r="E109" s="568"/>
      <c r="F109" s="568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567" t="str">
        <f>+VLOOKUP(LEFT($A110,LEN(A110)-1)*1,Master!$D$30:$G$229,4,FALSE)</f>
        <v>Rashodi za usluge</v>
      </c>
      <c r="C110" s="568"/>
      <c r="D110" s="568"/>
      <c r="E110" s="568"/>
      <c r="F110" s="568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567" t="str">
        <f>+VLOOKUP(LEFT($A111,LEN(A111)-1)*1,Master!$D$30:$G$229,4,FALSE)</f>
        <v>Rashodi za tekuće održavanje</v>
      </c>
      <c r="C111" s="568"/>
      <c r="D111" s="568"/>
      <c r="E111" s="568"/>
      <c r="F111" s="568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567" t="str">
        <f>+VLOOKUP(LEFT($A112,LEN(A112)-1)*1,Master!$D$30:$G$229,4,FALSE)</f>
        <v>Kamate</v>
      </c>
      <c r="C112" s="568"/>
      <c r="D112" s="568"/>
      <c r="E112" s="568"/>
      <c r="F112" s="568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567" t="str">
        <f>+VLOOKUP(LEFT($A113,LEN(A113)-1)*1,Master!$D$30:$G$229,4,FALSE)</f>
        <v>Renta</v>
      </c>
      <c r="C113" s="568"/>
      <c r="D113" s="568"/>
      <c r="E113" s="568"/>
      <c r="F113" s="568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567" t="str">
        <f>+VLOOKUP(LEFT($A114,LEN(A114)-1)*1,Master!$D$30:$G$229,4,FALSE)</f>
        <v>Subvencije</v>
      </c>
      <c r="C114" s="568"/>
      <c r="D114" s="568"/>
      <c r="E114" s="568"/>
      <c r="F114" s="568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567" t="str">
        <f>+VLOOKUP(LEFT($A115,LEN(A115)-1)*1,Master!$D$30:$G$229,4,FALSE)</f>
        <v>Ostali izdaci</v>
      </c>
      <c r="C115" s="568"/>
      <c r="D115" s="568"/>
      <c r="E115" s="568"/>
      <c r="F115" s="568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587" t="str">
        <f>+VLOOKUP(LEFT($A116,LEN(A116)-1)*1,Master!$D$30:$G$229,4,FALSE)</f>
        <v>Transferi za socijalnu zaštitu</v>
      </c>
      <c r="C116" s="588"/>
      <c r="D116" s="588"/>
      <c r="E116" s="588"/>
      <c r="F116" s="588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567" t="str">
        <f>+VLOOKUP(LEFT($A117,LEN(A117)-1)*1,Master!$D$30:$G$229,4,FALSE)</f>
        <v>Prava iz oblasti socijalne zaštite</v>
      </c>
      <c r="C117" s="568"/>
      <c r="D117" s="568"/>
      <c r="E117" s="568"/>
      <c r="F117" s="568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567" t="str">
        <f>+VLOOKUP(LEFT($A118,LEN(A118)-1)*1,Master!$D$30:$G$229,4,FALSE)</f>
        <v>Sredstva za tehnološke viškove</v>
      </c>
      <c r="C118" s="568"/>
      <c r="D118" s="568"/>
      <c r="E118" s="568"/>
      <c r="F118" s="568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567" t="str">
        <f>+VLOOKUP(LEFT($A119,LEN(A119)-1)*1,Master!$D$30:$G$229,4,FALSE)</f>
        <v>Prava iz oblasti penzijskog i invalidskog osiguranja</v>
      </c>
      <c r="C119" s="568"/>
      <c r="D119" s="568"/>
      <c r="E119" s="568"/>
      <c r="F119" s="568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567" t="str">
        <f>+VLOOKUP(LEFT($A120,LEN(A120)-1)*1,Master!$D$30:$G$229,4,FALSE)</f>
        <v>Ostala prava iz oblasti zdravstvene zaštite</v>
      </c>
      <c r="C120" s="568"/>
      <c r="D120" s="568"/>
      <c r="E120" s="568"/>
      <c r="F120" s="568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567" t="str">
        <f>+VLOOKUP(LEFT($A121,LEN(A121)-1)*1,Master!$D$30:$G$229,4,FALSE)</f>
        <v>Ostala prava iz zdravstvenog osiguranja</v>
      </c>
      <c r="C121" s="568"/>
      <c r="D121" s="568"/>
      <c r="E121" s="568"/>
      <c r="F121" s="568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583" t="str">
        <f>+VLOOKUP(LEFT($A122,LEN(A122)-1)*1,Master!$D$30:$G$229,4,FALSE)</f>
        <v xml:space="preserve">Transferi institucijama, pojedincima, nevladinom i javnom sektoru </v>
      </c>
      <c r="C122" s="584"/>
      <c r="D122" s="584"/>
      <c r="E122" s="584"/>
      <c r="F122" s="584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583" t="str">
        <f>+VLOOKUP(LEFT($A123,LEN(A123)-1)*1,Master!$D$30:$G$229,4,FALSE)</f>
        <v>Kapitalni izdaci</v>
      </c>
      <c r="C123" s="584"/>
      <c r="D123" s="584"/>
      <c r="E123" s="584"/>
      <c r="F123" s="584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585" t="str">
        <f>+VLOOKUP(LEFT($A124,LEN(A124)-1)*1,Master!$D$30:$G$229,4,FALSE)</f>
        <v>Pozajmice i krediti</v>
      </c>
      <c r="C124" s="586"/>
      <c r="D124" s="586"/>
      <c r="E124" s="586"/>
      <c r="F124" s="586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585" t="str">
        <f>+VLOOKUP(LEFT($A125,LEN(A125)-1)*1,Master!$D$30:$G$229,4,FALSE)</f>
        <v>Rezerve</v>
      </c>
      <c r="C125" s="586"/>
      <c r="D125" s="586"/>
      <c r="E125" s="586"/>
      <c r="F125" s="586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585" t="str">
        <f>+VLOOKUP(LEFT($A126,LEN(A126)-1)*1,Master!$D$30:$G$229,4,FALSE)</f>
        <v>Otplata garancija</v>
      </c>
      <c r="C126" s="586"/>
      <c r="D126" s="586"/>
      <c r="E126" s="586"/>
      <c r="F126" s="586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585" t="str">
        <f>+VLOOKUP(LEFT($A127,LEN(A127)-1)*1,Master!$D$30:$G$229,4,FALSE)</f>
        <v>Otplata obaveza iz prethodnog perioda</v>
      </c>
      <c r="C127" s="586"/>
      <c r="D127" s="586"/>
      <c r="E127" s="586"/>
      <c r="F127" s="586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585" t="str">
        <f>+VLOOKUP(LEFT($A128,LEN(A128)-1)*1,Master!$D$30:$G$229,4,FALSE)</f>
        <v>Neto povećanje obaveza</v>
      </c>
      <c r="C128" s="586"/>
      <c r="D128" s="586"/>
      <c r="E128" s="586"/>
      <c r="F128" s="586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593" t="str">
        <f>+VLOOKUP(LEFT($A129,LEN(A129)-1)*1,Master!$D$30:$G$226,4,FALSE)</f>
        <v>Suficit / deficit</v>
      </c>
      <c r="C129" s="594"/>
      <c r="D129" s="594"/>
      <c r="E129" s="594"/>
      <c r="F129" s="594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595" t="str">
        <f>+VLOOKUP(LEFT($A130,LEN(A130)-1)*1,Master!$D$30:$G$226,4,FALSE)</f>
        <v>Primarni suficit/deficit</v>
      </c>
      <c r="C130" s="596"/>
      <c r="D130" s="596"/>
      <c r="E130" s="596"/>
      <c r="F130" s="596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587" t="str">
        <f>+VLOOKUP(LEFT($A131,LEN(A131)-1)*1,Master!$D$30:$G$226,4,FALSE)</f>
        <v>Otplata dugova</v>
      </c>
      <c r="C131" s="588"/>
      <c r="D131" s="588"/>
      <c r="E131" s="588"/>
      <c r="F131" s="588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591" t="str">
        <f>+VLOOKUP(LEFT($A132,LEN(A132)-1)*1,Master!$D$30:$G$226,4,FALSE)</f>
        <v>Otplata hartija od vrijednosti i kredita rezidentima</v>
      </c>
      <c r="C132" s="592"/>
      <c r="D132" s="592"/>
      <c r="E132" s="592"/>
      <c r="F132" s="592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585" t="str">
        <f>+VLOOKUP(LEFT($A133,LEN(A133)-1)*1,Master!$D$30:$G$226,4,FALSE)</f>
        <v>Otplata hartija od vrijednosti i kredita nerezidentima</v>
      </c>
      <c r="C133" s="586"/>
      <c r="D133" s="586"/>
      <c r="E133" s="586"/>
      <c r="F133" s="586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563" t="str">
        <f>+VLOOKUP(LEFT($A134,LEN(A134)-1)*1,Master!$D$30:$G$226,4,FALSE)</f>
        <v>Izdaci za kupovinu hartija od vrijednosti</v>
      </c>
      <c r="C134" s="564"/>
      <c r="D134" s="564"/>
      <c r="E134" s="564"/>
      <c r="F134" s="564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589" t="str">
        <f>+VLOOKUP(LEFT($A135,LEN(A135)-1)*1,Master!$D$30:$G$226,4,FALSE)</f>
        <v>Nedostajuća sredstva</v>
      </c>
      <c r="C135" s="590"/>
      <c r="D135" s="590"/>
      <c r="E135" s="590"/>
      <c r="F135" s="590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563" t="str">
        <f>+VLOOKUP(LEFT($A136,LEN(A136)-1)*1,Master!$D$30:$G$226,4,FALSE)</f>
        <v>Finansiranje</v>
      </c>
      <c r="C136" s="564"/>
      <c r="D136" s="564"/>
      <c r="E136" s="564"/>
      <c r="F136" s="564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591" t="str">
        <f>+VLOOKUP(LEFT($A137,LEN(A137)-1)*1,Master!$D$30:$G$226,4,FALSE)</f>
        <v>Pozajmice i krediti od domaćih izvora</v>
      </c>
      <c r="C137" s="592"/>
      <c r="D137" s="592"/>
      <c r="E137" s="592"/>
      <c r="F137" s="592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585" t="str">
        <f>+VLOOKUP(LEFT($A138,LEN(A138)-1)*1,Master!$D$30:$G$226,4,FALSE)</f>
        <v>Pozajmice i krediti od inostranih izvora</v>
      </c>
      <c r="C138" s="586"/>
      <c r="D138" s="586"/>
      <c r="E138" s="586"/>
      <c r="F138" s="586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585" t="str">
        <f>+VLOOKUP(LEFT($A139,LEN(A139)-1)*1,Master!$D$30:$G$226,4,FALSE)</f>
        <v>Primici od prodaje imovine</v>
      </c>
      <c r="C139" s="586"/>
      <c r="D139" s="586"/>
      <c r="E139" s="586"/>
      <c r="F139" s="586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00" t="str">
        <f>+Master!G252</f>
        <v>Ostvarenje budžeta</v>
      </c>
      <c r="C7" s="501"/>
      <c r="D7" s="501"/>
      <c r="E7" s="501"/>
      <c r="F7" s="501"/>
      <c r="G7" s="509">
        <v>2021</v>
      </c>
      <c r="H7" s="510"/>
      <c r="I7" s="510"/>
      <c r="J7" s="510"/>
      <c r="K7" s="510"/>
      <c r="L7" s="510"/>
      <c r="M7" s="510"/>
      <c r="N7" s="510"/>
      <c r="O7" s="510"/>
      <c r="P7" s="510"/>
      <c r="Q7" s="510"/>
      <c r="R7" s="513"/>
      <c r="S7" s="220" t="str">
        <f>+Master!G249</f>
        <v>BDP</v>
      </c>
      <c r="T7" s="221">
        <v>4955116000</v>
      </c>
    </row>
    <row r="8" spans="1:22" ht="16.5" customHeight="1">
      <c r="A8" s="129"/>
      <c r="B8" s="502"/>
      <c r="C8" s="503"/>
      <c r="D8" s="503"/>
      <c r="E8" s="503"/>
      <c r="F8" s="504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09" t="str">
        <f>+Master!G247</f>
        <v>Jan - Dec</v>
      </c>
      <c r="T8" s="513"/>
    </row>
    <row r="9" spans="1:22" ht="13.5" thickBot="1">
      <c r="A9" s="129"/>
      <c r="B9" s="505"/>
      <c r="C9" s="506"/>
      <c r="D9" s="506"/>
      <c r="E9" s="506"/>
      <c r="F9" s="50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542" t="str">
        <f>+VLOOKUP($A10,Master!$D$30:$G$226,4,FALSE)</f>
        <v>Prihodi budžeta</v>
      </c>
      <c r="C10" s="543"/>
      <c r="D10" s="543"/>
      <c r="E10" s="543"/>
      <c r="F10" s="543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544" t="str">
        <f>+VLOOKUP($A11,Master!$D$30:$G$226,4,FALSE)</f>
        <v>Porezi</v>
      </c>
      <c r="C11" s="545"/>
      <c r="D11" s="545"/>
      <c r="E11" s="545"/>
      <c r="F11" s="545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30" t="str">
        <f>+VLOOKUP($A12,Master!$D$30:$G$226,4,FALSE)</f>
        <v>Porez na dohodak fizičkih lica</v>
      </c>
      <c r="C12" s="531"/>
      <c r="D12" s="531"/>
      <c r="E12" s="531"/>
      <c r="F12" s="531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30" t="str">
        <f>+VLOOKUP($A13,Master!$D$30:$G$226,4,FALSE)</f>
        <v>Porez na dobit pravnih lica</v>
      </c>
      <c r="C13" s="531"/>
      <c r="D13" s="531"/>
      <c r="E13" s="531"/>
      <c r="F13" s="531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30" t="str">
        <f>+VLOOKUP($A14,Master!$D$30:$G$226,4,FALSE)</f>
        <v>Porez na promet nepokretnosti</v>
      </c>
      <c r="C14" s="531"/>
      <c r="D14" s="531"/>
      <c r="E14" s="531"/>
      <c r="F14" s="531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30" t="str">
        <f>+VLOOKUP($A15,Master!$D$30:$G$226,4,FALSE)</f>
        <v>Porez na dodatu vrijednost</v>
      </c>
      <c r="C15" s="531"/>
      <c r="D15" s="531"/>
      <c r="E15" s="531"/>
      <c r="F15" s="531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30" t="str">
        <f>+VLOOKUP($A16,Master!$D$30:$G$226,4,FALSE)</f>
        <v>Akcize</v>
      </c>
      <c r="C16" s="531"/>
      <c r="D16" s="531"/>
      <c r="E16" s="531"/>
      <c r="F16" s="531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30" t="str">
        <f>+VLOOKUP($A17,Master!$D$30:$G$226,4,FALSE)</f>
        <v>Porez na međunarodnu trgovinu i transakcije</v>
      </c>
      <c r="C17" s="531"/>
      <c r="D17" s="531"/>
      <c r="E17" s="531"/>
      <c r="F17" s="531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30" t="str">
        <f>+VLOOKUP($A18,Master!$D$30:$G$226,4,FALSE)</f>
        <v>Ostali državni porezi</v>
      </c>
      <c r="C18" s="531"/>
      <c r="D18" s="531"/>
      <c r="E18" s="531"/>
      <c r="F18" s="531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540" t="str">
        <f>+VLOOKUP($A19,Master!$D$30:$G$226,4,FALSE)</f>
        <v>Doprinosi</v>
      </c>
      <c r="C19" s="541"/>
      <c r="D19" s="541"/>
      <c r="E19" s="541"/>
      <c r="F19" s="541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30" t="str">
        <f>+VLOOKUP($A20,Master!$D$30:$G$226,4,FALSE)</f>
        <v>Doprinosi za penzijsko i invalidsko osiguranje</v>
      </c>
      <c r="C20" s="531"/>
      <c r="D20" s="531"/>
      <c r="E20" s="531"/>
      <c r="F20" s="531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30" t="str">
        <f>+VLOOKUP($A21,Master!$D$30:$G$226,4,FALSE)</f>
        <v>Doprinosi za zdravstveno osiguranje</v>
      </c>
      <c r="C21" s="531"/>
      <c r="D21" s="531"/>
      <c r="E21" s="531"/>
      <c r="F21" s="531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30" t="str">
        <f>+VLOOKUP($A22,Master!$D$30:$G$226,4,FALSE)</f>
        <v>Doprinosi za osiguranje od nezaposlenosti</v>
      </c>
      <c r="C22" s="531"/>
      <c r="D22" s="531"/>
      <c r="E22" s="531"/>
      <c r="F22" s="531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30" t="str">
        <f>+VLOOKUP($A23,Master!$D$30:$G$226,4,FALSE)</f>
        <v>Ostali doprinosi</v>
      </c>
      <c r="C23" s="531"/>
      <c r="D23" s="531"/>
      <c r="E23" s="531"/>
      <c r="F23" s="531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32" t="str">
        <f>+VLOOKUP($A24,Master!$D$30:$G$226,4,FALSE)</f>
        <v>Takse</v>
      </c>
      <c r="C24" s="533"/>
      <c r="D24" s="533"/>
      <c r="E24" s="533"/>
      <c r="F24" s="533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32" t="str">
        <f>+VLOOKUP($A25,Master!$D$30:$G$226,4,FALSE)</f>
        <v>Naknade</v>
      </c>
      <c r="C25" s="533"/>
      <c r="D25" s="533"/>
      <c r="E25" s="533"/>
      <c r="F25" s="533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32" t="str">
        <f>+VLOOKUP($A26,Master!$D$30:$G$226,4,FALSE)</f>
        <v>Ostali prihodi</v>
      </c>
      <c r="C26" s="533"/>
      <c r="D26" s="533"/>
      <c r="E26" s="533"/>
      <c r="F26" s="533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32" t="str">
        <f>+VLOOKUP($A27,Master!$D$30:$G$226,4,FALSE)</f>
        <v>Primici od otplate kredita i sredstva prenesena iz prethodne godine</v>
      </c>
      <c r="C27" s="533"/>
      <c r="D27" s="533"/>
      <c r="E27" s="533"/>
      <c r="F27" s="533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34" t="str">
        <f>+VLOOKUP($A28,Master!$D$30:$G$226,4,FALSE)</f>
        <v>Donacije i transferi</v>
      </c>
      <c r="C28" s="535"/>
      <c r="D28" s="535"/>
      <c r="E28" s="535"/>
      <c r="F28" s="535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20" t="str">
        <f>+VLOOKUP($A29,Master!$D$30:$G$226,4,FALSE)</f>
        <v>Izdaci budžeta</v>
      </c>
      <c r="C29" s="521"/>
      <c r="D29" s="521"/>
      <c r="E29" s="521"/>
      <c r="F29" s="521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538" t="str">
        <f>+VLOOKUP($A30,Master!$D$30:$G$226,4,FALSE)</f>
        <v>Tekući izdaci</v>
      </c>
      <c r="C30" s="539"/>
      <c r="D30" s="539"/>
      <c r="E30" s="539"/>
      <c r="F30" s="539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30" t="str">
        <f>+VLOOKUP($A31,Master!$D$30:$G$226,4,FALSE)</f>
        <v>Bruto zarade i doprinosi na teret poslodavca</v>
      </c>
      <c r="C31" s="531"/>
      <c r="D31" s="531"/>
      <c r="E31" s="531"/>
      <c r="F31" s="531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30" t="str">
        <f>+VLOOKUP($A32,Master!$D$30:$G$226,4,FALSE)</f>
        <v>Ostala lična primanja</v>
      </c>
      <c r="C32" s="531"/>
      <c r="D32" s="531"/>
      <c r="E32" s="531"/>
      <c r="F32" s="531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30" t="str">
        <f>+VLOOKUP($A33,Master!$D$30:$G$226,4,FALSE)</f>
        <v>Rashodi za materijal</v>
      </c>
      <c r="C33" s="531"/>
      <c r="D33" s="531"/>
      <c r="E33" s="531"/>
      <c r="F33" s="531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548" t="str">
        <f>+VLOOKUP($A34,Master!$D$30:$G$226,4,FALSE)</f>
        <v>Rashodi za usluge</v>
      </c>
      <c r="C34" s="549"/>
      <c r="D34" s="549"/>
      <c r="E34" s="549"/>
      <c r="F34" s="549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30" t="str">
        <f>+VLOOKUP($A35,Master!$D$30:$G$226,4,FALSE)</f>
        <v>Rashodi za tekuće održavanje</v>
      </c>
      <c r="C35" s="531"/>
      <c r="D35" s="531"/>
      <c r="E35" s="531"/>
      <c r="F35" s="531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30" t="str">
        <f>+VLOOKUP($A36,Master!$D$30:$G$226,4,FALSE)</f>
        <v>Kamate</v>
      </c>
      <c r="C36" s="531"/>
      <c r="D36" s="531"/>
      <c r="E36" s="531"/>
      <c r="F36" s="531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30" t="str">
        <f>+VLOOKUP($A37,Master!$D$30:$G$226,4,FALSE)</f>
        <v>Renta</v>
      </c>
      <c r="C37" s="531"/>
      <c r="D37" s="531"/>
      <c r="E37" s="531"/>
      <c r="F37" s="531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30" t="str">
        <f>+VLOOKUP($A38,Master!$D$30:$G$226,4,FALSE)</f>
        <v>Subvencije</v>
      </c>
      <c r="C38" s="531"/>
      <c r="D38" s="531"/>
      <c r="E38" s="531"/>
      <c r="F38" s="531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548" t="str">
        <f>+VLOOKUP($A39,Master!$D$30:$G$226,4,FALSE)</f>
        <v>Ostali izdaci</v>
      </c>
      <c r="C39" s="549"/>
      <c r="D39" s="549"/>
      <c r="E39" s="549"/>
      <c r="F39" s="549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26" t="str">
        <f>+VLOOKUP($A40,Master!$D$30:$G$226,4,FALSE)</f>
        <v>Transferi za socijalnu zaštitu</v>
      </c>
      <c r="C40" s="527"/>
      <c r="D40" s="527"/>
      <c r="E40" s="527"/>
      <c r="F40" s="527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30" t="str">
        <f>+VLOOKUP($A41,Master!$D$30:$G$226,4,FALSE)</f>
        <v>Prava iz oblasti socijalne zaštite</v>
      </c>
      <c r="C41" s="531"/>
      <c r="D41" s="531"/>
      <c r="E41" s="531"/>
      <c r="F41" s="531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30" t="str">
        <f>+VLOOKUP($A42,Master!$D$30:$G$226,4,FALSE)</f>
        <v>Sredstva za tehnološke viškove</v>
      </c>
      <c r="C42" s="531"/>
      <c r="D42" s="531"/>
      <c r="E42" s="531"/>
      <c r="F42" s="531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30" t="str">
        <f>+VLOOKUP($A43,Master!$D$30:$G$226,4,FALSE)</f>
        <v>Prava iz oblasti penzijskog i invalidskog osiguranja</v>
      </c>
      <c r="C43" s="531"/>
      <c r="D43" s="531"/>
      <c r="E43" s="531"/>
      <c r="F43" s="531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30" t="str">
        <f>+VLOOKUP($A44,Master!$D$30:$G$226,4,FALSE)</f>
        <v>Ostala prava iz oblasti zdravstvene zaštite</v>
      </c>
      <c r="C44" s="531"/>
      <c r="D44" s="531"/>
      <c r="E44" s="531"/>
      <c r="F44" s="531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550" t="str">
        <f>+VLOOKUP($A45,Master!$D$30:$G$226,4,FALSE)</f>
        <v>Ostala prava iz zdravstvenog osiguranja</v>
      </c>
      <c r="C45" s="551"/>
      <c r="D45" s="551"/>
      <c r="E45" s="551"/>
      <c r="F45" s="551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28" t="str">
        <f>+VLOOKUP($A46,Master!$D$30:$G$226,4,FALSE)</f>
        <v xml:space="preserve">Transferi institucijama, pojedincima, nevladinom i javnom sektoru </v>
      </c>
      <c r="C46" s="529"/>
      <c r="D46" s="529"/>
      <c r="E46" s="529"/>
      <c r="F46" s="529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28" t="str">
        <f>+VLOOKUP($A47,Master!$D$30:$G$226,4,FALSE)</f>
        <v>Kapitalni izdaci</v>
      </c>
      <c r="C47" s="529"/>
      <c r="D47" s="529"/>
      <c r="E47" s="529"/>
      <c r="F47" s="529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552" t="str">
        <f>+VLOOKUP($A48,Master!$D$30:$G$226,4,FALSE)</f>
        <v>Pozajmice i krediti</v>
      </c>
      <c r="C48" s="553"/>
      <c r="D48" s="553"/>
      <c r="E48" s="553"/>
      <c r="F48" s="553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557" t="str">
        <f>+VLOOKUP($A49,Master!$D$30:$G$226,4,FALSE)</f>
        <v>Rezerve</v>
      </c>
      <c r="C49" s="558"/>
      <c r="D49" s="558"/>
      <c r="E49" s="558"/>
      <c r="F49" s="558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16" t="str">
        <f>+VLOOKUP($A50,Master!$D$30:$G$226,4,FALSE)</f>
        <v>Otplata garancija</v>
      </c>
      <c r="C50" s="517"/>
      <c r="D50" s="517"/>
      <c r="E50" s="517"/>
      <c r="F50" s="517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559" t="str">
        <f>+VLOOKUP($A51,Master!$D$30:$G$226,4,TRUE)</f>
        <v>Otplata obaveza iz prethodnog perioda</v>
      </c>
      <c r="C51" s="560"/>
      <c r="D51" s="560"/>
      <c r="E51" s="560"/>
      <c r="F51" s="560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561" t="str">
        <f>+VLOOKUP($A52,Master!$D$30:$G$228,4,FALSE)</f>
        <v>Neto povećanje obaveza</v>
      </c>
      <c r="C52" s="562"/>
      <c r="D52" s="562"/>
      <c r="E52" s="562"/>
      <c r="F52" s="562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22" t="str">
        <f>+VLOOKUP($A53,Master!$D$30:$G$226,4,FALSE)</f>
        <v>Suficit / deficit</v>
      </c>
      <c r="C53" s="523"/>
      <c r="D53" s="523"/>
      <c r="E53" s="523"/>
      <c r="F53" s="523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24" t="str">
        <f>+VLOOKUP($A54,Master!$D$30:$G$226,4,FALSE)</f>
        <v>Primarni suficit/deficit</v>
      </c>
      <c r="C54" s="525"/>
      <c r="D54" s="525"/>
      <c r="E54" s="525"/>
      <c r="F54" s="525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546" t="str">
        <f>+VLOOKUP($A55,Master!$D$30:$G$226,4,FALSE)</f>
        <v>Otplata dugova</v>
      </c>
      <c r="C55" s="547"/>
      <c r="D55" s="547"/>
      <c r="E55" s="547"/>
      <c r="F55" s="547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514" t="str">
        <f>+VLOOKUP($A56,Master!$D$30:$G$226,4,FALSE)</f>
        <v>Otplata hartija od vrijednosti i kredita rezidentima</v>
      </c>
      <c r="C56" s="515"/>
      <c r="D56" s="515"/>
      <c r="E56" s="515"/>
      <c r="F56" s="515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498" t="str">
        <f>+VLOOKUP($A57,Master!$D$30:$G$226,4,FALSE)</f>
        <v>Otplata hartija od vrijednosti i kredita nerezidentima</v>
      </c>
      <c r="C57" s="499"/>
      <c r="D57" s="499"/>
      <c r="E57" s="499"/>
      <c r="F57" s="499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536" t="str">
        <f>+VLOOKUP($A58,Master!$D$30:$G$226,4,FALSE)</f>
        <v>Izdaci za kupovinu hartija od vrijednosti</v>
      </c>
      <c r="C58" s="537"/>
      <c r="D58" s="537"/>
      <c r="E58" s="537"/>
      <c r="F58" s="537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518" t="str">
        <f>+VLOOKUP($A59,Master!$D$30:$G$226,4,FALSE)</f>
        <v>Nedostajuća sredstva</v>
      </c>
      <c r="C59" s="519"/>
      <c r="D59" s="519"/>
      <c r="E59" s="519"/>
      <c r="F59" s="519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20" t="str">
        <f>+VLOOKUP($A60,Master!$D$30:$G$226,4,FALSE)</f>
        <v>Finansiranje</v>
      </c>
      <c r="C60" s="521"/>
      <c r="D60" s="521"/>
      <c r="E60" s="521"/>
      <c r="F60" s="521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514" t="str">
        <f>+VLOOKUP($A61,Master!$D$30:$G$226,4,FALSE)</f>
        <v>Pozajmice i krediti od domaćih izvora</v>
      </c>
      <c r="C61" s="515"/>
      <c r="D61" s="515"/>
      <c r="E61" s="515"/>
      <c r="F61" s="515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498" t="str">
        <f>+VLOOKUP($A62,Master!$D$30:$G$226,4,FALSE)</f>
        <v>Pozajmice i krediti od inostranih izvora</v>
      </c>
      <c r="C62" s="499"/>
      <c r="D62" s="499"/>
      <c r="E62" s="499"/>
      <c r="F62" s="499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498" t="str">
        <f>+VLOOKUP($A63,Master!$D$30:$G$226,4,FALSE)</f>
        <v>Primici od prodaje imovine</v>
      </c>
      <c r="C63" s="499"/>
      <c r="D63" s="499"/>
      <c r="E63" s="499"/>
      <c r="F63" s="499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569" t="str">
        <f>+Master!G253</f>
        <v>Plan ostvarenja budžeta</v>
      </c>
      <c r="C81" s="570"/>
      <c r="D81" s="570"/>
      <c r="E81" s="570"/>
      <c r="F81" s="570"/>
      <c r="G81" s="554">
        <v>2021</v>
      </c>
      <c r="H81" s="555"/>
      <c r="I81" s="555"/>
      <c r="J81" s="555"/>
      <c r="K81" s="555"/>
      <c r="L81" s="555"/>
      <c r="M81" s="555"/>
      <c r="N81" s="555"/>
      <c r="O81" s="555"/>
      <c r="P81" s="555"/>
      <c r="Q81" s="555"/>
      <c r="R81" s="556"/>
      <c r="S81" s="96" t="str">
        <f>+S7</f>
        <v>BDP</v>
      </c>
      <c r="T81" s="97">
        <v>4636600000</v>
      </c>
    </row>
    <row r="82" spans="1:21" ht="15.75" customHeight="1">
      <c r="B82" s="571"/>
      <c r="C82" s="572"/>
      <c r="D82" s="572"/>
      <c r="E82" s="572"/>
      <c r="F82" s="573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554" t="str">
        <f>+Master!G247</f>
        <v>Jan - Dec</v>
      </c>
      <c r="T82" s="556">
        <f>+T8</f>
        <v>0</v>
      </c>
    </row>
    <row r="83" spans="1:21" ht="13.5" thickBot="1">
      <c r="B83" s="574"/>
      <c r="C83" s="575"/>
      <c r="D83" s="575"/>
      <c r="E83" s="575"/>
      <c r="F83" s="576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599" t="str">
        <f>+VLOOKUP(LEFT($A84,LEN(A84)-1)*1,Master!$D$30:$G$226,4,FALSE)</f>
        <v>Prihodi budžeta</v>
      </c>
      <c r="C84" s="600"/>
      <c r="D84" s="600"/>
      <c r="E84" s="600"/>
      <c r="F84" s="600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565" t="str">
        <f>+VLOOKUP(LEFT($A85,LEN(A85)-1)*1,Master!$D$30:$G$226,4,FALSE)</f>
        <v>Porezi</v>
      </c>
      <c r="C85" s="566"/>
      <c r="D85" s="566"/>
      <c r="E85" s="566"/>
      <c r="F85" s="566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567" t="str">
        <f>+VLOOKUP(LEFT($A86,LEN(A86)-1)*1,Master!$D$30:$G$229,4,FALSE)</f>
        <v>Porez na dohodak fizičkih lica</v>
      </c>
      <c r="C86" s="568"/>
      <c r="D86" s="568"/>
      <c r="E86" s="568"/>
      <c r="F86" s="568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567" t="str">
        <f>+VLOOKUP(LEFT($A87,LEN(A87)-1)*1,Master!$D$30:$G$229,4,FALSE)</f>
        <v>Porez na dobit pravnih lica</v>
      </c>
      <c r="C87" s="568"/>
      <c r="D87" s="568"/>
      <c r="E87" s="568"/>
      <c r="F87" s="568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567" t="str">
        <f>+VLOOKUP(LEFT($A88,LEN(A88)-1)*1,Master!$D$30:$G$229,4,FALSE)</f>
        <v>Porez na promet nepokretnosti</v>
      </c>
      <c r="C88" s="568"/>
      <c r="D88" s="568"/>
      <c r="E88" s="568"/>
      <c r="F88" s="568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567" t="str">
        <f>+VLOOKUP(LEFT($A89,LEN(A89)-1)*1,Master!$D$30:$G$229,4,FALSE)</f>
        <v>Porez na dodatu vrijednost</v>
      </c>
      <c r="C89" s="568"/>
      <c r="D89" s="568"/>
      <c r="E89" s="568"/>
      <c r="F89" s="568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567" t="str">
        <f>+VLOOKUP(LEFT($A90,LEN(A90)-1)*1,Master!$D$30:$G$229,4,FALSE)</f>
        <v>Akcize</v>
      </c>
      <c r="C90" s="568"/>
      <c r="D90" s="568"/>
      <c r="E90" s="568"/>
      <c r="F90" s="568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567" t="str">
        <f>+VLOOKUP(LEFT($A91,LEN(A91)-1)*1,Master!$D$30:$G$229,4,FALSE)</f>
        <v>Porez na međunarodnu trgovinu i transakcije</v>
      </c>
      <c r="C91" s="568"/>
      <c r="D91" s="568"/>
      <c r="E91" s="568"/>
      <c r="F91" s="568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567" t="str">
        <f>+VLOOKUP(LEFT($A92,LEN(A92)-1)*1,Master!$D$30:$G$229,4,FALSE)</f>
        <v>Ostali državni porezi</v>
      </c>
      <c r="C92" s="568"/>
      <c r="D92" s="568"/>
      <c r="E92" s="568"/>
      <c r="F92" s="568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597" t="str">
        <f>+VLOOKUP(LEFT($A93,LEN(A93)-1)*1,Master!$D$30:$G$229,4,FALSE)</f>
        <v>Doprinosi</v>
      </c>
      <c r="C93" s="598"/>
      <c r="D93" s="598"/>
      <c r="E93" s="598"/>
      <c r="F93" s="598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567" t="str">
        <f>+VLOOKUP(LEFT($A94,LEN(A94)-1)*1,Master!$D$30:$G$229,4,FALSE)</f>
        <v>Doprinosi za penzijsko i invalidsko osiguranje</v>
      </c>
      <c r="C94" s="568"/>
      <c r="D94" s="568"/>
      <c r="E94" s="568"/>
      <c r="F94" s="568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567" t="str">
        <f>+VLOOKUP(LEFT($A95,LEN(A95)-1)*1,Master!$D$30:$G$229,4,FALSE)</f>
        <v>Doprinosi za zdravstveno osiguranje</v>
      </c>
      <c r="C95" s="568"/>
      <c r="D95" s="568"/>
      <c r="E95" s="568"/>
      <c r="F95" s="568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567" t="str">
        <f>+VLOOKUP(LEFT($A96,LEN(A96)-1)*1,Master!$D$30:$G$229,4,FALSE)</f>
        <v>Doprinosi za osiguranje od nezaposlenosti</v>
      </c>
      <c r="C96" s="568"/>
      <c r="D96" s="568"/>
      <c r="E96" s="568"/>
      <c r="F96" s="568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567" t="str">
        <f>+VLOOKUP(LEFT($A97,LEN(A97)-1)*1,Master!$D$30:$G$229,4,FALSE)</f>
        <v>Ostali doprinosi</v>
      </c>
      <c r="C97" s="568"/>
      <c r="D97" s="568"/>
      <c r="E97" s="568"/>
      <c r="F97" s="568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577" t="str">
        <f>+VLOOKUP(LEFT($A98,LEN(A98)-1)*1,Master!$D$30:$G$229,4,FALSE)</f>
        <v>Takse</v>
      </c>
      <c r="C98" s="578"/>
      <c r="D98" s="578"/>
      <c r="E98" s="578"/>
      <c r="F98" s="578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577" t="str">
        <f>+VLOOKUP(LEFT($A99,LEN(A99)-1)*1,Master!$D$30:$G$229,4,FALSE)</f>
        <v>Naknade</v>
      </c>
      <c r="C99" s="578"/>
      <c r="D99" s="578"/>
      <c r="E99" s="578"/>
      <c r="F99" s="578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577" t="str">
        <f>+VLOOKUP(LEFT($A100,LEN(A100)-1)*1,Master!$D$30:$G$229,4,FALSE)</f>
        <v>Ostali prihodi</v>
      </c>
      <c r="C100" s="578"/>
      <c r="D100" s="578"/>
      <c r="E100" s="578"/>
      <c r="F100" s="578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577" t="str">
        <f>+VLOOKUP(LEFT($A101,LEN(A101)-1)*1,Master!$D$30:$G$229,4,FALSE)</f>
        <v>Primici od otplate kredita i sredstva prenesena iz prethodne godine</v>
      </c>
      <c r="C101" s="578"/>
      <c r="D101" s="578"/>
      <c r="E101" s="578"/>
      <c r="F101" s="578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579" t="str">
        <f>+VLOOKUP(LEFT($A102,LEN(A102)-1)*1,Master!$D$30:$G$229,4,FALSE)</f>
        <v>Donacije i transferi</v>
      </c>
      <c r="C102" s="580"/>
      <c r="D102" s="580"/>
      <c r="E102" s="580"/>
      <c r="F102" s="580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563" t="str">
        <f>+VLOOKUP(LEFT($A103,LEN(A103)-1)*1,Master!$D$30:$G$229,4,FALSE)</f>
        <v>Izdaci budžeta</v>
      </c>
      <c r="C103" s="564"/>
      <c r="D103" s="564"/>
      <c r="E103" s="564"/>
      <c r="F103" s="564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581" t="str">
        <f>+VLOOKUP(LEFT($A104,LEN(A104)-1)*1,Master!$D$30:$G$229,4,FALSE)</f>
        <v>Tekući izdaci</v>
      </c>
      <c r="C104" s="582"/>
      <c r="D104" s="582"/>
      <c r="E104" s="582"/>
      <c r="F104" s="582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567" t="str">
        <f>+VLOOKUP(LEFT($A105,LEN(A105)-1)*1,Master!$D$30:$G$229,4,FALSE)</f>
        <v>Bruto zarade i doprinosi na teret poslodavca</v>
      </c>
      <c r="C105" s="568"/>
      <c r="D105" s="568"/>
      <c r="E105" s="568"/>
      <c r="F105" s="568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567" t="str">
        <f>+VLOOKUP(LEFT($A106,LEN(A106)-1)*1,Master!$D$30:$G$229,4,FALSE)</f>
        <v>Ostala lična primanja</v>
      </c>
      <c r="C106" s="568"/>
      <c r="D106" s="568"/>
      <c r="E106" s="568"/>
      <c r="F106" s="568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567" t="str">
        <f>+VLOOKUP(LEFT($A107,LEN(A107)-1)*1,Master!$D$30:$G$229,4,FALSE)</f>
        <v>Rashodi za materijal</v>
      </c>
      <c r="C107" s="568"/>
      <c r="D107" s="568"/>
      <c r="E107" s="568"/>
      <c r="F107" s="568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567" t="str">
        <f>+VLOOKUP(LEFT($A108,LEN(A108)-1)*1,Master!$D$30:$G$229,4,FALSE)</f>
        <v>Rashodi za usluge</v>
      </c>
      <c r="C108" s="568"/>
      <c r="D108" s="568"/>
      <c r="E108" s="568"/>
      <c r="F108" s="568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567" t="str">
        <f>+VLOOKUP(LEFT($A109,LEN(A109)-1)*1,Master!$D$30:$G$229,4,FALSE)</f>
        <v>Rashodi za tekuće održavanje</v>
      </c>
      <c r="C109" s="568"/>
      <c r="D109" s="568"/>
      <c r="E109" s="568"/>
      <c r="F109" s="568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567" t="str">
        <f>+VLOOKUP(LEFT($A110,LEN(A110)-1)*1,Master!$D$30:$G$229,4,FALSE)</f>
        <v>Kamate</v>
      </c>
      <c r="C110" s="568"/>
      <c r="D110" s="568"/>
      <c r="E110" s="568"/>
      <c r="F110" s="568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567" t="str">
        <f>+VLOOKUP(LEFT($A111,LEN(A111)-1)*1,Master!$D$30:$G$229,4,FALSE)</f>
        <v>Renta</v>
      </c>
      <c r="C111" s="568"/>
      <c r="D111" s="568"/>
      <c r="E111" s="568"/>
      <c r="F111" s="568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567" t="str">
        <f>+VLOOKUP(LEFT($A112,LEN(A112)-1)*1,Master!$D$30:$G$229,4,FALSE)</f>
        <v>Subvencije</v>
      </c>
      <c r="C112" s="568"/>
      <c r="D112" s="568"/>
      <c r="E112" s="568"/>
      <c r="F112" s="568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567" t="str">
        <f>+VLOOKUP(LEFT($A113,LEN(A113)-1)*1,Master!$D$30:$G$229,4,FALSE)</f>
        <v>Ostali izdaci</v>
      </c>
      <c r="C113" s="568"/>
      <c r="D113" s="568"/>
      <c r="E113" s="568"/>
      <c r="F113" s="568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587" t="str">
        <f>+VLOOKUP(LEFT($A114,LEN(A114)-1)*1,Master!$D$30:$G$229,4,FALSE)</f>
        <v>Transferi za socijalnu zaštitu</v>
      </c>
      <c r="C114" s="588"/>
      <c r="D114" s="588"/>
      <c r="E114" s="588"/>
      <c r="F114" s="588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567" t="str">
        <f>+VLOOKUP(LEFT($A115,LEN(A115)-1)*1,Master!$D$30:$G$229,4,FALSE)</f>
        <v>Prava iz oblasti socijalne zaštite</v>
      </c>
      <c r="C115" s="568"/>
      <c r="D115" s="568"/>
      <c r="E115" s="568"/>
      <c r="F115" s="568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567" t="str">
        <f>+VLOOKUP(LEFT($A116,LEN(A116)-1)*1,Master!$D$30:$G$229,4,FALSE)</f>
        <v>Sredstva za tehnološke viškove</v>
      </c>
      <c r="C116" s="568"/>
      <c r="D116" s="568"/>
      <c r="E116" s="568"/>
      <c r="F116" s="568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567" t="str">
        <f>+VLOOKUP(LEFT($A117,LEN(A117)-1)*1,Master!$D$30:$G$229,4,FALSE)</f>
        <v>Prava iz oblasti penzijskog i invalidskog osiguranja</v>
      </c>
      <c r="C117" s="568"/>
      <c r="D117" s="568"/>
      <c r="E117" s="568"/>
      <c r="F117" s="568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567" t="str">
        <f>+VLOOKUP(LEFT($A118,LEN(A118)-1)*1,Master!$D$30:$G$229,4,FALSE)</f>
        <v>Ostala prava iz oblasti zdravstvene zaštite</v>
      </c>
      <c r="C118" s="568"/>
      <c r="D118" s="568"/>
      <c r="E118" s="568"/>
      <c r="F118" s="568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567" t="str">
        <f>+VLOOKUP(LEFT($A119,LEN(A119)-1)*1,Master!$D$30:$G$229,4,FALSE)</f>
        <v>Ostala prava iz zdravstvenog osiguranja</v>
      </c>
      <c r="C119" s="568"/>
      <c r="D119" s="568"/>
      <c r="E119" s="568"/>
      <c r="F119" s="568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583" t="str">
        <f>+VLOOKUP(LEFT($A120,LEN(A120)-1)*1,Master!$D$30:$G$229,4,FALSE)</f>
        <v xml:space="preserve">Transferi institucijama, pojedincima, nevladinom i javnom sektoru </v>
      </c>
      <c r="C120" s="584"/>
      <c r="D120" s="584"/>
      <c r="E120" s="584"/>
      <c r="F120" s="584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583" t="str">
        <f>+VLOOKUP(LEFT($A121,LEN(A121)-1)*1,Master!$D$30:$G$229,4,FALSE)</f>
        <v>Kapitalni izdaci</v>
      </c>
      <c r="C121" s="584"/>
      <c r="D121" s="584"/>
      <c r="E121" s="584"/>
      <c r="F121" s="584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585" t="str">
        <f>+VLOOKUP(LEFT($A122,LEN(A122)-1)*1,Master!$D$30:$G$229,4,FALSE)</f>
        <v>Pozajmice i krediti</v>
      </c>
      <c r="C122" s="586"/>
      <c r="D122" s="586"/>
      <c r="E122" s="586"/>
      <c r="F122" s="586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585" t="str">
        <f>+VLOOKUP(LEFT($A123,LEN(A123)-1)*1,Master!$D$30:$G$229,4,FALSE)</f>
        <v>Rezerve</v>
      </c>
      <c r="C123" s="586"/>
      <c r="D123" s="586"/>
      <c r="E123" s="586"/>
      <c r="F123" s="586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585" t="str">
        <f>+VLOOKUP(LEFT($A124,LEN(A124)-1)*1,Master!$D$30:$G$229,4,FALSE)</f>
        <v>Otplata garancija</v>
      </c>
      <c r="C124" s="586"/>
      <c r="D124" s="586"/>
      <c r="E124" s="586"/>
      <c r="F124" s="586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585" t="str">
        <f>+VLOOKUP(LEFT($A125,LEN(A125)-1)*1,Master!$D$30:$G$229,4,FALSE)</f>
        <v>Otplata obaveza iz prethodnog perioda</v>
      </c>
      <c r="C125" s="586"/>
      <c r="D125" s="586"/>
      <c r="E125" s="586"/>
      <c r="F125" s="586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585" t="str">
        <f>+VLOOKUP(LEFT($A126,LEN(A126)-1)*1,Master!$D$30:$G$229,4,FALSE)</f>
        <v>Neto povećanje obaveza</v>
      </c>
      <c r="C126" s="586"/>
      <c r="D126" s="586"/>
      <c r="E126" s="586"/>
      <c r="F126" s="586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593" t="str">
        <f>+VLOOKUP(LEFT($A127,LEN(A127)-1)*1,Master!$D$30:$G$226,4,FALSE)</f>
        <v>Suficit / deficit</v>
      </c>
      <c r="C127" s="594"/>
      <c r="D127" s="594"/>
      <c r="E127" s="594"/>
      <c r="F127" s="594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595" t="str">
        <f>+VLOOKUP(LEFT($A128,LEN(A128)-1)*1,Master!$D$30:$G$226,4,FALSE)</f>
        <v>Primarni suficit/deficit</v>
      </c>
      <c r="C128" s="596"/>
      <c r="D128" s="596"/>
      <c r="E128" s="596"/>
      <c r="F128" s="596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587" t="str">
        <f>+VLOOKUP(LEFT($A129,LEN(A129)-1)*1,Master!$D$30:$G$226,4,FALSE)</f>
        <v>Otplata dugova</v>
      </c>
      <c r="C129" s="588"/>
      <c r="D129" s="588"/>
      <c r="E129" s="588"/>
      <c r="F129" s="588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591" t="str">
        <f>+VLOOKUP(LEFT($A130,LEN(A130)-1)*1,Master!$D$30:$G$226,4,FALSE)</f>
        <v>Otplata hartija od vrijednosti i kredita rezidentima</v>
      </c>
      <c r="C130" s="592"/>
      <c r="D130" s="592"/>
      <c r="E130" s="592"/>
      <c r="F130" s="592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585" t="str">
        <f>+VLOOKUP(LEFT($A131,LEN(A131)-1)*1,Master!$D$30:$G$226,4,FALSE)</f>
        <v>Otplata hartija od vrijednosti i kredita nerezidentima</v>
      </c>
      <c r="C131" s="586"/>
      <c r="D131" s="586"/>
      <c r="E131" s="586"/>
      <c r="F131" s="586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563" t="str">
        <f>+VLOOKUP(LEFT($A132,LEN(A132)-1)*1,Master!$D$30:$G$226,4,FALSE)</f>
        <v>Izdaci za kupovinu hartija od vrijednosti</v>
      </c>
      <c r="C132" s="564"/>
      <c r="D132" s="564"/>
      <c r="E132" s="564"/>
      <c r="F132" s="564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589" t="str">
        <f>+VLOOKUP(LEFT($A133,LEN(A133)-1)*1,Master!$D$30:$G$226,4,FALSE)</f>
        <v>Nedostajuća sredstva</v>
      </c>
      <c r="C133" s="590"/>
      <c r="D133" s="590"/>
      <c r="E133" s="590"/>
      <c r="F133" s="590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563" t="str">
        <f>+VLOOKUP(LEFT($A134,LEN(A134)-1)*1,Master!$D$30:$G$226,4,FALSE)</f>
        <v>Finansiranje</v>
      </c>
      <c r="C134" s="564"/>
      <c r="D134" s="564"/>
      <c r="E134" s="564"/>
      <c r="F134" s="564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591" t="str">
        <f>+VLOOKUP(LEFT($A135,LEN(A135)-1)*1,Master!$D$30:$G$226,4,FALSE)</f>
        <v>Pozajmice i krediti od domaćih izvora</v>
      </c>
      <c r="C135" s="592"/>
      <c r="D135" s="592"/>
      <c r="E135" s="592"/>
      <c r="F135" s="592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585" t="str">
        <f>+VLOOKUP(LEFT($A136,LEN(A136)-1)*1,Master!$D$30:$G$226,4,FALSE)</f>
        <v>Pozajmice i krediti od inostranih izvora</v>
      </c>
      <c r="C136" s="586"/>
      <c r="D136" s="586"/>
      <c r="E136" s="586"/>
      <c r="F136" s="586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585" t="str">
        <f>+VLOOKUP(LEFT($A137,LEN(A137)-1)*1,Master!$D$30:$G$226,4,FALSE)</f>
        <v>Primici od prodaje imovine</v>
      </c>
      <c r="C137" s="586"/>
      <c r="D137" s="586"/>
      <c r="E137" s="586"/>
      <c r="F137" s="586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00" t="str">
        <f>+Master!G252</f>
        <v>Ostvarenje budžeta</v>
      </c>
      <c r="C7" s="501"/>
      <c r="D7" s="501"/>
      <c r="E7" s="501"/>
      <c r="F7" s="501"/>
      <c r="G7" s="509">
        <v>2020</v>
      </c>
      <c r="H7" s="510"/>
      <c r="I7" s="510"/>
      <c r="J7" s="510"/>
      <c r="K7" s="510"/>
      <c r="L7" s="510"/>
      <c r="M7" s="510"/>
      <c r="N7" s="510"/>
      <c r="O7" s="510"/>
      <c r="P7" s="510"/>
      <c r="Q7" s="510"/>
      <c r="R7" s="513"/>
      <c r="S7" s="220" t="str">
        <f>+Master!G249</f>
        <v>BDP</v>
      </c>
      <c r="T7" s="221">
        <v>4185600000</v>
      </c>
    </row>
    <row r="8" spans="1:20" ht="16.5" customHeight="1">
      <c r="A8" s="129"/>
      <c r="B8" s="502"/>
      <c r="C8" s="503"/>
      <c r="D8" s="503"/>
      <c r="E8" s="503"/>
      <c r="F8" s="504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09" t="str">
        <f>+Master!G247</f>
        <v>Jan - Dec</v>
      </c>
      <c r="T8" s="513"/>
    </row>
    <row r="9" spans="1:20" ht="13.5" thickBot="1">
      <c r="A9" s="129"/>
      <c r="B9" s="505"/>
      <c r="C9" s="506"/>
      <c r="D9" s="506"/>
      <c r="E9" s="506"/>
      <c r="F9" s="50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542" t="str">
        <f>+VLOOKUP($A10,Master!$D$30:$G$226,4,FALSE)</f>
        <v>Prihodi budžeta</v>
      </c>
      <c r="C10" s="543"/>
      <c r="D10" s="543"/>
      <c r="E10" s="543"/>
      <c r="F10" s="543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544" t="str">
        <f>+VLOOKUP($A11,Master!$D$30:$G$226,4,FALSE)</f>
        <v>Porezi</v>
      </c>
      <c r="C11" s="545"/>
      <c r="D11" s="545"/>
      <c r="E11" s="545"/>
      <c r="F11" s="545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30" t="str">
        <f>+VLOOKUP($A12,Master!$D$30:$G$226,4,FALSE)</f>
        <v>Porez na dohodak fizičkih lica</v>
      </c>
      <c r="C12" s="531"/>
      <c r="D12" s="531"/>
      <c r="E12" s="531"/>
      <c r="F12" s="531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30" t="str">
        <f>+VLOOKUP($A13,Master!$D$30:$G$226,4,FALSE)</f>
        <v>Porez na dobit pravnih lica</v>
      </c>
      <c r="C13" s="531"/>
      <c r="D13" s="531"/>
      <c r="E13" s="531"/>
      <c r="F13" s="531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30" t="str">
        <f>+VLOOKUP($A14,Master!$D$30:$G$226,4,FALSE)</f>
        <v>Porez na promet nepokretnosti</v>
      </c>
      <c r="C14" s="531"/>
      <c r="D14" s="531"/>
      <c r="E14" s="531"/>
      <c r="F14" s="531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30" t="str">
        <f>+VLOOKUP($A15,Master!$D$30:$G$226,4,FALSE)</f>
        <v>Porez na dodatu vrijednost</v>
      </c>
      <c r="C15" s="531"/>
      <c r="D15" s="531"/>
      <c r="E15" s="531"/>
      <c r="F15" s="531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30" t="str">
        <f>+VLOOKUP($A16,Master!$D$30:$G$226,4,FALSE)</f>
        <v>Akcize</v>
      </c>
      <c r="C16" s="531"/>
      <c r="D16" s="531"/>
      <c r="E16" s="531"/>
      <c r="F16" s="531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30" t="str">
        <f>+VLOOKUP($A17,Master!$D$30:$G$226,4,FALSE)</f>
        <v>Porez na međunarodnu trgovinu i transakcije</v>
      </c>
      <c r="C17" s="531"/>
      <c r="D17" s="531"/>
      <c r="E17" s="531"/>
      <c r="F17" s="531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30" t="str">
        <f>+VLOOKUP($A18,Master!$D$30:$G$226,4,FALSE)</f>
        <v>Ostali državni porezi</v>
      </c>
      <c r="C18" s="531"/>
      <c r="D18" s="531"/>
      <c r="E18" s="531"/>
      <c r="F18" s="531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540" t="str">
        <f>+VLOOKUP($A19,Master!$D$30:$G$226,4,FALSE)</f>
        <v>Doprinosi</v>
      </c>
      <c r="C19" s="541"/>
      <c r="D19" s="541"/>
      <c r="E19" s="541"/>
      <c r="F19" s="541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30" t="str">
        <f>+VLOOKUP($A20,Master!$D$30:$G$226,4,FALSE)</f>
        <v>Doprinosi za penzijsko i invalidsko osiguranje</v>
      </c>
      <c r="C20" s="531"/>
      <c r="D20" s="531"/>
      <c r="E20" s="531"/>
      <c r="F20" s="531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30" t="str">
        <f>+VLOOKUP($A21,Master!$D$30:$G$226,4,FALSE)</f>
        <v>Doprinosi za zdravstveno osiguranje</v>
      </c>
      <c r="C21" s="531"/>
      <c r="D21" s="531"/>
      <c r="E21" s="531"/>
      <c r="F21" s="531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30" t="str">
        <f>+VLOOKUP($A22,Master!$D$30:$G$226,4,FALSE)</f>
        <v>Doprinosi za osiguranje od nezaposlenosti</v>
      </c>
      <c r="C22" s="531"/>
      <c r="D22" s="531"/>
      <c r="E22" s="531"/>
      <c r="F22" s="531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30" t="str">
        <f>+VLOOKUP($A23,Master!$D$30:$G$226,4,FALSE)</f>
        <v>Ostali doprinosi</v>
      </c>
      <c r="C23" s="531"/>
      <c r="D23" s="531"/>
      <c r="E23" s="531"/>
      <c r="F23" s="531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32" t="str">
        <f>+VLOOKUP($A24,Master!$D$30:$G$226,4,FALSE)</f>
        <v>Takse</v>
      </c>
      <c r="C24" s="533"/>
      <c r="D24" s="533"/>
      <c r="E24" s="533"/>
      <c r="F24" s="533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32" t="str">
        <f>+VLOOKUP($A25,Master!$D$30:$G$226,4,FALSE)</f>
        <v>Naknade</v>
      </c>
      <c r="C25" s="533"/>
      <c r="D25" s="533"/>
      <c r="E25" s="533"/>
      <c r="F25" s="533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32" t="str">
        <f>+VLOOKUP($A26,Master!$D$30:$G$226,4,FALSE)</f>
        <v>Ostali prihodi</v>
      </c>
      <c r="C26" s="533"/>
      <c r="D26" s="533"/>
      <c r="E26" s="533"/>
      <c r="F26" s="533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32" t="str">
        <f>+VLOOKUP($A27,Master!$D$30:$G$226,4,FALSE)</f>
        <v>Primici od otplate kredita i sredstva prenesena iz prethodne godine</v>
      </c>
      <c r="C27" s="533"/>
      <c r="D27" s="533"/>
      <c r="E27" s="533"/>
      <c r="F27" s="533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34" t="str">
        <f>+VLOOKUP($A28,Master!$D$30:$G$226,4,FALSE)</f>
        <v>Donacije i transferi</v>
      </c>
      <c r="C28" s="535"/>
      <c r="D28" s="535"/>
      <c r="E28" s="535"/>
      <c r="F28" s="535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20" t="str">
        <f>+VLOOKUP($A29,Master!$D$30:$G$226,4,FALSE)</f>
        <v>Izdaci budžeta</v>
      </c>
      <c r="C29" s="521"/>
      <c r="D29" s="521"/>
      <c r="E29" s="521"/>
      <c r="F29" s="521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538" t="str">
        <f>+VLOOKUP($A30,Master!$D$30:$G$226,4,FALSE)</f>
        <v>Tekući izdaci</v>
      </c>
      <c r="C30" s="539"/>
      <c r="D30" s="539"/>
      <c r="E30" s="539"/>
      <c r="F30" s="539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30" t="str">
        <f>+VLOOKUP($A31,Master!$D$30:$G$226,4,FALSE)</f>
        <v>Bruto zarade i doprinosi na teret poslodavca</v>
      </c>
      <c r="C31" s="531"/>
      <c r="D31" s="531"/>
      <c r="E31" s="531"/>
      <c r="F31" s="531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30" t="str">
        <f>+VLOOKUP($A32,Master!$D$30:$G$226,4,FALSE)</f>
        <v>Ostala lična primanja</v>
      </c>
      <c r="C32" s="531"/>
      <c r="D32" s="531"/>
      <c r="E32" s="531"/>
      <c r="F32" s="531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30" t="str">
        <f>+VLOOKUP($A33,Master!$D$30:$G$226,4,FALSE)</f>
        <v>Rashodi za materijal</v>
      </c>
      <c r="C33" s="531"/>
      <c r="D33" s="531"/>
      <c r="E33" s="531"/>
      <c r="F33" s="531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548" t="str">
        <f>+VLOOKUP($A34,Master!$D$30:$G$226,4,FALSE)</f>
        <v>Rashodi za usluge</v>
      </c>
      <c r="C34" s="549"/>
      <c r="D34" s="549"/>
      <c r="E34" s="549"/>
      <c r="F34" s="549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30" t="str">
        <f>+VLOOKUP($A35,Master!$D$30:$G$226,4,FALSE)</f>
        <v>Rashodi za tekuće održavanje</v>
      </c>
      <c r="C35" s="531"/>
      <c r="D35" s="531"/>
      <c r="E35" s="531"/>
      <c r="F35" s="531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30" t="str">
        <f>+VLOOKUP($A36,Master!$D$30:$G$226,4,FALSE)</f>
        <v>Kamate</v>
      </c>
      <c r="C36" s="531"/>
      <c r="D36" s="531"/>
      <c r="E36" s="531"/>
      <c r="F36" s="531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30" t="str">
        <f>+VLOOKUP($A37,Master!$D$30:$G$226,4,FALSE)</f>
        <v>Renta</v>
      </c>
      <c r="C37" s="531"/>
      <c r="D37" s="531"/>
      <c r="E37" s="531"/>
      <c r="F37" s="531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30" t="str">
        <f>+VLOOKUP($A38,Master!$D$30:$G$226,4,FALSE)</f>
        <v>Subvencije</v>
      </c>
      <c r="C38" s="531"/>
      <c r="D38" s="531"/>
      <c r="E38" s="531"/>
      <c r="F38" s="531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548" t="str">
        <f>+VLOOKUP($A39,Master!$D$30:$G$226,4,FALSE)</f>
        <v>Ostali izdaci</v>
      </c>
      <c r="C39" s="549"/>
      <c r="D39" s="549"/>
      <c r="E39" s="549"/>
      <c r="F39" s="549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26" t="str">
        <f>+VLOOKUP($A40,Master!$D$30:$G$226,4,FALSE)</f>
        <v>Transferi za socijalnu zaštitu</v>
      </c>
      <c r="C40" s="527"/>
      <c r="D40" s="527"/>
      <c r="E40" s="527"/>
      <c r="F40" s="527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30" t="str">
        <f>+VLOOKUP($A41,Master!$D$30:$G$226,4,FALSE)</f>
        <v>Prava iz oblasti socijalne zaštite</v>
      </c>
      <c r="C41" s="531"/>
      <c r="D41" s="531"/>
      <c r="E41" s="531"/>
      <c r="F41" s="531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30" t="str">
        <f>+VLOOKUP($A42,Master!$D$30:$G$226,4,FALSE)</f>
        <v>Sredstva za tehnološke viškove</v>
      </c>
      <c r="C42" s="531"/>
      <c r="D42" s="531"/>
      <c r="E42" s="531"/>
      <c r="F42" s="531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30" t="str">
        <f>+VLOOKUP($A43,Master!$D$30:$G$226,4,FALSE)</f>
        <v>Prava iz oblasti penzijskog i invalidskog osiguranja</v>
      </c>
      <c r="C43" s="531"/>
      <c r="D43" s="531"/>
      <c r="E43" s="531"/>
      <c r="F43" s="531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30" t="str">
        <f>+VLOOKUP($A44,Master!$D$30:$G$226,4,FALSE)</f>
        <v>Ostala prava iz oblasti zdravstvene zaštite</v>
      </c>
      <c r="C44" s="531"/>
      <c r="D44" s="531"/>
      <c r="E44" s="531"/>
      <c r="F44" s="531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550" t="str">
        <f>+VLOOKUP($A45,Master!$D$30:$G$226,4,FALSE)</f>
        <v>Ostala prava iz zdravstvenog osiguranja</v>
      </c>
      <c r="C45" s="551"/>
      <c r="D45" s="551"/>
      <c r="E45" s="551"/>
      <c r="F45" s="551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28" t="str">
        <f>+VLOOKUP($A46,Master!$D$30:$G$226,4,FALSE)</f>
        <v xml:space="preserve">Transferi institucijama, pojedincima, nevladinom i javnom sektoru </v>
      </c>
      <c r="C46" s="529"/>
      <c r="D46" s="529"/>
      <c r="E46" s="529"/>
      <c r="F46" s="529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28" t="str">
        <f>+VLOOKUP($A47,Master!$D$30:$G$226,4,FALSE)</f>
        <v>Kapitalni izdaci</v>
      </c>
      <c r="C47" s="529"/>
      <c r="D47" s="529"/>
      <c r="E47" s="529"/>
      <c r="F47" s="529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552" t="str">
        <f>+VLOOKUP($A48,Master!$D$30:$G$226,4,FALSE)</f>
        <v>Pozajmice i krediti</v>
      </c>
      <c r="C48" s="553"/>
      <c r="D48" s="553"/>
      <c r="E48" s="553"/>
      <c r="F48" s="553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557" t="str">
        <f>+VLOOKUP($A49,Master!$D$30:$G$226,4,FALSE)</f>
        <v>Rezerve</v>
      </c>
      <c r="C49" s="558"/>
      <c r="D49" s="558"/>
      <c r="E49" s="558"/>
      <c r="F49" s="558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16" t="str">
        <f>+VLOOKUP($A50,Master!$D$30:$G$226,4,FALSE)</f>
        <v>Otplata garancija</v>
      </c>
      <c r="C50" s="517"/>
      <c r="D50" s="517"/>
      <c r="E50" s="517"/>
      <c r="F50" s="517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559" t="str">
        <f>+VLOOKUP($A51,Master!$D$30:$G$226,4,TRUE)</f>
        <v>Otplata obaveza iz prethodnog perioda</v>
      </c>
      <c r="C51" s="560"/>
      <c r="D51" s="560"/>
      <c r="E51" s="560"/>
      <c r="F51" s="560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561" t="str">
        <f>+VLOOKUP($A52,Master!$D$30:$G$228,4,FALSE)</f>
        <v>Neto povećanje obaveza</v>
      </c>
      <c r="C52" s="562"/>
      <c r="D52" s="562"/>
      <c r="E52" s="562"/>
      <c r="F52" s="562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22" t="str">
        <f>+VLOOKUP($A53,Master!$D$30:$G$226,4,FALSE)</f>
        <v>Suficit / deficit</v>
      </c>
      <c r="C53" s="523"/>
      <c r="D53" s="523"/>
      <c r="E53" s="523"/>
      <c r="F53" s="523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24" t="str">
        <f>+VLOOKUP($A54,Master!$D$30:$G$226,4,FALSE)</f>
        <v>Primarni suficit/deficit</v>
      </c>
      <c r="C54" s="525"/>
      <c r="D54" s="525"/>
      <c r="E54" s="525"/>
      <c r="F54" s="525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546" t="str">
        <f>+VLOOKUP($A55,Master!$D$30:$G$226,4,FALSE)</f>
        <v>Otplata dugova</v>
      </c>
      <c r="C55" s="547"/>
      <c r="D55" s="547"/>
      <c r="E55" s="547"/>
      <c r="F55" s="547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514" t="str">
        <f>+VLOOKUP($A56,Master!$D$30:$G$226,4,FALSE)</f>
        <v>Otplata hartija od vrijednosti i kredita rezidentima</v>
      </c>
      <c r="C56" s="515"/>
      <c r="D56" s="515"/>
      <c r="E56" s="515"/>
      <c r="F56" s="515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498" t="str">
        <f>+VLOOKUP($A57,Master!$D$30:$G$226,4,FALSE)</f>
        <v>Otplata hartija od vrijednosti i kredita nerezidentima</v>
      </c>
      <c r="C57" s="499"/>
      <c r="D57" s="499"/>
      <c r="E57" s="499"/>
      <c r="F57" s="499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536" t="str">
        <f>+VLOOKUP($A58,Master!$D$30:$G$226,4,FALSE)</f>
        <v>Izdaci za kupovinu hartija od vrijednosti</v>
      </c>
      <c r="C58" s="537"/>
      <c r="D58" s="537"/>
      <c r="E58" s="537"/>
      <c r="F58" s="537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518" t="str">
        <f>+VLOOKUP($A59,Master!$D$30:$G$226,4,FALSE)</f>
        <v>Nedostajuća sredstva</v>
      </c>
      <c r="C59" s="519"/>
      <c r="D59" s="519"/>
      <c r="E59" s="519"/>
      <c r="F59" s="519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20" t="str">
        <f>+VLOOKUP($A60,Master!$D$30:$G$226,4,FALSE)</f>
        <v>Finansiranje</v>
      </c>
      <c r="C60" s="521"/>
      <c r="D60" s="521"/>
      <c r="E60" s="521"/>
      <c r="F60" s="521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514" t="str">
        <f>+VLOOKUP($A61,Master!$D$30:$G$226,4,FALSE)</f>
        <v>Pozajmice i krediti od domaćih izvora</v>
      </c>
      <c r="C61" s="515"/>
      <c r="D61" s="515"/>
      <c r="E61" s="515"/>
      <c r="F61" s="515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498" t="str">
        <f>+VLOOKUP($A62,Master!$D$30:$G$226,4,FALSE)</f>
        <v>Pozajmice i krediti od inostranih izvora</v>
      </c>
      <c r="C62" s="499"/>
      <c r="D62" s="499"/>
      <c r="E62" s="499"/>
      <c r="F62" s="499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498" t="str">
        <f>+VLOOKUP($A63,Master!$D$30:$G$226,4,FALSE)</f>
        <v>Primici od prodaje imovine</v>
      </c>
      <c r="C63" s="499"/>
      <c r="D63" s="499"/>
      <c r="E63" s="499"/>
      <c r="F63" s="499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569" t="str">
        <f>+Master!G253</f>
        <v>Plan ostvarenja budžeta</v>
      </c>
      <c r="C100" s="570"/>
      <c r="D100" s="570"/>
      <c r="E100" s="570"/>
      <c r="F100" s="570"/>
      <c r="G100" s="554">
        <v>2020</v>
      </c>
      <c r="H100" s="555"/>
      <c r="I100" s="555"/>
      <c r="J100" s="555"/>
      <c r="K100" s="555"/>
      <c r="L100" s="555"/>
      <c r="M100" s="555"/>
      <c r="N100" s="555"/>
      <c r="O100" s="555"/>
      <c r="P100" s="555"/>
      <c r="Q100" s="555"/>
      <c r="R100" s="556"/>
      <c r="S100" s="96" t="str">
        <f>+S7</f>
        <v>BDP</v>
      </c>
      <c r="T100" s="97">
        <v>4607300000</v>
      </c>
    </row>
    <row r="101" spans="1:21" ht="15.75" customHeight="1">
      <c r="B101" s="571"/>
      <c r="C101" s="572"/>
      <c r="D101" s="572"/>
      <c r="E101" s="572"/>
      <c r="F101" s="573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554" t="str">
        <f>+Master!G247</f>
        <v>Jan - Dec</v>
      </c>
      <c r="T101" s="556">
        <f>+T8</f>
        <v>0</v>
      </c>
    </row>
    <row r="102" spans="1:21" ht="13.5" thickBot="1">
      <c r="B102" s="574"/>
      <c r="C102" s="575"/>
      <c r="D102" s="575"/>
      <c r="E102" s="575"/>
      <c r="F102" s="576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599" t="str">
        <f>+VLOOKUP(LEFT($A103,LEN(A103)-1)*1,Master!$D$30:$G$226,4,FALSE)</f>
        <v>Prihodi budžeta</v>
      </c>
      <c r="C103" s="600"/>
      <c r="D103" s="600"/>
      <c r="E103" s="600"/>
      <c r="F103" s="600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565" t="str">
        <f>+VLOOKUP(LEFT($A104,LEN(A104)-1)*1,Master!$D$30:$G$226,4,FALSE)</f>
        <v>Porezi</v>
      </c>
      <c r="C104" s="566"/>
      <c r="D104" s="566"/>
      <c r="E104" s="566"/>
      <c r="F104" s="566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567" t="str">
        <f>+VLOOKUP(LEFT($A105,LEN(A105)-1)*1,Master!$D$30:$G$229,4,FALSE)</f>
        <v>Porez na dohodak fizičkih lica</v>
      </c>
      <c r="C105" s="568"/>
      <c r="D105" s="568"/>
      <c r="E105" s="568"/>
      <c r="F105" s="568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567" t="str">
        <f>+VLOOKUP(LEFT($A106,LEN(A106)-1)*1,Master!$D$30:$G$229,4,FALSE)</f>
        <v>Porez na dobit pravnih lica</v>
      </c>
      <c r="C106" s="568"/>
      <c r="D106" s="568"/>
      <c r="E106" s="568"/>
      <c r="F106" s="568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567" t="str">
        <f>+VLOOKUP(LEFT($A107,LEN(A107)-1)*1,Master!$D$30:$G$229,4,FALSE)</f>
        <v>Porez na promet nepokretnosti</v>
      </c>
      <c r="C107" s="568"/>
      <c r="D107" s="568"/>
      <c r="E107" s="568"/>
      <c r="F107" s="568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567" t="str">
        <f>+VLOOKUP(LEFT($A108,LEN(A108)-1)*1,Master!$D$30:$G$229,4,FALSE)</f>
        <v>Porez na dodatu vrijednost</v>
      </c>
      <c r="C108" s="568"/>
      <c r="D108" s="568"/>
      <c r="E108" s="568"/>
      <c r="F108" s="568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567" t="str">
        <f>+VLOOKUP(LEFT($A109,LEN(A109)-1)*1,Master!$D$30:$G$229,4,FALSE)</f>
        <v>Akcize</v>
      </c>
      <c r="C109" s="568"/>
      <c r="D109" s="568"/>
      <c r="E109" s="568"/>
      <c r="F109" s="568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567" t="str">
        <f>+VLOOKUP(LEFT($A110,LEN(A110)-1)*1,Master!$D$30:$G$229,4,FALSE)</f>
        <v>Porez na međunarodnu trgovinu i transakcije</v>
      </c>
      <c r="C110" s="568"/>
      <c r="D110" s="568"/>
      <c r="E110" s="568"/>
      <c r="F110" s="568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567" t="str">
        <f>+VLOOKUP(LEFT($A111,LEN(A111)-1)*1,Master!$D$30:$G$229,4,FALSE)</f>
        <v>Ostali državni porezi</v>
      </c>
      <c r="C111" s="568"/>
      <c r="D111" s="568"/>
      <c r="E111" s="568"/>
      <c r="F111" s="568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597" t="str">
        <f>+VLOOKUP(LEFT($A112,LEN(A112)-1)*1,Master!$D$30:$G$229,4,FALSE)</f>
        <v>Doprinosi</v>
      </c>
      <c r="C112" s="598"/>
      <c r="D112" s="598"/>
      <c r="E112" s="598"/>
      <c r="F112" s="598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567" t="str">
        <f>+VLOOKUP(LEFT($A113,LEN(A113)-1)*1,Master!$D$30:$G$229,4,FALSE)</f>
        <v>Doprinosi za penzijsko i invalidsko osiguranje</v>
      </c>
      <c r="C113" s="568"/>
      <c r="D113" s="568"/>
      <c r="E113" s="568"/>
      <c r="F113" s="568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567" t="str">
        <f>+VLOOKUP(LEFT($A114,LEN(A114)-1)*1,Master!$D$30:$G$229,4,FALSE)</f>
        <v>Doprinosi za zdravstveno osiguranje</v>
      </c>
      <c r="C114" s="568"/>
      <c r="D114" s="568"/>
      <c r="E114" s="568"/>
      <c r="F114" s="568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567" t="str">
        <f>+VLOOKUP(LEFT($A115,LEN(A115)-1)*1,Master!$D$30:$G$229,4,FALSE)</f>
        <v>Doprinosi za osiguranje od nezaposlenosti</v>
      </c>
      <c r="C115" s="568"/>
      <c r="D115" s="568"/>
      <c r="E115" s="568"/>
      <c r="F115" s="568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567" t="str">
        <f>+VLOOKUP(LEFT($A116,LEN(A116)-1)*1,Master!$D$30:$G$229,4,FALSE)</f>
        <v>Ostali doprinosi</v>
      </c>
      <c r="C116" s="568"/>
      <c r="D116" s="568"/>
      <c r="E116" s="568"/>
      <c r="F116" s="568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577" t="str">
        <f>+VLOOKUP(LEFT($A117,LEN(A117)-1)*1,Master!$D$30:$G$229,4,FALSE)</f>
        <v>Takse</v>
      </c>
      <c r="C117" s="578"/>
      <c r="D117" s="578"/>
      <c r="E117" s="578"/>
      <c r="F117" s="578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577" t="str">
        <f>+VLOOKUP(LEFT($A118,LEN(A118)-1)*1,Master!$D$30:$G$229,4,FALSE)</f>
        <v>Naknade</v>
      </c>
      <c r="C118" s="578"/>
      <c r="D118" s="578"/>
      <c r="E118" s="578"/>
      <c r="F118" s="578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577" t="str">
        <f>+VLOOKUP(LEFT($A119,LEN(A119)-1)*1,Master!$D$30:$G$229,4,FALSE)</f>
        <v>Ostali prihodi</v>
      </c>
      <c r="C119" s="578"/>
      <c r="D119" s="578"/>
      <c r="E119" s="578"/>
      <c r="F119" s="578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577" t="str">
        <f>+VLOOKUP(LEFT($A120,LEN(A120)-1)*1,Master!$D$30:$G$229,4,FALSE)</f>
        <v>Primici od otplate kredita i sredstva prenesena iz prethodne godine</v>
      </c>
      <c r="C120" s="578"/>
      <c r="D120" s="578"/>
      <c r="E120" s="578"/>
      <c r="F120" s="578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579" t="str">
        <f>+VLOOKUP(LEFT($A121,LEN(A121)-1)*1,Master!$D$30:$G$229,4,FALSE)</f>
        <v>Donacije i transferi</v>
      </c>
      <c r="C121" s="580"/>
      <c r="D121" s="580"/>
      <c r="E121" s="580"/>
      <c r="F121" s="580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563" t="str">
        <f>+VLOOKUP(LEFT($A122,LEN(A122)-1)*1,Master!$D$30:$G$229,4,FALSE)</f>
        <v>Izdaci budžeta</v>
      </c>
      <c r="C122" s="564"/>
      <c r="D122" s="564"/>
      <c r="E122" s="564"/>
      <c r="F122" s="564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581" t="str">
        <f>+VLOOKUP(LEFT($A123,LEN(A123)-1)*1,Master!$D$30:$G$229,4,FALSE)</f>
        <v>Tekući izdaci</v>
      </c>
      <c r="C123" s="582"/>
      <c r="D123" s="582"/>
      <c r="E123" s="582"/>
      <c r="F123" s="582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567" t="str">
        <f>+VLOOKUP(LEFT($A124,LEN(A124)-1)*1,Master!$D$30:$G$229,4,FALSE)</f>
        <v>Bruto zarade i doprinosi na teret poslodavca</v>
      </c>
      <c r="C124" s="568"/>
      <c r="D124" s="568"/>
      <c r="E124" s="568"/>
      <c r="F124" s="568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567" t="str">
        <f>+VLOOKUP(LEFT($A125,LEN(A125)-1)*1,Master!$D$30:$G$229,4,FALSE)</f>
        <v>Ostala lična primanja</v>
      </c>
      <c r="C125" s="568"/>
      <c r="D125" s="568"/>
      <c r="E125" s="568"/>
      <c r="F125" s="568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567" t="str">
        <f>+VLOOKUP(LEFT($A126,LEN(A126)-1)*1,Master!$D$30:$G$229,4,FALSE)</f>
        <v>Rashodi za materijal</v>
      </c>
      <c r="C126" s="568"/>
      <c r="D126" s="568"/>
      <c r="E126" s="568"/>
      <c r="F126" s="568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567" t="str">
        <f>+VLOOKUP(LEFT($A127,LEN(A127)-1)*1,Master!$D$30:$G$229,4,FALSE)</f>
        <v>Rashodi za usluge</v>
      </c>
      <c r="C127" s="568"/>
      <c r="D127" s="568"/>
      <c r="E127" s="568"/>
      <c r="F127" s="568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567" t="str">
        <f>+VLOOKUP(LEFT($A128,LEN(A128)-1)*1,Master!$D$30:$G$229,4,FALSE)</f>
        <v>Rashodi za tekuće održavanje</v>
      </c>
      <c r="C128" s="568"/>
      <c r="D128" s="568"/>
      <c r="E128" s="568"/>
      <c r="F128" s="568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567" t="str">
        <f>+VLOOKUP(LEFT($A129,LEN(A129)-1)*1,Master!$D$30:$G$229,4,FALSE)</f>
        <v>Kamate</v>
      </c>
      <c r="C129" s="568"/>
      <c r="D129" s="568"/>
      <c r="E129" s="568"/>
      <c r="F129" s="568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567" t="str">
        <f>+VLOOKUP(LEFT($A130,LEN(A130)-1)*1,Master!$D$30:$G$229,4,FALSE)</f>
        <v>Renta</v>
      </c>
      <c r="C130" s="568"/>
      <c r="D130" s="568"/>
      <c r="E130" s="568"/>
      <c r="F130" s="568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567" t="str">
        <f>+VLOOKUP(LEFT($A131,LEN(A131)-1)*1,Master!$D$30:$G$229,4,FALSE)</f>
        <v>Subvencije</v>
      </c>
      <c r="C131" s="568"/>
      <c r="D131" s="568"/>
      <c r="E131" s="568"/>
      <c r="F131" s="568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567" t="str">
        <f>+VLOOKUP(LEFT($A132,LEN(A132)-1)*1,Master!$D$30:$G$229,4,FALSE)</f>
        <v>Ostali izdaci</v>
      </c>
      <c r="C132" s="568"/>
      <c r="D132" s="568"/>
      <c r="E132" s="568"/>
      <c r="F132" s="568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587" t="str">
        <f>+VLOOKUP(LEFT($A133,LEN(A133)-1)*1,Master!$D$30:$G$229,4,FALSE)</f>
        <v>Transferi za socijalnu zaštitu</v>
      </c>
      <c r="C133" s="588"/>
      <c r="D133" s="588"/>
      <c r="E133" s="588"/>
      <c r="F133" s="588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567" t="str">
        <f>+VLOOKUP(LEFT($A134,LEN(A134)-1)*1,Master!$D$30:$G$229,4,FALSE)</f>
        <v>Prava iz oblasti socijalne zaštite</v>
      </c>
      <c r="C134" s="568"/>
      <c r="D134" s="568"/>
      <c r="E134" s="568"/>
      <c r="F134" s="568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567" t="str">
        <f>+VLOOKUP(LEFT($A135,LEN(A135)-1)*1,Master!$D$30:$G$229,4,FALSE)</f>
        <v>Sredstva za tehnološke viškove</v>
      </c>
      <c r="C135" s="568"/>
      <c r="D135" s="568"/>
      <c r="E135" s="568"/>
      <c r="F135" s="568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567" t="str">
        <f>+VLOOKUP(LEFT($A136,LEN(A136)-1)*1,Master!$D$30:$G$229,4,FALSE)</f>
        <v>Prava iz oblasti penzijskog i invalidskog osiguranja</v>
      </c>
      <c r="C136" s="568"/>
      <c r="D136" s="568"/>
      <c r="E136" s="568"/>
      <c r="F136" s="568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567" t="str">
        <f>+VLOOKUP(LEFT($A137,LEN(A137)-1)*1,Master!$D$30:$G$229,4,FALSE)</f>
        <v>Ostala prava iz oblasti zdravstvene zaštite</v>
      </c>
      <c r="C137" s="568"/>
      <c r="D137" s="568"/>
      <c r="E137" s="568"/>
      <c r="F137" s="568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567" t="str">
        <f>+VLOOKUP(LEFT($A138,LEN(A138)-1)*1,Master!$D$30:$G$229,4,FALSE)</f>
        <v>Ostala prava iz zdravstvenog osiguranja</v>
      </c>
      <c r="C138" s="568"/>
      <c r="D138" s="568"/>
      <c r="E138" s="568"/>
      <c r="F138" s="568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583" t="str">
        <f>+VLOOKUP(LEFT($A139,LEN(A139)-1)*1,Master!$D$30:$G$229,4,FALSE)</f>
        <v xml:space="preserve">Transferi institucijama, pojedincima, nevladinom i javnom sektoru </v>
      </c>
      <c r="C139" s="584"/>
      <c r="D139" s="584"/>
      <c r="E139" s="584"/>
      <c r="F139" s="584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583" t="str">
        <f>+VLOOKUP(LEFT($A140,LEN(A140)-1)*1,Master!$D$30:$G$229,4,FALSE)</f>
        <v>Kapitalni izdaci</v>
      </c>
      <c r="C140" s="584"/>
      <c r="D140" s="584"/>
      <c r="E140" s="584"/>
      <c r="F140" s="584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585" t="str">
        <f>+VLOOKUP(LEFT($A141,LEN(A141)-1)*1,Master!$D$30:$G$229,4,FALSE)</f>
        <v>Pozajmice i krediti</v>
      </c>
      <c r="C141" s="586"/>
      <c r="D141" s="586"/>
      <c r="E141" s="586"/>
      <c r="F141" s="586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585" t="str">
        <f>+VLOOKUP(LEFT($A142,LEN(A142)-1)*1,Master!$D$30:$G$229,4,FALSE)</f>
        <v>Rezerve</v>
      </c>
      <c r="C142" s="586"/>
      <c r="D142" s="586"/>
      <c r="E142" s="586"/>
      <c r="F142" s="586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585" t="str">
        <f>+VLOOKUP(LEFT($A143,LEN(A143)-1)*1,Master!$D$30:$G$229,4,FALSE)</f>
        <v>Otplata garancija</v>
      </c>
      <c r="C143" s="586"/>
      <c r="D143" s="586"/>
      <c r="E143" s="586"/>
      <c r="F143" s="586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585" t="str">
        <f>+VLOOKUP(LEFT($A144,LEN(A144)-1)*1,Master!$D$30:$G$229,4,FALSE)</f>
        <v>Otplata obaveza iz prethodnog perioda</v>
      </c>
      <c r="C144" s="586"/>
      <c r="D144" s="586"/>
      <c r="E144" s="586"/>
      <c r="F144" s="586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585" t="str">
        <f>+VLOOKUP(LEFT($A145,LEN(A145)-1)*1,Master!$D$30:$G$229,4,FALSE)</f>
        <v>Neto povećanje obaveza</v>
      </c>
      <c r="C145" s="586"/>
      <c r="D145" s="586"/>
      <c r="E145" s="586"/>
      <c r="F145" s="586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593" t="str">
        <f>+VLOOKUP(LEFT($A146,LEN(A146)-1)*1,Master!$D$30:$G$226,4,FALSE)</f>
        <v>Suficit / deficit</v>
      </c>
      <c r="C146" s="594"/>
      <c r="D146" s="594"/>
      <c r="E146" s="594"/>
      <c r="F146" s="594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595" t="str">
        <f>+VLOOKUP(LEFT($A147,LEN(A147)-1)*1,Master!$D$30:$G$226,4,FALSE)</f>
        <v>Primarni suficit/deficit</v>
      </c>
      <c r="C147" s="596"/>
      <c r="D147" s="596"/>
      <c r="E147" s="596"/>
      <c r="F147" s="596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587" t="str">
        <f>+VLOOKUP(LEFT($A148,LEN(A148)-1)*1,Master!$D$30:$G$226,4,FALSE)</f>
        <v>Otplata dugova</v>
      </c>
      <c r="C148" s="588"/>
      <c r="D148" s="588"/>
      <c r="E148" s="588"/>
      <c r="F148" s="588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591" t="str">
        <f>+VLOOKUP(LEFT($A149,LEN(A149)-1)*1,Master!$D$30:$G$226,4,FALSE)</f>
        <v>Otplata hartija od vrijednosti i kredita rezidentima</v>
      </c>
      <c r="C149" s="592"/>
      <c r="D149" s="592"/>
      <c r="E149" s="592"/>
      <c r="F149" s="592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585" t="str">
        <f>+VLOOKUP(LEFT($A150,LEN(A150)-1)*1,Master!$D$30:$G$226,4,FALSE)</f>
        <v>Otplata hartija od vrijednosti i kredita nerezidentima</v>
      </c>
      <c r="C150" s="586"/>
      <c r="D150" s="586"/>
      <c r="E150" s="586"/>
      <c r="F150" s="586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563" t="str">
        <f>+VLOOKUP(LEFT($A151,LEN(A151)-1)*1,Master!$D$30:$G$226,4,FALSE)</f>
        <v>Izdaci za kupovinu hartija od vrijednosti</v>
      </c>
      <c r="C151" s="564"/>
      <c r="D151" s="564"/>
      <c r="E151" s="564"/>
      <c r="F151" s="564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589" t="str">
        <f>+VLOOKUP(LEFT($A152,LEN(A152)-1)*1,Master!$D$30:$G$226,4,FALSE)</f>
        <v>Nedostajuća sredstva</v>
      </c>
      <c r="C152" s="590"/>
      <c r="D152" s="590"/>
      <c r="E152" s="590"/>
      <c r="F152" s="590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563" t="str">
        <f>+VLOOKUP(LEFT($A153,LEN(A153)-1)*1,Master!$D$30:$G$226,4,FALSE)</f>
        <v>Finansiranje</v>
      </c>
      <c r="C153" s="564"/>
      <c r="D153" s="564"/>
      <c r="E153" s="564"/>
      <c r="F153" s="564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591" t="str">
        <f>+VLOOKUP(LEFT($A154,LEN(A154)-1)*1,Master!$D$30:$G$226,4,FALSE)</f>
        <v>Pozajmice i krediti od domaćih izvora</v>
      </c>
      <c r="C154" s="592"/>
      <c r="D154" s="592"/>
      <c r="E154" s="592"/>
      <c r="F154" s="592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585" t="str">
        <f>+VLOOKUP(LEFT($A155,LEN(A155)-1)*1,Master!$D$30:$G$226,4,FALSE)</f>
        <v>Pozajmice i krediti od inostranih izvora</v>
      </c>
      <c r="C155" s="586"/>
      <c r="D155" s="586"/>
      <c r="E155" s="586"/>
      <c r="F155" s="586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585" t="str">
        <f>+VLOOKUP(LEFT($A156,LEN(A156)-1)*1,Master!$D$30:$G$226,4,FALSE)</f>
        <v>Primici od prodaje imovine</v>
      </c>
      <c r="C156" s="586"/>
      <c r="D156" s="586"/>
      <c r="E156" s="586"/>
      <c r="F156" s="586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00" t="s">
        <v>553</v>
      </c>
      <c r="C7" s="501"/>
      <c r="D7" s="501"/>
      <c r="E7" s="501"/>
      <c r="F7" s="501"/>
      <c r="G7" s="509">
        <v>2019</v>
      </c>
      <c r="H7" s="510"/>
      <c r="I7" s="510"/>
      <c r="J7" s="510"/>
      <c r="K7" s="510"/>
      <c r="L7" s="510"/>
      <c r="M7" s="510"/>
      <c r="N7" s="510"/>
      <c r="O7" s="510"/>
      <c r="P7" s="510"/>
      <c r="Q7" s="510"/>
      <c r="R7" s="513"/>
      <c r="S7" s="220" t="s">
        <v>419</v>
      </c>
      <c r="T7" s="221">
        <v>4951000000</v>
      </c>
    </row>
    <row r="8" spans="1:20" ht="16.5" customHeight="1">
      <c r="A8" s="129"/>
      <c r="B8" s="502"/>
      <c r="C8" s="503"/>
      <c r="D8" s="503"/>
      <c r="E8" s="503"/>
      <c r="F8" s="504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09" t="s">
        <v>806</v>
      </c>
      <c r="T8" s="513"/>
    </row>
    <row r="9" spans="1:20" ht="13.5" thickBot="1">
      <c r="A9" s="129"/>
      <c r="B9" s="505"/>
      <c r="C9" s="506"/>
      <c r="D9" s="506"/>
      <c r="E9" s="506"/>
      <c r="F9" s="50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20" t="s">
        <v>680</v>
      </c>
      <c r="C10" s="521"/>
      <c r="D10" s="521"/>
      <c r="E10" s="521"/>
      <c r="F10" s="521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544" t="s">
        <v>21</v>
      </c>
      <c r="C11" s="545"/>
      <c r="D11" s="545"/>
      <c r="E11" s="545"/>
      <c r="F11" s="545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30" t="s">
        <v>23</v>
      </c>
      <c r="C12" s="531"/>
      <c r="D12" s="531"/>
      <c r="E12" s="531"/>
      <c r="F12" s="531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30" t="s">
        <v>25</v>
      </c>
      <c r="C13" s="531"/>
      <c r="D13" s="531"/>
      <c r="E13" s="531"/>
      <c r="F13" s="531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30" t="s">
        <v>27</v>
      </c>
      <c r="C14" s="531"/>
      <c r="D14" s="531"/>
      <c r="E14" s="531"/>
      <c r="F14" s="531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30" t="s">
        <v>29</v>
      </c>
      <c r="C15" s="531"/>
      <c r="D15" s="531"/>
      <c r="E15" s="531"/>
      <c r="F15" s="531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30" t="s">
        <v>31</v>
      </c>
      <c r="C16" s="531"/>
      <c r="D16" s="531"/>
      <c r="E16" s="531"/>
      <c r="F16" s="531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30" t="s">
        <v>33</v>
      </c>
      <c r="C17" s="531"/>
      <c r="D17" s="531"/>
      <c r="E17" s="531"/>
      <c r="F17" s="531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30" t="s">
        <v>721</v>
      </c>
      <c r="C18" s="531"/>
      <c r="D18" s="531"/>
      <c r="E18" s="531"/>
      <c r="F18" s="531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540" t="s">
        <v>37</v>
      </c>
      <c r="C19" s="541"/>
      <c r="D19" s="541"/>
      <c r="E19" s="541"/>
      <c r="F19" s="541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30" t="s">
        <v>39</v>
      </c>
      <c r="C20" s="531"/>
      <c r="D20" s="531"/>
      <c r="E20" s="531"/>
      <c r="F20" s="531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30" t="s">
        <v>41</v>
      </c>
      <c r="C21" s="531"/>
      <c r="D21" s="531"/>
      <c r="E21" s="531"/>
      <c r="F21" s="531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30" t="s">
        <v>43</v>
      </c>
      <c r="C22" s="531"/>
      <c r="D22" s="531"/>
      <c r="E22" s="531"/>
      <c r="F22" s="531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30" t="s">
        <v>45</v>
      </c>
      <c r="C23" s="531"/>
      <c r="D23" s="531"/>
      <c r="E23" s="531"/>
      <c r="F23" s="531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32" t="s">
        <v>47</v>
      </c>
      <c r="C24" s="533"/>
      <c r="D24" s="533"/>
      <c r="E24" s="533"/>
      <c r="F24" s="533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32" t="s">
        <v>61</v>
      </c>
      <c r="C25" s="533"/>
      <c r="D25" s="533"/>
      <c r="E25" s="533"/>
      <c r="F25" s="533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32" t="s">
        <v>81</v>
      </c>
      <c r="C26" s="533"/>
      <c r="D26" s="533"/>
      <c r="E26" s="533"/>
      <c r="F26" s="533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32" t="s">
        <v>99</v>
      </c>
      <c r="C27" s="533"/>
      <c r="D27" s="533"/>
      <c r="E27" s="533"/>
      <c r="F27" s="533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34" t="s">
        <v>105</v>
      </c>
      <c r="C28" s="535"/>
      <c r="D28" s="535"/>
      <c r="E28" s="535"/>
      <c r="F28" s="535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20" t="s">
        <v>801</v>
      </c>
      <c r="C29" s="521"/>
      <c r="D29" s="521"/>
      <c r="E29" s="521"/>
      <c r="F29" s="521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536" t="s">
        <v>120</v>
      </c>
      <c r="C30" s="537"/>
      <c r="D30" s="537"/>
      <c r="E30" s="537"/>
      <c r="F30" s="537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30" t="s">
        <v>122</v>
      </c>
      <c r="C31" s="531"/>
      <c r="D31" s="531"/>
      <c r="E31" s="531"/>
      <c r="F31" s="531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30" t="s">
        <v>133</v>
      </c>
      <c r="C32" s="531"/>
      <c r="D32" s="531"/>
      <c r="E32" s="531"/>
      <c r="F32" s="531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30" t="s">
        <v>148</v>
      </c>
      <c r="C33" s="531"/>
      <c r="D33" s="531"/>
      <c r="E33" s="531"/>
      <c r="F33" s="531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30" t="s">
        <v>162</v>
      </c>
      <c r="C34" s="531"/>
      <c r="D34" s="531"/>
      <c r="E34" s="531"/>
      <c r="F34" s="531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548" t="s">
        <v>182</v>
      </c>
      <c r="C35" s="549"/>
      <c r="D35" s="549"/>
      <c r="E35" s="549"/>
      <c r="F35" s="549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30" t="s">
        <v>190</v>
      </c>
      <c r="C36" s="531"/>
      <c r="D36" s="531"/>
      <c r="E36" s="531"/>
      <c r="F36" s="531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30" t="s">
        <v>196</v>
      </c>
      <c r="C37" s="531"/>
      <c r="D37" s="531"/>
      <c r="E37" s="531"/>
      <c r="F37" s="531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30" t="s">
        <v>204</v>
      </c>
      <c r="C38" s="531"/>
      <c r="D38" s="531"/>
      <c r="E38" s="531"/>
      <c r="F38" s="531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30" t="s">
        <v>212</v>
      </c>
      <c r="C39" s="531"/>
      <c r="D39" s="531"/>
      <c r="E39" s="531"/>
      <c r="F39" s="531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26" t="s">
        <v>230</v>
      </c>
      <c r="C40" s="527"/>
      <c r="D40" s="527"/>
      <c r="E40" s="527"/>
      <c r="F40" s="527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30" t="s">
        <v>232</v>
      </c>
      <c r="C41" s="531"/>
      <c r="D41" s="531"/>
      <c r="E41" s="531"/>
      <c r="F41" s="531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30" t="s">
        <v>248</v>
      </c>
      <c r="C42" s="531"/>
      <c r="D42" s="531"/>
      <c r="E42" s="531"/>
      <c r="F42" s="531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30" t="s">
        <v>259</v>
      </c>
      <c r="C43" s="531"/>
      <c r="D43" s="531"/>
      <c r="E43" s="531"/>
      <c r="F43" s="531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30" t="s">
        <v>274</v>
      </c>
      <c r="C44" s="531"/>
      <c r="D44" s="531"/>
      <c r="E44" s="531"/>
      <c r="F44" s="531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30" t="s">
        <v>278</v>
      </c>
      <c r="C45" s="531"/>
      <c r="D45" s="531"/>
      <c r="E45" s="531"/>
      <c r="F45" s="531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28" t="s">
        <v>286</v>
      </c>
      <c r="C46" s="529"/>
      <c r="D46" s="529"/>
      <c r="E46" s="529"/>
      <c r="F46" s="529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28" t="s">
        <v>320</v>
      </c>
      <c r="C47" s="529"/>
      <c r="D47" s="529"/>
      <c r="E47" s="529"/>
      <c r="F47" s="529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552" t="s">
        <v>113</v>
      </c>
      <c r="C48" s="553"/>
      <c r="D48" s="553"/>
      <c r="E48" s="553"/>
      <c r="F48" s="553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557" t="s">
        <v>366</v>
      </c>
      <c r="C49" s="558"/>
      <c r="D49" s="558"/>
      <c r="E49" s="558"/>
      <c r="F49" s="558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16" t="s">
        <v>359</v>
      </c>
      <c r="C50" s="517"/>
      <c r="D50" s="517"/>
      <c r="E50" s="517"/>
      <c r="F50" s="517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559" t="s">
        <v>794</v>
      </c>
      <c r="C51" s="560"/>
      <c r="D51" s="560"/>
      <c r="E51" s="560"/>
      <c r="F51" s="560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561" t="s">
        <v>684</v>
      </c>
      <c r="C52" s="562"/>
      <c r="D52" s="562"/>
      <c r="E52" s="562"/>
      <c r="F52" s="562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22" t="s">
        <v>545</v>
      </c>
      <c r="C53" s="523"/>
      <c r="D53" s="523"/>
      <c r="E53" s="523"/>
      <c r="F53" s="523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24" t="s">
        <v>792</v>
      </c>
      <c r="C54" s="525"/>
      <c r="D54" s="525"/>
      <c r="E54" s="525"/>
      <c r="F54" s="525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546" t="s">
        <v>352</v>
      </c>
      <c r="C55" s="547"/>
      <c r="D55" s="547"/>
      <c r="E55" s="547"/>
      <c r="F55" s="547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514" t="s">
        <v>355</v>
      </c>
      <c r="C56" s="515"/>
      <c r="D56" s="515"/>
      <c r="E56" s="515"/>
      <c r="F56" s="515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498" t="s">
        <v>357</v>
      </c>
      <c r="C57" s="499"/>
      <c r="D57" s="499"/>
      <c r="E57" s="499"/>
      <c r="F57" s="499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01" t="s">
        <v>336</v>
      </c>
      <c r="C58" s="602"/>
      <c r="D58" s="602"/>
      <c r="E58" s="602"/>
      <c r="F58" s="602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518" t="s">
        <v>543</v>
      </c>
      <c r="C59" s="519"/>
      <c r="D59" s="519"/>
      <c r="E59" s="519"/>
      <c r="F59" s="519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20" t="s">
        <v>544</v>
      </c>
      <c r="C60" s="521"/>
      <c r="D60" s="521"/>
      <c r="E60" s="521"/>
      <c r="F60" s="521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514" t="s">
        <v>114</v>
      </c>
      <c r="C61" s="515"/>
      <c r="D61" s="515"/>
      <c r="E61" s="515"/>
      <c r="F61" s="515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498" t="s">
        <v>116</v>
      </c>
      <c r="C62" s="499"/>
      <c r="D62" s="499"/>
      <c r="E62" s="499"/>
      <c r="F62" s="499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498" t="s">
        <v>93</v>
      </c>
      <c r="C63" s="499"/>
      <c r="D63" s="499"/>
      <c r="E63" s="499"/>
      <c r="F63" s="499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569" t="s">
        <v>551</v>
      </c>
      <c r="C100" s="570"/>
      <c r="D100" s="570"/>
      <c r="E100" s="570"/>
      <c r="F100" s="570"/>
      <c r="G100" s="554">
        <v>2019</v>
      </c>
      <c r="H100" s="555"/>
      <c r="I100" s="555"/>
      <c r="J100" s="555"/>
      <c r="K100" s="555"/>
      <c r="L100" s="555"/>
      <c r="M100" s="555"/>
      <c r="N100" s="555"/>
      <c r="O100" s="555"/>
      <c r="P100" s="555"/>
      <c r="Q100" s="555"/>
      <c r="R100" s="556"/>
      <c r="S100" s="96" t="str">
        <f>+S7</f>
        <v>BDP</v>
      </c>
      <c r="T100" s="97">
        <f>+T7</f>
        <v>4951000000</v>
      </c>
    </row>
    <row r="101" spans="1:21" ht="15.75" customHeight="1">
      <c r="B101" s="571"/>
      <c r="C101" s="572"/>
      <c r="D101" s="572"/>
      <c r="E101" s="572"/>
      <c r="F101" s="573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554" t="s">
        <v>806</v>
      </c>
      <c r="T101" s="556">
        <f>+T8</f>
        <v>0</v>
      </c>
    </row>
    <row r="102" spans="1:21" ht="13.5" thickBot="1">
      <c r="B102" s="574"/>
      <c r="C102" s="575"/>
      <c r="D102" s="575"/>
      <c r="E102" s="575"/>
      <c r="F102" s="576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599" t="s">
        <v>680</v>
      </c>
      <c r="C103" s="600"/>
      <c r="D103" s="600"/>
      <c r="E103" s="600"/>
      <c r="F103" s="600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565" t="s">
        <v>21</v>
      </c>
      <c r="C104" s="566"/>
      <c r="D104" s="566"/>
      <c r="E104" s="566"/>
      <c r="F104" s="566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567" t="s">
        <v>23</v>
      </c>
      <c r="C105" s="568"/>
      <c r="D105" s="568"/>
      <c r="E105" s="568"/>
      <c r="F105" s="568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567" t="s">
        <v>25</v>
      </c>
      <c r="C106" s="568"/>
      <c r="D106" s="568"/>
      <c r="E106" s="568"/>
      <c r="F106" s="568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567" t="s">
        <v>27</v>
      </c>
      <c r="C107" s="568"/>
      <c r="D107" s="568"/>
      <c r="E107" s="568"/>
      <c r="F107" s="568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567" t="s">
        <v>29</v>
      </c>
      <c r="C108" s="568"/>
      <c r="D108" s="568"/>
      <c r="E108" s="568"/>
      <c r="F108" s="568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567" t="s">
        <v>31</v>
      </c>
      <c r="C109" s="568"/>
      <c r="D109" s="568"/>
      <c r="E109" s="568"/>
      <c r="F109" s="568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567" t="s">
        <v>33</v>
      </c>
      <c r="C110" s="568"/>
      <c r="D110" s="568"/>
      <c r="E110" s="568"/>
      <c r="F110" s="568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567" t="s">
        <v>721</v>
      </c>
      <c r="C111" s="568"/>
      <c r="D111" s="568"/>
      <c r="E111" s="568"/>
      <c r="F111" s="568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597" t="s">
        <v>37</v>
      </c>
      <c r="C112" s="598"/>
      <c r="D112" s="598"/>
      <c r="E112" s="598"/>
      <c r="F112" s="598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567" t="s">
        <v>39</v>
      </c>
      <c r="C113" s="568"/>
      <c r="D113" s="568"/>
      <c r="E113" s="568"/>
      <c r="F113" s="568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567" t="s">
        <v>41</v>
      </c>
      <c r="C114" s="568"/>
      <c r="D114" s="568"/>
      <c r="E114" s="568"/>
      <c r="F114" s="568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567" t="s">
        <v>43</v>
      </c>
      <c r="C115" s="568"/>
      <c r="D115" s="568"/>
      <c r="E115" s="568"/>
      <c r="F115" s="568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567" t="s">
        <v>45</v>
      </c>
      <c r="C116" s="568"/>
      <c r="D116" s="568"/>
      <c r="E116" s="568"/>
      <c r="F116" s="568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577" t="s">
        <v>47</v>
      </c>
      <c r="C117" s="578"/>
      <c r="D117" s="578"/>
      <c r="E117" s="578"/>
      <c r="F117" s="578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577" t="s">
        <v>61</v>
      </c>
      <c r="C118" s="578"/>
      <c r="D118" s="578"/>
      <c r="E118" s="578"/>
      <c r="F118" s="578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577" t="s">
        <v>81</v>
      </c>
      <c r="C119" s="578"/>
      <c r="D119" s="578"/>
      <c r="E119" s="578"/>
      <c r="F119" s="578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577" t="s">
        <v>99</v>
      </c>
      <c r="C120" s="578"/>
      <c r="D120" s="578"/>
      <c r="E120" s="578"/>
      <c r="F120" s="578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579" t="s">
        <v>105</v>
      </c>
      <c r="C121" s="580"/>
      <c r="D121" s="580"/>
      <c r="E121" s="580"/>
      <c r="F121" s="580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563" t="s">
        <v>808</v>
      </c>
      <c r="C122" s="564"/>
      <c r="D122" s="564"/>
      <c r="E122" s="564"/>
      <c r="F122" s="564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05" t="s">
        <v>773</v>
      </c>
      <c r="C123" s="606"/>
      <c r="D123" s="606"/>
      <c r="E123" s="606"/>
      <c r="F123" s="606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581" t="e">
        <v>#REF!</v>
      </c>
      <c r="C124" s="582"/>
      <c r="D124" s="582"/>
      <c r="E124" s="582"/>
      <c r="F124" s="582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567" t="s">
        <v>122</v>
      </c>
      <c r="C125" s="568"/>
      <c r="D125" s="568"/>
      <c r="E125" s="568"/>
      <c r="F125" s="568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567" t="s">
        <v>133</v>
      </c>
      <c r="C126" s="568"/>
      <c r="D126" s="568"/>
      <c r="E126" s="568"/>
      <c r="F126" s="568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567" t="s">
        <v>148</v>
      </c>
      <c r="C127" s="568"/>
      <c r="D127" s="568"/>
      <c r="E127" s="568"/>
      <c r="F127" s="568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567" t="s">
        <v>162</v>
      </c>
      <c r="C128" s="568"/>
      <c r="D128" s="568"/>
      <c r="E128" s="568"/>
      <c r="F128" s="568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567" t="s">
        <v>182</v>
      </c>
      <c r="C129" s="568"/>
      <c r="D129" s="568"/>
      <c r="E129" s="568"/>
      <c r="F129" s="568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567" t="s">
        <v>190</v>
      </c>
      <c r="C130" s="568"/>
      <c r="D130" s="568"/>
      <c r="E130" s="568"/>
      <c r="F130" s="568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567" t="s">
        <v>196</v>
      </c>
      <c r="C131" s="568"/>
      <c r="D131" s="568"/>
      <c r="E131" s="568"/>
      <c r="F131" s="568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567" t="s">
        <v>204</v>
      </c>
      <c r="C132" s="568"/>
      <c r="D132" s="568"/>
      <c r="E132" s="568"/>
      <c r="F132" s="568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567" t="s">
        <v>212</v>
      </c>
      <c r="C133" s="568"/>
      <c r="D133" s="568"/>
      <c r="E133" s="568"/>
      <c r="F133" s="568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567" t="e">
        <v>#REF!</v>
      </c>
      <c r="C134" s="568"/>
      <c r="D134" s="568"/>
      <c r="E134" s="568"/>
      <c r="F134" s="568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587" t="s">
        <v>230</v>
      </c>
      <c r="C135" s="588"/>
      <c r="D135" s="588"/>
      <c r="E135" s="588"/>
      <c r="F135" s="588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567" t="s">
        <v>232</v>
      </c>
      <c r="C136" s="568"/>
      <c r="D136" s="568"/>
      <c r="E136" s="568"/>
      <c r="F136" s="568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567" t="s">
        <v>248</v>
      </c>
      <c r="C137" s="568"/>
      <c r="D137" s="568"/>
      <c r="E137" s="568"/>
      <c r="F137" s="568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567" t="s">
        <v>259</v>
      </c>
      <c r="C138" s="568"/>
      <c r="D138" s="568"/>
      <c r="E138" s="568"/>
      <c r="F138" s="568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567" t="s">
        <v>274</v>
      </c>
      <c r="C139" s="568"/>
      <c r="D139" s="568"/>
      <c r="E139" s="568"/>
      <c r="F139" s="568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567" t="s">
        <v>278</v>
      </c>
      <c r="C140" s="568"/>
      <c r="D140" s="568"/>
      <c r="E140" s="568"/>
      <c r="F140" s="568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583" t="s">
        <v>286</v>
      </c>
      <c r="C141" s="584"/>
      <c r="D141" s="584"/>
      <c r="E141" s="584"/>
      <c r="F141" s="584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583" t="s">
        <v>809</v>
      </c>
      <c r="C142" s="584"/>
      <c r="D142" s="584"/>
      <c r="E142" s="584"/>
      <c r="F142" s="584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585" t="s">
        <v>113</v>
      </c>
      <c r="C143" s="586"/>
      <c r="D143" s="586"/>
      <c r="E143" s="586"/>
      <c r="F143" s="586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585" t="s">
        <v>366</v>
      </c>
      <c r="C144" s="586"/>
      <c r="D144" s="586"/>
      <c r="E144" s="586"/>
      <c r="F144" s="586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585" t="s">
        <v>359</v>
      </c>
      <c r="C145" s="586"/>
      <c r="D145" s="586"/>
      <c r="E145" s="586"/>
      <c r="F145" s="586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585" t="s">
        <v>365</v>
      </c>
      <c r="C146" s="586"/>
      <c r="D146" s="586"/>
      <c r="E146" s="586"/>
      <c r="F146" s="586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03" t="s">
        <v>685</v>
      </c>
      <c r="C147" s="604"/>
      <c r="D147" s="604"/>
      <c r="E147" s="604"/>
      <c r="F147" s="604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593" t="s">
        <v>545</v>
      </c>
      <c r="C148" s="594"/>
      <c r="D148" s="594"/>
      <c r="E148" s="594"/>
      <c r="F148" s="594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595" t="s">
        <v>810</v>
      </c>
      <c r="C149" s="596"/>
      <c r="D149" s="596"/>
      <c r="E149" s="596"/>
      <c r="F149" s="596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587" t="s">
        <v>352</v>
      </c>
      <c r="C150" s="588"/>
      <c r="D150" s="588"/>
      <c r="E150" s="588"/>
      <c r="F150" s="588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591" t="s">
        <v>355</v>
      </c>
      <c r="C151" s="592"/>
      <c r="D151" s="592"/>
      <c r="E151" s="592"/>
      <c r="F151" s="592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585" t="s">
        <v>357</v>
      </c>
      <c r="C152" s="586"/>
      <c r="D152" s="586"/>
      <c r="E152" s="586"/>
      <c r="F152" s="586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01" t="s">
        <v>336</v>
      </c>
      <c r="C153" s="602"/>
      <c r="D153" s="602"/>
      <c r="E153" s="602"/>
      <c r="F153" s="602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589" t="s">
        <v>543</v>
      </c>
      <c r="C154" s="590"/>
      <c r="D154" s="590"/>
      <c r="E154" s="590"/>
      <c r="F154" s="590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563" t="s">
        <v>544</v>
      </c>
      <c r="C155" s="564"/>
      <c r="D155" s="564"/>
      <c r="E155" s="564"/>
      <c r="F155" s="564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591" t="s">
        <v>114</v>
      </c>
      <c r="C156" s="592"/>
      <c r="D156" s="592"/>
      <c r="E156" s="592"/>
      <c r="F156" s="592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585" t="s">
        <v>116</v>
      </c>
      <c r="C157" s="586"/>
      <c r="D157" s="586"/>
      <c r="E157" s="586"/>
      <c r="F157" s="586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585" t="s">
        <v>93</v>
      </c>
      <c r="C158" s="586"/>
      <c r="D158" s="586"/>
      <c r="E158" s="586"/>
      <c r="F158" s="586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00" t="s">
        <v>553</v>
      </c>
      <c r="C7" s="501"/>
      <c r="D7" s="501"/>
      <c r="E7" s="501"/>
      <c r="F7" s="501"/>
      <c r="G7" s="509">
        <v>2018</v>
      </c>
      <c r="H7" s="510"/>
      <c r="I7" s="510"/>
      <c r="J7" s="510"/>
      <c r="K7" s="510"/>
      <c r="L7" s="510"/>
      <c r="M7" s="510"/>
      <c r="N7" s="510"/>
      <c r="O7" s="510"/>
      <c r="P7" s="510"/>
      <c r="Q7" s="510"/>
      <c r="R7" s="513"/>
      <c r="S7" s="220" t="s">
        <v>419</v>
      </c>
      <c r="T7" s="221">
        <v>4663130000</v>
      </c>
    </row>
    <row r="8" spans="1:20" ht="16.5" customHeight="1">
      <c r="A8" s="129"/>
      <c r="B8" s="502"/>
      <c r="C8" s="503"/>
      <c r="D8" s="503"/>
      <c r="E8" s="503"/>
      <c r="F8" s="504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09" t="s">
        <v>806</v>
      </c>
      <c r="T8" s="513"/>
    </row>
    <row r="9" spans="1:20" ht="13.5" thickBot="1">
      <c r="A9" s="129"/>
      <c r="B9" s="505"/>
      <c r="C9" s="506"/>
      <c r="D9" s="506"/>
      <c r="E9" s="506"/>
      <c r="F9" s="50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42" t="s">
        <v>680</v>
      </c>
      <c r="C10" s="543"/>
      <c r="D10" s="543"/>
      <c r="E10" s="543"/>
      <c r="F10" s="543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544" t="s">
        <v>21</v>
      </c>
      <c r="C11" s="545"/>
      <c r="D11" s="545"/>
      <c r="E11" s="545"/>
      <c r="F11" s="545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30" t="s">
        <v>23</v>
      </c>
      <c r="C12" s="531"/>
      <c r="D12" s="531"/>
      <c r="E12" s="531"/>
      <c r="F12" s="531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30" t="s">
        <v>25</v>
      </c>
      <c r="C13" s="531"/>
      <c r="D13" s="531"/>
      <c r="E13" s="531"/>
      <c r="F13" s="531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30" t="s">
        <v>27</v>
      </c>
      <c r="C14" s="531"/>
      <c r="D14" s="531"/>
      <c r="E14" s="531"/>
      <c r="F14" s="531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30" t="s">
        <v>29</v>
      </c>
      <c r="C15" s="531"/>
      <c r="D15" s="531"/>
      <c r="E15" s="531"/>
      <c r="F15" s="531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30" t="s">
        <v>31</v>
      </c>
      <c r="C16" s="531"/>
      <c r="D16" s="531"/>
      <c r="E16" s="531"/>
      <c r="F16" s="531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30" t="s">
        <v>33</v>
      </c>
      <c r="C17" s="531"/>
      <c r="D17" s="531"/>
      <c r="E17" s="531"/>
      <c r="F17" s="531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30" t="s">
        <v>721</v>
      </c>
      <c r="C18" s="531"/>
      <c r="D18" s="531"/>
      <c r="E18" s="531"/>
      <c r="F18" s="531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540" t="s">
        <v>37</v>
      </c>
      <c r="C19" s="541"/>
      <c r="D19" s="541"/>
      <c r="E19" s="541"/>
      <c r="F19" s="541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30" t="s">
        <v>39</v>
      </c>
      <c r="C20" s="531"/>
      <c r="D20" s="531"/>
      <c r="E20" s="531"/>
      <c r="F20" s="531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30" t="s">
        <v>41</v>
      </c>
      <c r="C21" s="531"/>
      <c r="D21" s="531"/>
      <c r="E21" s="531"/>
      <c r="F21" s="531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30" t="s">
        <v>43</v>
      </c>
      <c r="C22" s="531"/>
      <c r="D22" s="531"/>
      <c r="E22" s="531"/>
      <c r="F22" s="531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30" t="s">
        <v>45</v>
      </c>
      <c r="C23" s="531"/>
      <c r="D23" s="531"/>
      <c r="E23" s="531"/>
      <c r="F23" s="531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32" t="s">
        <v>47</v>
      </c>
      <c r="C24" s="533"/>
      <c r="D24" s="533"/>
      <c r="E24" s="533"/>
      <c r="F24" s="533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32" t="s">
        <v>61</v>
      </c>
      <c r="C25" s="533"/>
      <c r="D25" s="533"/>
      <c r="E25" s="533"/>
      <c r="F25" s="533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32" t="s">
        <v>81</v>
      </c>
      <c r="C26" s="533"/>
      <c r="D26" s="533"/>
      <c r="E26" s="533"/>
      <c r="F26" s="533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32" t="s">
        <v>99</v>
      </c>
      <c r="C27" s="533"/>
      <c r="D27" s="533"/>
      <c r="E27" s="533"/>
      <c r="F27" s="533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34" t="s">
        <v>105</v>
      </c>
      <c r="C28" s="535"/>
      <c r="D28" s="535"/>
      <c r="E28" s="535"/>
      <c r="F28" s="535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20" t="s">
        <v>801</v>
      </c>
      <c r="C29" s="521"/>
      <c r="D29" s="521"/>
      <c r="E29" s="521"/>
      <c r="F29" s="521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536" t="s">
        <v>773</v>
      </c>
      <c r="C30" s="537"/>
      <c r="D30" s="537"/>
      <c r="E30" s="537"/>
      <c r="F30" s="537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538" t="s">
        <v>120</v>
      </c>
      <c r="C31" s="539"/>
      <c r="D31" s="539"/>
      <c r="E31" s="539"/>
      <c r="F31" s="539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30" t="s">
        <v>122</v>
      </c>
      <c r="C32" s="531"/>
      <c r="D32" s="531"/>
      <c r="E32" s="531"/>
      <c r="F32" s="531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30" t="s">
        <v>133</v>
      </c>
      <c r="C33" s="531"/>
      <c r="D33" s="531"/>
      <c r="E33" s="531"/>
      <c r="F33" s="531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30" t="s">
        <v>148</v>
      </c>
      <c r="C34" s="531"/>
      <c r="D34" s="531"/>
      <c r="E34" s="531"/>
      <c r="F34" s="531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30" t="s">
        <v>162</v>
      </c>
      <c r="C35" s="531"/>
      <c r="D35" s="531"/>
      <c r="E35" s="531"/>
      <c r="F35" s="531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30" t="s">
        <v>182</v>
      </c>
      <c r="C36" s="531"/>
      <c r="D36" s="531"/>
      <c r="E36" s="531"/>
      <c r="F36" s="531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30" t="s">
        <v>190</v>
      </c>
      <c r="C37" s="531"/>
      <c r="D37" s="531"/>
      <c r="E37" s="531"/>
      <c r="F37" s="531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30" t="s">
        <v>196</v>
      </c>
      <c r="C38" s="531"/>
      <c r="D38" s="531"/>
      <c r="E38" s="531"/>
      <c r="F38" s="531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30" t="s">
        <v>204</v>
      </c>
      <c r="C39" s="531"/>
      <c r="D39" s="531"/>
      <c r="E39" s="531"/>
      <c r="F39" s="531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30" t="s">
        <v>212</v>
      </c>
      <c r="C40" s="531"/>
      <c r="D40" s="531"/>
      <c r="E40" s="531"/>
      <c r="F40" s="531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30" t="s">
        <v>802</v>
      </c>
      <c r="C41" s="531"/>
      <c r="D41" s="531"/>
      <c r="E41" s="531"/>
      <c r="F41" s="531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26" t="s">
        <v>230</v>
      </c>
      <c r="C42" s="527"/>
      <c r="D42" s="527"/>
      <c r="E42" s="527"/>
      <c r="F42" s="527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30" t="s">
        <v>232</v>
      </c>
      <c r="C43" s="531"/>
      <c r="D43" s="531"/>
      <c r="E43" s="531"/>
      <c r="F43" s="531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30" t="s">
        <v>248</v>
      </c>
      <c r="C44" s="531"/>
      <c r="D44" s="531"/>
      <c r="E44" s="531"/>
      <c r="F44" s="531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30" t="s">
        <v>259</v>
      </c>
      <c r="C45" s="531"/>
      <c r="D45" s="531"/>
      <c r="E45" s="531"/>
      <c r="F45" s="531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30" t="s">
        <v>274</v>
      </c>
      <c r="C46" s="531"/>
      <c r="D46" s="531"/>
      <c r="E46" s="531"/>
      <c r="F46" s="531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09" t="s">
        <v>278</v>
      </c>
      <c r="C47" s="610"/>
      <c r="D47" s="610"/>
      <c r="E47" s="610"/>
      <c r="F47" s="610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28" t="s">
        <v>286</v>
      </c>
      <c r="C48" s="529"/>
      <c r="D48" s="529"/>
      <c r="E48" s="529"/>
      <c r="F48" s="529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28" t="s">
        <v>320</v>
      </c>
      <c r="C49" s="529"/>
      <c r="D49" s="529"/>
      <c r="E49" s="529"/>
      <c r="F49" s="529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552" t="s">
        <v>113</v>
      </c>
      <c r="C50" s="553"/>
      <c r="D50" s="553"/>
      <c r="E50" s="553"/>
      <c r="F50" s="553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498" t="s">
        <v>366</v>
      </c>
      <c r="C51" s="499"/>
      <c r="D51" s="499"/>
      <c r="E51" s="499"/>
      <c r="F51" s="499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16" t="s">
        <v>359</v>
      </c>
      <c r="C52" s="517"/>
      <c r="D52" s="517"/>
      <c r="E52" s="517"/>
      <c r="F52" s="517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559" t="s">
        <v>794</v>
      </c>
      <c r="C53" s="560"/>
      <c r="D53" s="560"/>
      <c r="E53" s="560"/>
      <c r="F53" s="560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561" t="s">
        <v>684</v>
      </c>
      <c r="C54" s="562"/>
      <c r="D54" s="562"/>
      <c r="E54" s="562"/>
      <c r="F54" s="562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22" t="s">
        <v>545</v>
      </c>
      <c r="C55" s="523"/>
      <c r="D55" s="523"/>
      <c r="E55" s="523"/>
      <c r="F55" s="523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24" t="s">
        <v>793</v>
      </c>
      <c r="C57" s="525"/>
      <c r="D57" s="525"/>
      <c r="E57" s="525"/>
      <c r="F57" s="525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546" t="s">
        <v>352</v>
      </c>
      <c r="C58" s="547"/>
      <c r="D58" s="547"/>
      <c r="E58" s="547"/>
      <c r="F58" s="547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514" t="s">
        <v>355</v>
      </c>
      <c r="C59" s="515"/>
      <c r="D59" s="515"/>
      <c r="E59" s="515"/>
      <c r="F59" s="515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498" t="s">
        <v>357</v>
      </c>
      <c r="C60" s="499"/>
      <c r="D60" s="499"/>
      <c r="E60" s="499"/>
      <c r="F60" s="499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07" t="s">
        <v>336</v>
      </c>
      <c r="C61" s="608"/>
      <c r="D61" s="608"/>
      <c r="E61" s="608"/>
      <c r="F61" s="608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518" t="s">
        <v>543</v>
      </c>
      <c r="C62" s="519"/>
      <c r="D62" s="519"/>
      <c r="E62" s="519"/>
      <c r="F62" s="519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20" t="s">
        <v>544</v>
      </c>
      <c r="C63" s="521"/>
      <c r="D63" s="521"/>
      <c r="E63" s="521"/>
      <c r="F63" s="521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514" t="s">
        <v>114</v>
      </c>
      <c r="C64" s="515"/>
      <c r="D64" s="515"/>
      <c r="E64" s="515"/>
      <c r="F64" s="515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498" t="s">
        <v>116</v>
      </c>
      <c r="C65" s="499"/>
      <c r="D65" s="499"/>
      <c r="E65" s="499"/>
      <c r="F65" s="499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498" t="s">
        <v>93</v>
      </c>
      <c r="C66" s="499"/>
      <c r="D66" s="499"/>
      <c r="E66" s="499"/>
      <c r="F66" s="499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569" t="s">
        <v>551</v>
      </c>
      <c r="C103" s="570"/>
      <c r="D103" s="570"/>
      <c r="E103" s="570"/>
      <c r="F103" s="570"/>
      <c r="G103" s="554">
        <v>2018</v>
      </c>
      <c r="H103" s="555"/>
      <c r="I103" s="555"/>
      <c r="J103" s="555"/>
      <c r="K103" s="555"/>
      <c r="L103" s="555"/>
      <c r="M103" s="555"/>
      <c r="N103" s="555"/>
      <c r="O103" s="555"/>
      <c r="P103" s="555"/>
      <c r="Q103" s="555"/>
      <c r="R103" s="556"/>
      <c r="S103" s="96" t="str">
        <f>+S7</f>
        <v>BDP</v>
      </c>
      <c r="T103" s="97">
        <f>+T7</f>
        <v>4663130000</v>
      </c>
    </row>
    <row r="104" spans="1:21" ht="15.75" customHeight="1">
      <c r="B104" s="571"/>
      <c r="C104" s="572"/>
      <c r="D104" s="572"/>
      <c r="E104" s="572"/>
      <c r="F104" s="573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554" t="s">
        <v>806</v>
      </c>
      <c r="T104" s="556">
        <f>+T8</f>
        <v>0</v>
      </c>
    </row>
    <row r="105" spans="1:21" ht="13.5" thickBot="1">
      <c r="B105" s="574"/>
      <c r="C105" s="575"/>
      <c r="D105" s="575"/>
      <c r="E105" s="575"/>
      <c r="F105" s="576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599" t="s">
        <v>680</v>
      </c>
      <c r="C106" s="600"/>
      <c r="D106" s="600"/>
      <c r="E106" s="600"/>
      <c r="F106" s="600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565" t="s">
        <v>21</v>
      </c>
      <c r="C107" s="566"/>
      <c r="D107" s="566"/>
      <c r="E107" s="566"/>
      <c r="F107" s="566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567" t="s">
        <v>23</v>
      </c>
      <c r="C108" s="568"/>
      <c r="D108" s="568"/>
      <c r="E108" s="568"/>
      <c r="F108" s="568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567" t="s">
        <v>25</v>
      </c>
      <c r="C109" s="568"/>
      <c r="D109" s="568"/>
      <c r="E109" s="568"/>
      <c r="F109" s="568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567" t="s">
        <v>27</v>
      </c>
      <c r="C110" s="568"/>
      <c r="D110" s="568"/>
      <c r="E110" s="568"/>
      <c r="F110" s="568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567" t="s">
        <v>29</v>
      </c>
      <c r="C111" s="568"/>
      <c r="D111" s="568"/>
      <c r="E111" s="568"/>
      <c r="F111" s="568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567" t="s">
        <v>31</v>
      </c>
      <c r="C112" s="568"/>
      <c r="D112" s="568"/>
      <c r="E112" s="568"/>
      <c r="F112" s="568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567" t="s">
        <v>33</v>
      </c>
      <c r="C113" s="568"/>
      <c r="D113" s="568"/>
      <c r="E113" s="568"/>
      <c r="F113" s="568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567" t="s">
        <v>721</v>
      </c>
      <c r="C114" s="568"/>
      <c r="D114" s="568"/>
      <c r="E114" s="568"/>
      <c r="F114" s="568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597" t="s">
        <v>37</v>
      </c>
      <c r="C115" s="598"/>
      <c r="D115" s="598"/>
      <c r="E115" s="598"/>
      <c r="F115" s="598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567" t="s">
        <v>39</v>
      </c>
      <c r="C116" s="568"/>
      <c r="D116" s="568"/>
      <c r="E116" s="568"/>
      <c r="F116" s="568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567" t="s">
        <v>41</v>
      </c>
      <c r="C117" s="568"/>
      <c r="D117" s="568"/>
      <c r="E117" s="568"/>
      <c r="F117" s="568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567" t="s">
        <v>43</v>
      </c>
      <c r="C118" s="568"/>
      <c r="D118" s="568"/>
      <c r="E118" s="568"/>
      <c r="F118" s="568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567" t="s">
        <v>45</v>
      </c>
      <c r="C119" s="568"/>
      <c r="D119" s="568"/>
      <c r="E119" s="568"/>
      <c r="F119" s="568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577" t="s">
        <v>47</v>
      </c>
      <c r="C120" s="578"/>
      <c r="D120" s="578"/>
      <c r="E120" s="578"/>
      <c r="F120" s="578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577" t="s">
        <v>61</v>
      </c>
      <c r="C121" s="578"/>
      <c r="D121" s="578"/>
      <c r="E121" s="578"/>
      <c r="F121" s="578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577" t="s">
        <v>81</v>
      </c>
      <c r="C122" s="578"/>
      <c r="D122" s="578"/>
      <c r="E122" s="578"/>
      <c r="F122" s="578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577" t="s">
        <v>99</v>
      </c>
      <c r="C123" s="578"/>
      <c r="D123" s="578"/>
      <c r="E123" s="578"/>
      <c r="F123" s="578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579" t="s">
        <v>105</v>
      </c>
      <c r="C124" s="580"/>
      <c r="D124" s="580"/>
      <c r="E124" s="580"/>
      <c r="F124" s="580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563" t="s">
        <v>808</v>
      </c>
      <c r="C125" s="564"/>
      <c r="D125" s="564"/>
      <c r="E125" s="564"/>
      <c r="F125" s="564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05" t="s">
        <v>773</v>
      </c>
      <c r="C126" s="606"/>
      <c r="D126" s="606"/>
      <c r="E126" s="606"/>
      <c r="F126" s="606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581" t="s">
        <v>120</v>
      </c>
      <c r="C127" s="582"/>
      <c r="D127" s="582"/>
      <c r="E127" s="582"/>
      <c r="F127" s="582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567" t="s">
        <v>122</v>
      </c>
      <c r="C128" s="568"/>
      <c r="D128" s="568"/>
      <c r="E128" s="568"/>
      <c r="F128" s="568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567" t="s">
        <v>133</v>
      </c>
      <c r="C129" s="568"/>
      <c r="D129" s="568"/>
      <c r="E129" s="568"/>
      <c r="F129" s="568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567" t="s">
        <v>148</v>
      </c>
      <c r="C130" s="568"/>
      <c r="D130" s="568"/>
      <c r="E130" s="568"/>
      <c r="F130" s="568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567" t="s">
        <v>162</v>
      </c>
      <c r="C131" s="568"/>
      <c r="D131" s="568"/>
      <c r="E131" s="568"/>
      <c r="F131" s="568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567" t="s">
        <v>182</v>
      </c>
      <c r="C132" s="568"/>
      <c r="D132" s="568"/>
      <c r="E132" s="568"/>
      <c r="F132" s="568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567" t="s">
        <v>190</v>
      </c>
      <c r="C133" s="568"/>
      <c r="D133" s="568"/>
      <c r="E133" s="568"/>
      <c r="F133" s="568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567" t="s">
        <v>196</v>
      </c>
      <c r="C134" s="568"/>
      <c r="D134" s="568"/>
      <c r="E134" s="568"/>
      <c r="F134" s="568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567" t="s">
        <v>204</v>
      </c>
      <c r="C135" s="568"/>
      <c r="D135" s="568"/>
      <c r="E135" s="568"/>
      <c r="F135" s="568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567" t="s">
        <v>212</v>
      </c>
      <c r="C136" s="568"/>
      <c r="D136" s="568"/>
      <c r="E136" s="568"/>
      <c r="F136" s="568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567" t="s">
        <v>802</v>
      </c>
      <c r="C137" s="568"/>
      <c r="D137" s="568"/>
      <c r="E137" s="568"/>
      <c r="F137" s="568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587" t="s">
        <v>230</v>
      </c>
      <c r="C138" s="588"/>
      <c r="D138" s="588"/>
      <c r="E138" s="588"/>
      <c r="F138" s="588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567" t="s">
        <v>232</v>
      </c>
      <c r="C139" s="568"/>
      <c r="D139" s="568"/>
      <c r="E139" s="568"/>
      <c r="F139" s="568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567" t="s">
        <v>248</v>
      </c>
      <c r="C140" s="568"/>
      <c r="D140" s="568"/>
      <c r="E140" s="568"/>
      <c r="F140" s="568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567" t="s">
        <v>259</v>
      </c>
      <c r="C141" s="568"/>
      <c r="D141" s="568"/>
      <c r="E141" s="568"/>
      <c r="F141" s="568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567" t="s">
        <v>274</v>
      </c>
      <c r="C142" s="568"/>
      <c r="D142" s="568"/>
      <c r="E142" s="568"/>
      <c r="F142" s="568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567" t="s">
        <v>278</v>
      </c>
      <c r="C143" s="568"/>
      <c r="D143" s="568"/>
      <c r="E143" s="568"/>
      <c r="F143" s="568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583" t="s">
        <v>286</v>
      </c>
      <c r="C144" s="584"/>
      <c r="D144" s="584"/>
      <c r="E144" s="584"/>
      <c r="F144" s="584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583" t="s">
        <v>809</v>
      </c>
      <c r="C145" s="584"/>
      <c r="D145" s="584"/>
      <c r="E145" s="584"/>
      <c r="F145" s="584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585" t="s">
        <v>113</v>
      </c>
      <c r="C146" s="586"/>
      <c r="D146" s="586"/>
      <c r="E146" s="586"/>
      <c r="F146" s="586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585" t="s">
        <v>366</v>
      </c>
      <c r="C147" s="586"/>
      <c r="D147" s="586"/>
      <c r="E147" s="586"/>
      <c r="F147" s="586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585" t="s">
        <v>359</v>
      </c>
      <c r="C148" s="586"/>
      <c r="D148" s="586"/>
      <c r="E148" s="586"/>
      <c r="F148" s="586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593" t="s">
        <v>545</v>
      </c>
      <c r="C150" s="594"/>
      <c r="D150" s="594"/>
      <c r="E150" s="594"/>
      <c r="F150" s="594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595" t="s">
        <v>810</v>
      </c>
      <c r="C151" s="596"/>
      <c r="D151" s="596"/>
      <c r="E151" s="596"/>
      <c r="F151" s="596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587" t="s">
        <v>352</v>
      </c>
      <c r="C152" s="588"/>
      <c r="D152" s="588"/>
      <c r="E152" s="588"/>
      <c r="F152" s="588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591" t="s">
        <v>355</v>
      </c>
      <c r="C153" s="592"/>
      <c r="D153" s="592"/>
      <c r="E153" s="592"/>
      <c r="F153" s="592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585" t="s">
        <v>357</v>
      </c>
      <c r="C154" s="586"/>
      <c r="D154" s="586"/>
      <c r="E154" s="586"/>
      <c r="F154" s="586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585" t="s">
        <v>365</v>
      </c>
      <c r="C155" s="586"/>
      <c r="D155" s="586"/>
      <c r="E155" s="586"/>
      <c r="F155" s="586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589" t="s">
        <v>543</v>
      </c>
      <c r="C157" s="590"/>
      <c r="D157" s="590"/>
      <c r="E157" s="590"/>
      <c r="F157" s="590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563" t="s">
        <v>544</v>
      </c>
      <c r="C158" s="564"/>
      <c r="D158" s="564"/>
      <c r="E158" s="564"/>
      <c r="F158" s="564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591" t="s">
        <v>114</v>
      </c>
      <c r="C159" s="592"/>
      <c r="D159" s="592"/>
      <c r="E159" s="592"/>
      <c r="F159" s="592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585" t="s">
        <v>116</v>
      </c>
      <c r="C160" s="586"/>
      <c r="D160" s="586"/>
      <c r="E160" s="586"/>
      <c r="F160" s="586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585" t="s">
        <v>93</v>
      </c>
      <c r="C161" s="586"/>
      <c r="D161" s="586"/>
      <c r="E161" s="586"/>
      <c r="F161" s="586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Analitika - 2014</vt:lpstr>
      <vt:lpstr>Pregled</vt:lpstr>
      <vt:lpstr>Analitika 2023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Ljubica Radovic</cp:lastModifiedBy>
  <cp:lastPrinted>2023-12-29T12:28:13Z</cp:lastPrinted>
  <dcterms:created xsi:type="dcterms:W3CDTF">2014-09-15T13:41:17Z</dcterms:created>
  <dcterms:modified xsi:type="dcterms:W3CDTF">2023-12-29T13:11:59Z</dcterms:modified>
</cp:coreProperties>
</file>