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DECEMBAR 2024\Konačni\"/>
    </mc:Choice>
  </mc:AlternateContent>
  <xr:revisionPtr revIDLastSave="0" documentId="13_ncr:1_{58B0B5F8-F531-4867-A147-DE48DB17BB87}" xr6:coauthVersionLast="36" xr6:coauthVersionMax="36" xr10:uidLastSave="{00000000-0000-0000-0000-000000000000}"/>
  <workbookProtection workbookAlgorithmName="SHA-512" workbookHashValue="qVTV2QzsWGxp7cmvzcUHNYmDYb3fTf73a42tFblnOI40Htal0LXOE42N5vU1KDS3chdvpkHHzUJJ0NZS0p872Q==" workbookSaltValue="3DKfuuKVlx8p9MGq+CnwgA==" workbookSpinCount="100000" lockStructure="1"/>
  <bookViews>
    <workbookView xWindow="0" yWindow="0" windowWidth="7845" windowHeight="949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2" i="11" l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O19" i="11"/>
  <c r="N20" i="11"/>
  <c r="O20" i="11"/>
  <c r="N21" i="11"/>
  <c r="O21" i="11"/>
  <c r="N22" i="11"/>
  <c r="O22" i="11"/>
  <c r="N23" i="11"/>
  <c r="O23" i="11"/>
  <c r="N24" i="11"/>
  <c r="O24" i="11"/>
  <c r="N25" i="11"/>
  <c r="O25" i="11"/>
  <c r="N26" i="11"/>
  <c r="O26" i="11"/>
  <c r="N27" i="11"/>
  <c r="O27" i="11"/>
  <c r="N28" i="11"/>
  <c r="O28" i="11"/>
  <c r="N29" i="11"/>
  <c r="O29" i="11"/>
  <c r="N30" i="11"/>
  <c r="O30" i="11"/>
  <c r="N31" i="11"/>
  <c r="O31" i="11"/>
  <c r="N32" i="11"/>
  <c r="O32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8" i="11"/>
  <c r="O48" i="11"/>
  <c r="N49" i="11"/>
  <c r="O49" i="11"/>
  <c r="N50" i="11"/>
  <c r="O50" i="11"/>
  <c r="N51" i="11"/>
  <c r="O51" i="11"/>
  <c r="N52" i="11"/>
  <c r="O52" i="11"/>
  <c r="O53" i="11"/>
  <c r="O54" i="11"/>
  <c r="N55" i="11"/>
  <c r="O55" i="11"/>
  <c r="N56" i="11"/>
  <c r="O56" i="11"/>
  <c r="N57" i="11"/>
  <c r="O57" i="11"/>
  <c r="N58" i="11"/>
  <c r="O58" i="11"/>
  <c r="N59" i="11"/>
  <c r="O59" i="11"/>
  <c r="O60" i="11"/>
  <c r="O61" i="11"/>
  <c r="N62" i="11"/>
  <c r="O62" i="11"/>
  <c r="N63" i="11"/>
  <c r="O63" i="11"/>
  <c r="N64" i="11"/>
  <c r="O64" i="11"/>
  <c r="N65" i="11"/>
  <c r="O65" i="11"/>
  <c r="O66" i="11"/>
  <c r="R11" i="11"/>
  <c r="R10" i="11"/>
  <c r="O11" i="11"/>
  <c r="O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105" i="27" l="1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L136" i="27"/>
  <c r="L142" i="27" s="1"/>
  <c r="L137" i="27" s="1"/>
  <c r="S11" i="27"/>
  <c r="T11" i="27" s="1"/>
  <c r="I129" i="27"/>
  <c r="S116" i="27"/>
  <c r="T116" i="27" s="1"/>
  <c r="S109" i="27"/>
  <c r="T109" i="27" s="1"/>
  <c r="J130" i="27" l="1"/>
  <c r="J136" i="27"/>
  <c r="J142" i="27" s="1"/>
  <c r="J137" i="27" s="1"/>
  <c r="G53" i="27"/>
  <c r="N130" i="27"/>
  <c r="O53" i="27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O60" i="27" l="1"/>
  <c r="H66" i="27"/>
  <c r="H54" i="27"/>
  <c r="O130" i="27"/>
  <c r="S130" i="27" s="1"/>
  <c r="T130" i="27" s="1"/>
  <c r="O136" i="27"/>
  <c r="O142" i="27" s="1"/>
  <c r="O137" i="27" s="1"/>
  <c r="G66" i="27"/>
  <c r="G142" i="27"/>
  <c r="S136" i="27"/>
  <c r="T136" i="27" s="1"/>
  <c r="S60" i="27"/>
  <c r="T53" i="27"/>
  <c r="S59" i="11"/>
  <c r="P59" i="11"/>
  <c r="O66" i="27" l="1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G59" i="11" s="1"/>
  <c r="S65" i="26"/>
  <c r="G65" i="11" s="1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G64" i="11" s="1"/>
  <c r="S63" i="26"/>
  <c r="G63" i="11" s="1"/>
  <c r="S62" i="26"/>
  <c r="G62" i="11" s="1"/>
  <c r="S58" i="26"/>
  <c r="G58" i="11" s="1"/>
  <c r="S57" i="26"/>
  <c r="G57" i="11" s="1"/>
  <c r="S56" i="26"/>
  <c r="G56" i="11" s="1"/>
  <c r="R55" i="26"/>
  <c r="Q55" i="26"/>
  <c r="P55" i="26"/>
  <c r="O55" i="26"/>
  <c r="N55" i="26"/>
  <c r="M55" i="26"/>
  <c r="S52" i="26"/>
  <c r="G52" i="11" s="1"/>
  <c r="S51" i="26"/>
  <c r="G51" i="11" s="1"/>
  <c r="S48" i="26"/>
  <c r="G48" i="11" s="1"/>
  <c r="Q40" i="26"/>
  <c r="P40" i="26"/>
  <c r="O40" i="26"/>
  <c r="N40" i="26"/>
  <c r="M40" i="26"/>
  <c r="R30" i="26"/>
  <c r="Q30" i="26"/>
  <c r="P30" i="26"/>
  <c r="O30" i="26"/>
  <c r="N30" i="26"/>
  <c r="M30" i="26"/>
  <c r="S28" i="26"/>
  <c r="G28" i="11" s="1"/>
  <c r="S27" i="26"/>
  <c r="G27" i="11" s="1"/>
  <c r="S26" i="26"/>
  <c r="G26" i="11" s="1"/>
  <c r="S25" i="26"/>
  <c r="G25" i="11" s="1"/>
  <c r="S24" i="26"/>
  <c r="G24" i="11" s="1"/>
  <c r="S23" i="26"/>
  <c r="G23" i="11" s="1"/>
  <c r="S22" i="26"/>
  <c r="G22" i="11" s="1"/>
  <c r="S21" i="26"/>
  <c r="G21" i="11" s="1"/>
  <c r="S20" i="26"/>
  <c r="G20" i="11" s="1"/>
  <c r="R19" i="26"/>
  <c r="N19" i="11" s="1"/>
  <c r="Q19" i="26"/>
  <c r="P19" i="26"/>
  <c r="O19" i="26"/>
  <c r="N19" i="26"/>
  <c r="M19" i="26"/>
  <c r="S18" i="26"/>
  <c r="G18" i="11" s="1"/>
  <c r="S17" i="26"/>
  <c r="G17" i="11" s="1"/>
  <c r="S16" i="26"/>
  <c r="G16" i="11" s="1"/>
  <c r="S15" i="26"/>
  <c r="G15" i="11" s="1"/>
  <c r="S14" i="26"/>
  <c r="G14" i="11" s="1"/>
  <c r="S13" i="26"/>
  <c r="G13" i="11" s="1"/>
  <c r="S12" i="26"/>
  <c r="G12" i="11" s="1"/>
  <c r="R11" i="26"/>
  <c r="N11" i="11" s="1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N10" i="11" s="1"/>
  <c r="P29" i="26"/>
  <c r="P86" i="26"/>
  <c r="S19" i="26"/>
  <c r="G19" i="11" s="1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G55" i="11" s="1"/>
  <c r="O10" i="26"/>
  <c r="P10" i="26"/>
  <c r="M10" i="26"/>
  <c r="S11" i="26"/>
  <c r="G11" i="11" s="1"/>
  <c r="S87" i="26"/>
  <c r="T87" i="26" s="1"/>
  <c r="N53" i="26" l="1"/>
  <c r="D12" i="1"/>
  <c r="E12" i="1" s="1"/>
  <c r="Q53" i="26"/>
  <c r="O129" i="26"/>
  <c r="M53" i="26"/>
  <c r="N129" i="26"/>
  <c r="R53" i="26"/>
  <c r="N53" i="11" s="1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G10" i="11" s="1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N54" i="11" s="1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N60" i="1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N61" i="11" s="1"/>
  <c r="N66" i="1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G31" i="11" s="1"/>
  <c r="S43" i="26"/>
  <c r="G43" i="11" s="1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G42" i="11" s="1"/>
  <c r="S36" i="26"/>
  <c r="G36" i="11" s="1"/>
  <c r="S35" i="26"/>
  <c r="G35" i="11" s="1"/>
  <c r="S49" i="26"/>
  <c r="G49" i="11" s="1"/>
  <c r="S34" i="26"/>
  <c r="G34" i="11" s="1"/>
  <c r="S33" i="26"/>
  <c r="G33" i="11" s="1"/>
  <c r="S41" i="26"/>
  <c r="G41" i="11" s="1"/>
  <c r="S47" i="26"/>
  <c r="G47" i="11" s="1"/>
  <c r="S44" i="26"/>
  <c r="G44" i="11" s="1"/>
  <c r="S39" i="26"/>
  <c r="G39" i="11" s="1"/>
  <c r="I53" i="26"/>
  <c r="S45" i="26"/>
  <c r="G45" i="11" s="1"/>
  <c r="S50" i="26"/>
  <c r="G50" i="11" s="1"/>
  <c r="S38" i="26"/>
  <c r="G38" i="11" s="1"/>
  <c r="S37" i="26"/>
  <c r="G37" i="11" s="1"/>
  <c r="Q30" i="11"/>
  <c r="T30" i="11"/>
  <c r="S30" i="11"/>
  <c r="P30" i="11"/>
  <c r="T37" i="26" l="1"/>
  <c r="T50" i="26"/>
  <c r="D16" i="1"/>
  <c r="E16" i="1" s="1"/>
  <c r="T29" i="11"/>
  <c r="S29" i="11"/>
  <c r="P29" i="11"/>
  <c r="Q29" i="11"/>
  <c r="T44" i="26"/>
  <c r="T41" i="26"/>
  <c r="T34" i="26"/>
  <c r="H30" i="26"/>
  <c r="S32" i="26"/>
  <c r="G32" i="11" s="1"/>
  <c r="T36" i="26"/>
  <c r="S46" i="26"/>
  <c r="G46" i="11" s="1"/>
  <c r="I60" i="26"/>
  <c r="I54" i="26"/>
  <c r="H40" i="26"/>
  <c r="S40" i="26" s="1"/>
  <c r="G40" i="11" s="1"/>
  <c r="T38" i="26"/>
  <c r="T45" i="26"/>
  <c r="T39" i="26"/>
  <c r="T47" i="26"/>
  <c r="T33" i="26"/>
  <c r="T49" i="26"/>
  <c r="T35" i="26"/>
  <c r="T42" i="26"/>
  <c r="I49" i="11" l="1"/>
  <c r="J49" i="11"/>
  <c r="M49" i="11"/>
  <c r="L49" i="11"/>
  <c r="T54" i="11"/>
  <c r="S54" i="11"/>
  <c r="P54" i="11"/>
  <c r="Q54" i="11"/>
  <c r="H29" i="26"/>
  <c r="S30" i="26"/>
  <c r="G30" i="11" s="1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T60" i="11"/>
  <c r="S60" i="11"/>
  <c r="Q60" i="11"/>
  <c r="H53" i="26"/>
  <c r="S29" i="26"/>
  <c r="G29" i="11" s="1"/>
  <c r="J30" i="11" l="1"/>
  <c r="I30" i="11"/>
  <c r="L30" i="11"/>
  <c r="M30" i="11"/>
  <c r="T29" i="26"/>
  <c r="T66" i="11"/>
  <c r="S66" i="11"/>
  <c r="Q66" i="11"/>
  <c r="P66" i="11"/>
  <c r="H54" i="26"/>
  <c r="S54" i="26" s="1"/>
  <c r="G54" i="11" s="1"/>
  <c r="H60" i="26"/>
  <c r="H66" i="26" s="1"/>
  <c r="H61" i="26" s="1"/>
  <c r="S61" i="26" s="1"/>
  <c r="G61" i="11" s="1"/>
  <c r="S53" i="26"/>
  <c r="G53" i="11" s="1"/>
  <c r="P61" i="11"/>
  <c r="T61" i="11"/>
  <c r="S61" i="11"/>
  <c r="Q61" i="11"/>
  <c r="T61" i="26" l="1"/>
  <c r="T54" i="26"/>
  <c r="S60" i="26"/>
  <c r="G60" i="11" s="1"/>
  <c r="T53" i="26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G66" i="11" s="1"/>
  <c r="T60" i="26"/>
  <c r="L60" i="11" l="1"/>
  <c r="M60" i="11"/>
  <c r="J60" i="11"/>
  <c r="I60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<sst xmlns="http://schemas.openxmlformats.org/spreadsheetml/2006/main" count="1866" uniqueCount="869">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</sst>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2000000}"/>
    <cellStyle name="2 indents 2" xfId="112" xr:uid="{00000000-0005-0000-0000-000003000000}"/>
    <cellStyle name="2 indents 3" xfId="188" xr:uid="{00000000-0005-0000-0000-000005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2 3" xfId="189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2 3" xfId="190" xr:uid="{00000000-0005-0000-0000-000007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2 3" xfId="191" xr:uid="{00000000-0005-0000-0000-000008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2 3" xfId="192" xr:uid="{00000000-0005-0000-0000-000009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2 3" xfId="193" xr:uid="{00000000-0005-0000-0000-00000A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2 3" xfId="194" xr:uid="{00000000-0005-0000-0000-00000B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3 indents 3" xfId="195" xr:uid="{00000000-0005-0000-0000-00000E000000}"/>
    <cellStyle name="4 indents" xfId="45" xr:uid="{00000000-0005-0000-0000-00001E000000}"/>
    <cellStyle name="4 indents 2" xfId="122" xr:uid="{00000000-0005-0000-0000-00001F000000}"/>
    <cellStyle name="4 indents 3" xfId="196" xr:uid="{00000000-0005-0000-0000-000011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2 3" xfId="197" xr:uid="{00000000-0005-0000-0000-00001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2 3" xfId="198" xr:uid="{00000000-0005-0000-0000-000013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2 3" xfId="199" xr:uid="{00000000-0005-0000-0000-000014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2 3" xfId="200" xr:uid="{00000000-0005-0000-0000-000015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2 3" xfId="201" xr:uid="{00000000-0005-0000-0000-000016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2 3" xfId="202" xr:uid="{00000000-0005-0000-0000-000017000000}"/>
    <cellStyle name="40% - Accent6 3" xfId="147" xr:uid="{00000000-0005-0000-0000-000037000000}"/>
    <cellStyle name="60% - Accent1" xfId="21" builtinId="32" customBuiltin="1"/>
    <cellStyle name="60% - Accent1 2" xfId="203" xr:uid="{00000000-0005-0000-0000-000018000000}"/>
    <cellStyle name="60% - Accent2" xfId="25" builtinId="36" customBuiltin="1"/>
    <cellStyle name="60% - Accent2 2" xfId="204" xr:uid="{00000000-0005-0000-0000-000019000000}"/>
    <cellStyle name="60% - Accent3" xfId="29" builtinId="40" customBuiltin="1"/>
    <cellStyle name="60% - Accent3 2" xfId="205" xr:uid="{00000000-0005-0000-0000-00001A000000}"/>
    <cellStyle name="60% - Accent4" xfId="33" builtinId="44" customBuiltin="1"/>
    <cellStyle name="60% - Accent4 2" xfId="206" xr:uid="{00000000-0005-0000-0000-00001B000000}"/>
    <cellStyle name="60% - Accent5" xfId="37" builtinId="48" customBuiltin="1"/>
    <cellStyle name="60% - Accent5 2" xfId="207" xr:uid="{00000000-0005-0000-0000-00001C000000}"/>
    <cellStyle name="60% - Accent6" xfId="41" builtinId="52" customBuiltin="1"/>
    <cellStyle name="60% - Accent6 2" xfId="208" xr:uid="{00000000-0005-0000-0000-00001D000000}"/>
    <cellStyle name="Accent1" xfId="18" builtinId="29" customBuiltin="1"/>
    <cellStyle name="Accent1 2" xfId="209" xr:uid="{00000000-0005-0000-0000-00001E000000}"/>
    <cellStyle name="Accent2" xfId="22" builtinId="33" customBuiltin="1"/>
    <cellStyle name="Accent2 2" xfId="210" xr:uid="{00000000-0005-0000-0000-00001F000000}"/>
    <cellStyle name="Accent3" xfId="26" builtinId="37" customBuiltin="1"/>
    <cellStyle name="Accent3 2" xfId="211" xr:uid="{00000000-0005-0000-0000-000020000000}"/>
    <cellStyle name="Accent4" xfId="30" builtinId="41" customBuiltin="1"/>
    <cellStyle name="Accent4 2" xfId="212" xr:uid="{00000000-0005-0000-0000-000021000000}"/>
    <cellStyle name="Accent5" xfId="34" builtinId="45" customBuiltin="1"/>
    <cellStyle name="Accent5 2" xfId="213" xr:uid="{00000000-0005-0000-0000-000022000000}"/>
    <cellStyle name="Accent6" xfId="38" builtinId="49" customBuiltin="1"/>
    <cellStyle name="Accent6 2" xfId="214" xr:uid="{00000000-0005-0000-0000-000023000000}"/>
    <cellStyle name="Bad" xfId="8" builtinId="27" customBuiltin="1"/>
    <cellStyle name="Bad 2" xfId="78" xr:uid="{00000000-0005-0000-0000-000045000000}"/>
    <cellStyle name="Bad 2 2" xfId="215" xr:uid="{00000000-0005-0000-0000-000024000000}"/>
    <cellStyle name="Calculation" xfId="12" builtinId="22" customBuiltin="1"/>
    <cellStyle name="Calculation 2" xfId="216" xr:uid="{00000000-0005-0000-0000-000025000000}"/>
    <cellStyle name="Check Cell" xfId="14" builtinId="23" customBuiltin="1"/>
    <cellStyle name="Check Cell 2" xfId="217" xr:uid="{00000000-0005-0000-0000-000026000000}"/>
    <cellStyle name="Comma" xfId="130" builtinId="3"/>
    <cellStyle name="Comma 2" xfId="185" xr:uid="{00000000-0005-0000-0000-000049000000}"/>
    <cellStyle name="Comma 2 2" xfId="298" xr:uid="{00000000-0005-0000-0000-000029000000}"/>
    <cellStyle name="Comma 2 3" xfId="219" xr:uid="{00000000-0005-0000-0000-000028000000}"/>
    <cellStyle name="Comma 3" xfId="297" xr:uid="{00000000-0005-0000-0000-00002A000000}"/>
    <cellStyle name="Comma 4" xfId="218" xr:uid="{00000000-0005-0000-0000-0000DD000000}"/>
    <cellStyle name="Currency" xfId="131" builtinId="4"/>
    <cellStyle name="Date" xfId="46" xr:uid="{00000000-0005-0000-0000-00004B000000}"/>
    <cellStyle name="Excel Built-in Normal" xfId="220" xr:uid="{00000000-0005-0000-0000-00002C000000}"/>
    <cellStyle name="Excel Built-in Normal 2" xfId="221" xr:uid="{00000000-0005-0000-0000-00002D000000}"/>
    <cellStyle name="Excel Built-in Normal 2 2" xfId="222" xr:uid="{00000000-0005-0000-0000-00002E000000}"/>
    <cellStyle name="Excel Built-in Normal 2 3" xfId="223" xr:uid="{00000000-0005-0000-0000-00002F000000}"/>
    <cellStyle name="Explanatory Text" xfId="16" builtinId="53" customBuiltin="1"/>
    <cellStyle name="Explanatory Text 2" xfId="224" xr:uid="{00000000-0005-0000-0000-000030000000}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Good 2" xfId="225" xr:uid="{00000000-0005-0000-0000-000039000000}"/>
    <cellStyle name="Heading 1" xfId="3" builtinId="16" customBuiltin="1"/>
    <cellStyle name="Heading 1 2" xfId="226" xr:uid="{00000000-0005-0000-0000-00003A000000}"/>
    <cellStyle name="Heading 2" xfId="4" builtinId="17" customBuiltin="1"/>
    <cellStyle name="Heading 2 2" xfId="227" xr:uid="{00000000-0005-0000-0000-00003B000000}"/>
    <cellStyle name="Heading 3" xfId="5" builtinId="18" customBuiltin="1"/>
    <cellStyle name="Heading 3 2" xfId="228" xr:uid="{00000000-0005-0000-0000-00003C000000}"/>
    <cellStyle name="Heading 4" xfId="6" builtinId="19" customBuiltin="1"/>
    <cellStyle name="Heading 4 2" xfId="229" xr:uid="{00000000-0005-0000-0000-00003D000000}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one decimal 3" xfId="230" xr:uid="{00000000-0005-0000-0000-000042000000}"/>
    <cellStyle name="imf-zero decimal" xfId="58" xr:uid="{00000000-0005-0000-0000-00005E000000}"/>
    <cellStyle name="imf-zero decimal 2" xfId="115" xr:uid="{00000000-0005-0000-0000-00005F000000}"/>
    <cellStyle name="imf-zero decimal 3" xfId="231" xr:uid="{00000000-0005-0000-0000-000045000000}"/>
    <cellStyle name="Input" xfId="10" builtinId="20" customBuiltin="1"/>
    <cellStyle name="Input 2" xfId="232" xr:uid="{00000000-0005-0000-0000-000046000000}"/>
    <cellStyle name="Label" xfId="59" xr:uid="{00000000-0005-0000-0000-000061000000}"/>
    <cellStyle name="Label 2" xfId="233" xr:uid="{00000000-0005-0000-0000-000047000000}"/>
    <cellStyle name="Linked Cell" xfId="13" builtinId="24" customBuiltin="1"/>
    <cellStyle name="Linked Cell 2" xfId="234" xr:uid="{00000000-0005-0000-0000-000048000000}"/>
    <cellStyle name="Neutral" xfId="9" builtinId="28" customBuiltin="1"/>
    <cellStyle name="Neutral 2" xfId="235" xr:uid="{00000000-0005-0000-0000-000049000000}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0 2 2" xfId="322" xr:uid="{00000000-0005-0000-0000-000050000000}"/>
    <cellStyle name="Normal 10 2 2 2" xfId="346" xr:uid="{00000000-0005-0000-0000-000050000000}"/>
    <cellStyle name="Normal 10 2 2 3" xfId="370" xr:uid="{00000000-0005-0000-0000-000050000000}"/>
    <cellStyle name="Normal 10 2 3" xfId="334" xr:uid="{00000000-0005-0000-0000-00004F000000}"/>
    <cellStyle name="Normal 10 2 4" xfId="358" xr:uid="{00000000-0005-0000-0000-00004F000000}"/>
    <cellStyle name="Normal 10 2 5" xfId="310" xr:uid="{00000000-0005-0000-0000-00004F000000}"/>
    <cellStyle name="Normal 10 3" xfId="316" xr:uid="{00000000-0005-0000-0000-000051000000}"/>
    <cellStyle name="Normal 10 3 2" xfId="340" xr:uid="{00000000-0005-0000-0000-000051000000}"/>
    <cellStyle name="Normal 10 3 3" xfId="364" xr:uid="{00000000-0005-0000-0000-000051000000}"/>
    <cellStyle name="Normal 10 4" xfId="328" xr:uid="{00000000-0005-0000-0000-00004E000000}"/>
    <cellStyle name="Normal 10 5" xfId="352" xr:uid="{00000000-0005-0000-0000-00004E000000}"/>
    <cellStyle name="Normal 10 6" xfId="293" xr:uid="{00000000-0005-0000-0000-00004E000000}"/>
    <cellStyle name="Normal 11" xfId="75" xr:uid="{00000000-0005-0000-0000-00006A000000}"/>
    <cellStyle name="Normal 11 2" xfId="155" xr:uid="{00000000-0005-0000-0000-00006B000000}"/>
    <cellStyle name="Normal 11 2 2" xfId="323" xr:uid="{00000000-0005-0000-0000-000054000000}"/>
    <cellStyle name="Normal 11 2 2 2" xfId="347" xr:uid="{00000000-0005-0000-0000-000054000000}"/>
    <cellStyle name="Normal 11 2 2 3" xfId="371" xr:uid="{00000000-0005-0000-0000-000054000000}"/>
    <cellStyle name="Normal 11 2 3" xfId="335" xr:uid="{00000000-0005-0000-0000-000053000000}"/>
    <cellStyle name="Normal 11 2 4" xfId="359" xr:uid="{00000000-0005-0000-0000-000053000000}"/>
    <cellStyle name="Normal 11 2 5" xfId="311" xr:uid="{00000000-0005-0000-0000-000053000000}"/>
    <cellStyle name="Normal 11 3" xfId="317" xr:uid="{00000000-0005-0000-0000-000055000000}"/>
    <cellStyle name="Normal 11 3 2" xfId="341" xr:uid="{00000000-0005-0000-0000-000055000000}"/>
    <cellStyle name="Normal 11 3 3" xfId="365" xr:uid="{00000000-0005-0000-0000-000055000000}"/>
    <cellStyle name="Normal 11 4" xfId="329" xr:uid="{00000000-0005-0000-0000-000052000000}"/>
    <cellStyle name="Normal 11 5" xfId="353" xr:uid="{00000000-0005-0000-0000-000052000000}"/>
    <cellStyle name="Normal 11 6" xfId="294" xr:uid="{00000000-0005-0000-0000-000052000000}"/>
    <cellStyle name="Normal 12" xfId="76" xr:uid="{00000000-0005-0000-0000-00006C000000}"/>
    <cellStyle name="Normal 12 2" xfId="156" xr:uid="{00000000-0005-0000-0000-00006D000000}"/>
    <cellStyle name="Normal 12 2 2" xfId="324" xr:uid="{00000000-0005-0000-0000-000058000000}"/>
    <cellStyle name="Normal 12 2 2 2" xfId="348" xr:uid="{00000000-0005-0000-0000-000058000000}"/>
    <cellStyle name="Normal 12 2 2 3" xfId="372" xr:uid="{00000000-0005-0000-0000-000058000000}"/>
    <cellStyle name="Normal 12 2 3" xfId="336" xr:uid="{00000000-0005-0000-0000-000057000000}"/>
    <cellStyle name="Normal 12 2 4" xfId="360" xr:uid="{00000000-0005-0000-0000-000057000000}"/>
    <cellStyle name="Normal 12 2 5" xfId="312" xr:uid="{00000000-0005-0000-0000-000057000000}"/>
    <cellStyle name="Normal 12 3" xfId="318" xr:uid="{00000000-0005-0000-0000-000059000000}"/>
    <cellStyle name="Normal 12 3 2" xfId="342" xr:uid="{00000000-0005-0000-0000-000059000000}"/>
    <cellStyle name="Normal 12 3 3" xfId="366" xr:uid="{00000000-0005-0000-0000-000059000000}"/>
    <cellStyle name="Normal 12 4" xfId="330" xr:uid="{00000000-0005-0000-0000-000056000000}"/>
    <cellStyle name="Normal 12 5" xfId="354" xr:uid="{00000000-0005-0000-0000-000056000000}"/>
    <cellStyle name="Normal 12 6" xfId="295" xr:uid="{00000000-0005-0000-0000-000056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4 2 2" xfId="325" xr:uid="{00000000-0005-0000-0000-00005D000000}"/>
    <cellStyle name="Normal 14 2 2 2" xfId="349" xr:uid="{00000000-0005-0000-0000-00005D000000}"/>
    <cellStyle name="Normal 14 2 2 3" xfId="373" xr:uid="{00000000-0005-0000-0000-00005D000000}"/>
    <cellStyle name="Normal 14 2 3" xfId="337" xr:uid="{00000000-0005-0000-0000-00005C000000}"/>
    <cellStyle name="Normal 14 2 4" xfId="361" xr:uid="{00000000-0005-0000-0000-00005C000000}"/>
    <cellStyle name="Normal 14 2 5" xfId="313" xr:uid="{00000000-0005-0000-0000-00005C000000}"/>
    <cellStyle name="Normal 14 3" xfId="319" xr:uid="{00000000-0005-0000-0000-00005E000000}"/>
    <cellStyle name="Normal 14 3 2" xfId="343" xr:uid="{00000000-0005-0000-0000-00005E000000}"/>
    <cellStyle name="Normal 14 3 3" xfId="367" xr:uid="{00000000-0005-0000-0000-00005E000000}"/>
    <cellStyle name="Normal 14 4" xfId="331" xr:uid="{00000000-0005-0000-0000-00005B000000}"/>
    <cellStyle name="Normal 14 5" xfId="355" xr:uid="{00000000-0005-0000-0000-00005B000000}"/>
    <cellStyle name="Normal 14 6" xfId="296" xr:uid="{00000000-0005-0000-0000-00005B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6 3 2" xfId="300" xr:uid="{00000000-0005-0000-0000-000063000000}"/>
    <cellStyle name="Normal 16 4" xfId="299" xr:uid="{00000000-0005-0000-0000-000064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7 3 2" xfId="302" xr:uid="{00000000-0005-0000-0000-000069000000}"/>
    <cellStyle name="Normal 17 4" xfId="301" xr:uid="{00000000-0005-0000-0000-00006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19 3 2" xfId="304" xr:uid="{00000000-0005-0000-0000-00006F000000}"/>
    <cellStyle name="Normal 19 4" xfId="303" xr:uid="{00000000-0005-0000-0000-000070000000}"/>
    <cellStyle name="Normal 2" xfId="63" xr:uid="{00000000-0005-0000-0000-000081000000}"/>
    <cellStyle name="Normal 2 10" xfId="237" xr:uid="{00000000-0005-0000-0000-000072000000}"/>
    <cellStyle name="Normal 2 10 2" xfId="306" xr:uid="{00000000-0005-0000-0000-000073000000}"/>
    <cellStyle name="Normal 2 11" xfId="305" xr:uid="{00000000-0005-0000-0000-000074000000}"/>
    <cellStyle name="Normal 2 12" xfId="236" xr:uid="{00000000-0005-0000-0000-000071000000}"/>
    <cellStyle name="Normal 2 2" xfId="2" xr:uid="{00000000-0005-0000-0000-000082000000}"/>
    <cellStyle name="Normal 2 2 2" xfId="239" xr:uid="{00000000-0005-0000-0000-000076000000}"/>
    <cellStyle name="Normal 2 2 3" xfId="240" xr:uid="{00000000-0005-0000-0000-000077000000}"/>
    <cellStyle name="Normal 2 2 4" xfId="238" xr:uid="{00000000-0005-0000-0000-000075000000}"/>
    <cellStyle name="Normal 2 3" xfId="133" xr:uid="{00000000-0005-0000-0000-000083000000}"/>
    <cellStyle name="Normal 2 3 2" xfId="242" xr:uid="{00000000-0005-0000-0000-000079000000}"/>
    <cellStyle name="Normal 2 3 3" xfId="243" xr:uid="{00000000-0005-0000-0000-00007A000000}"/>
    <cellStyle name="Normal 2 3 4" xfId="241" xr:uid="{00000000-0005-0000-0000-000078000000}"/>
    <cellStyle name="Normal 2 4" xfId="244" xr:uid="{00000000-0005-0000-0000-00007B000000}"/>
    <cellStyle name="Normal 2 4 2" xfId="245" xr:uid="{00000000-0005-0000-0000-00007C000000}"/>
    <cellStyle name="Normal 2 4 3" xfId="246" xr:uid="{00000000-0005-0000-0000-00007D000000}"/>
    <cellStyle name="Normal 2 5" xfId="247" xr:uid="{00000000-0005-0000-0000-00007E000000}"/>
    <cellStyle name="Normal 2 5 2" xfId="248" xr:uid="{00000000-0005-0000-0000-00007F000000}"/>
    <cellStyle name="Normal 2 5 3" xfId="249" xr:uid="{00000000-0005-0000-0000-000080000000}"/>
    <cellStyle name="Normal 2 6" xfId="250" xr:uid="{00000000-0005-0000-0000-000081000000}"/>
    <cellStyle name="Normal 2 6 2" xfId="251" xr:uid="{00000000-0005-0000-0000-000082000000}"/>
    <cellStyle name="Normal 2 6 3" xfId="252" xr:uid="{00000000-0005-0000-0000-000083000000}"/>
    <cellStyle name="Normal 2 7" xfId="253" xr:uid="{00000000-0005-0000-0000-000084000000}"/>
    <cellStyle name="Normal 2 7 2" xfId="254" xr:uid="{00000000-0005-0000-0000-000085000000}"/>
    <cellStyle name="Normal 2 7 3" xfId="255" xr:uid="{00000000-0005-0000-0000-000086000000}"/>
    <cellStyle name="Normal 2 8" xfId="256" xr:uid="{00000000-0005-0000-0000-000087000000}"/>
    <cellStyle name="Normal 2 8 2" xfId="257" xr:uid="{00000000-0005-0000-0000-000088000000}"/>
    <cellStyle name="Normal 2 8 3" xfId="258" xr:uid="{00000000-0005-0000-0000-000089000000}"/>
    <cellStyle name="Normal 2 9" xfId="259" xr:uid="{00000000-0005-0000-0000-00008A000000}"/>
    <cellStyle name="Normal 2 9 2" xfId="307" xr:uid="{00000000-0005-0000-0000-00008B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 2" xfId="260" xr:uid="{00000000-0005-0000-0000-00008D000000}"/>
    <cellStyle name="Normal 3 2 2" xfId="261" xr:uid="{00000000-0005-0000-0000-00008E000000}"/>
    <cellStyle name="Normal 3 2 3" xfId="262" xr:uid="{00000000-0005-0000-0000-00008F000000}"/>
    <cellStyle name="Normal 3 3" xfId="263" xr:uid="{00000000-0005-0000-0000-000090000000}"/>
    <cellStyle name="Normal 3 3 2" xfId="264" xr:uid="{00000000-0005-0000-0000-000091000000}"/>
    <cellStyle name="Normal 3 3 3" xfId="265" xr:uid="{00000000-0005-0000-0000-000092000000}"/>
    <cellStyle name="Normal 3 4" xfId="266" xr:uid="{00000000-0005-0000-0000-000093000000}"/>
    <cellStyle name="Normal 3 4 2" xfId="267" xr:uid="{00000000-0005-0000-0000-000094000000}"/>
    <cellStyle name="Normal 3 4 3" xfId="268" xr:uid="{00000000-0005-0000-0000-000095000000}"/>
    <cellStyle name="Normal 3 5" xfId="269" xr:uid="{00000000-0005-0000-0000-000096000000}"/>
    <cellStyle name="Normal 3 5 2" xfId="270" xr:uid="{00000000-0005-0000-0000-000097000000}"/>
    <cellStyle name="Normal 3 5 3" xfId="271" xr:uid="{00000000-0005-0000-0000-000098000000}"/>
    <cellStyle name="Normal 3 6" xfId="272" xr:uid="{00000000-0005-0000-0000-000099000000}"/>
    <cellStyle name="Normal 3 6 2" xfId="273" xr:uid="{00000000-0005-0000-0000-00009A000000}"/>
    <cellStyle name="Normal 3 6 3" xfId="274" xr:uid="{00000000-0005-0000-0000-00009B000000}"/>
    <cellStyle name="Normal 3 7" xfId="275" xr:uid="{00000000-0005-0000-0000-00009C000000}"/>
    <cellStyle name="Normal 3 7 2" xfId="276" xr:uid="{00000000-0005-0000-0000-00009D000000}"/>
    <cellStyle name="Normal 3 7 3" xfId="277" xr:uid="{00000000-0005-0000-0000-00009E000000}"/>
    <cellStyle name="Normal 3 8" xfId="278" xr:uid="{00000000-0005-0000-0000-00009F000000}"/>
    <cellStyle name="Normal 3 8 2" xfId="279" xr:uid="{00000000-0005-0000-0000-0000A0000000}"/>
    <cellStyle name="Normal 3 8 3" xfId="280" xr:uid="{00000000-0005-0000-0000-0000A1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2 2" xfId="282" xr:uid="{00000000-0005-0000-0000-0000A3000000}"/>
    <cellStyle name="Normal 4 3" xfId="148" xr:uid="{00000000-0005-0000-0000-0000A0000000}"/>
    <cellStyle name="Normal 4 3 2" xfId="283" xr:uid="{00000000-0005-0000-0000-0000A4000000}"/>
    <cellStyle name="Normal 4 4" xfId="281" xr:uid="{00000000-0005-0000-0000-0000A2000000}"/>
    <cellStyle name="Normal 40" xfId="186" xr:uid="{00000000-0005-0000-0000-0000F1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5 4" xfId="284" xr:uid="{00000000-0005-0000-0000-0000A5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7 2 2" xfId="320" xr:uid="{00000000-0005-0000-0000-0000A8000000}"/>
    <cellStyle name="Normal 7 2 2 2" xfId="344" xr:uid="{00000000-0005-0000-0000-0000A8000000}"/>
    <cellStyle name="Normal 7 2 2 3" xfId="368" xr:uid="{00000000-0005-0000-0000-0000A8000000}"/>
    <cellStyle name="Normal 7 2 3" xfId="332" xr:uid="{00000000-0005-0000-0000-0000A7000000}"/>
    <cellStyle name="Normal 7 2 4" xfId="356" xr:uid="{00000000-0005-0000-0000-0000A7000000}"/>
    <cellStyle name="Normal 7 2 5" xfId="308" xr:uid="{00000000-0005-0000-0000-0000A7000000}"/>
    <cellStyle name="Normal 7 3" xfId="314" xr:uid="{00000000-0005-0000-0000-0000A9000000}"/>
    <cellStyle name="Normal 7 3 2" xfId="338" xr:uid="{00000000-0005-0000-0000-0000A9000000}"/>
    <cellStyle name="Normal 7 3 3" xfId="362" xr:uid="{00000000-0005-0000-0000-0000A9000000}"/>
    <cellStyle name="Normal 7 4" xfId="326" xr:uid="{00000000-0005-0000-0000-0000A6000000}"/>
    <cellStyle name="Normal 7 5" xfId="350" xr:uid="{00000000-0005-0000-0000-0000A6000000}"/>
    <cellStyle name="Normal 7 6" xfId="291" xr:uid="{00000000-0005-0000-0000-0000A6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rmal 9 2 2" xfId="321" xr:uid="{00000000-0005-0000-0000-0000AC000000}"/>
    <cellStyle name="Normal 9 2 2 2" xfId="345" xr:uid="{00000000-0005-0000-0000-0000AC000000}"/>
    <cellStyle name="Normal 9 2 2 3" xfId="369" xr:uid="{00000000-0005-0000-0000-0000AC000000}"/>
    <cellStyle name="Normal 9 2 3" xfId="333" xr:uid="{00000000-0005-0000-0000-0000AB000000}"/>
    <cellStyle name="Normal 9 2 4" xfId="357" xr:uid="{00000000-0005-0000-0000-0000AB000000}"/>
    <cellStyle name="Normal 9 2 5" xfId="309" xr:uid="{00000000-0005-0000-0000-0000AB000000}"/>
    <cellStyle name="Normal 9 3" xfId="315" xr:uid="{00000000-0005-0000-0000-0000AD000000}"/>
    <cellStyle name="Normal 9 3 2" xfId="339" xr:uid="{00000000-0005-0000-0000-0000AD000000}"/>
    <cellStyle name="Normal 9 3 3" xfId="363" xr:uid="{00000000-0005-0000-0000-0000AD000000}"/>
    <cellStyle name="Normal 9 4" xfId="327" xr:uid="{00000000-0005-0000-0000-0000AA000000}"/>
    <cellStyle name="Normal 9 5" xfId="351" xr:uid="{00000000-0005-0000-0000-0000AA000000}"/>
    <cellStyle name="Normal 9 6" xfId="292" xr:uid="{00000000-0005-0000-0000-0000AA000000}"/>
    <cellStyle name="Note 2" xfId="87" xr:uid="{00000000-0005-0000-0000-0000AC000000}"/>
    <cellStyle name="Note 2 2" xfId="158" xr:uid="{00000000-0005-0000-0000-0000AD000000}"/>
    <cellStyle name="Note 2 3" xfId="285" xr:uid="{00000000-0005-0000-0000-0000B6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Output 2" xfId="286" xr:uid="{00000000-0005-0000-0000-0000B8000000}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ercentage difference 3" xfId="287" xr:uid="{00000000-0005-0000-0000-0000BB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itle 2 2" xfId="288" xr:uid="{00000000-0005-0000-0000-0000BE000000}"/>
    <cellStyle name="Total" xfId="17" builtinId="25" customBuiltin="1"/>
    <cellStyle name="Total 2" xfId="289" xr:uid="{00000000-0005-0000-0000-0000BF000000}"/>
    <cellStyle name="Warning Text" xfId="15" builtinId="11" customBuiltin="1"/>
    <cellStyle name="Warning Text 2" xfId="290" xr:uid="{00000000-0005-0000-0000-0000C000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-decembar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2,755.1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37.8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17.6 mil. € ili 0.6%.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188.6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2,986.0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41.0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22.1 mil. € ili 0.7% dok su u odnosu na isti period 2023. godine veći za 430.5 mil. € ili 16.8%.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decembar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230.9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3.2%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2024-12</v>
      </c>
      <c r="O6" s="128" t="str">
        <f>+CONCATENATE(N6,"p")</f>
        <v>2024-12p</v>
      </c>
      <c r="P6" s="116"/>
      <c r="Q6" s="116"/>
      <c r="R6" s="128" t="str">
        <f>+IF(Master!B3-10&gt;=0,CONCATENATE(Master!B4-1,"-",Master!B3),CONCATENATE(Master!B4-1,"-0",Master!B3))</f>
        <v>2023-12</v>
      </c>
      <c r="S6" s="116"/>
      <c r="T6" s="116"/>
    </row>
    <row r="7" spans="1:20">
      <c r="A7" s="129"/>
      <c r="B7" s="562" t="s">
        <v>691</v>
      </c>
      <c r="C7" s="563"/>
      <c r="D7" s="563"/>
      <c r="E7" s="563"/>
      <c r="F7" s="563"/>
      <c r="G7" s="571" t="s">
        <v>690</v>
      </c>
      <c r="H7" s="572"/>
      <c r="I7" s="572"/>
      <c r="J7" s="572"/>
      <c r="K7" s="572"/>
      <c r="L7" s="572"/>
      <c r="M7" s="573"/>
      <c r="N7" s="574" t="str">
        <f>+Master!G243</f>
        <v>Decembar</v>
      </c>
      <c r="O7" s="572"/>
      <c r="P7" s="572"/>
      <c r="Q7" s="572"/>
      <c r="R7" s="572"/>
      <c r="S7" s="572"/>
      <c r="T7" s="575"/>
    </row>
    <row r="8" spans="1:20">
      <c r="A8" s="129"/>
      <c r="B8" s="564"/>
      <c r="C8" s="565"/>
      <c r="D8" s="565"/>
      <c r="E8" s="565"/>
      <c r="F8" s="566"/>
      <c r="G8" s="130" t="str">
        <f>+Master!G26</f>
        <v>Ostvarenje</v>
      </c>
      <c r="H8" s="130" t="str">
        <f>+Master!G25</f>
        <v>Plan</v>
      </c>
      <c r="I8" s="558" t="str">
        <f>+Master!G261</f>
        <v>Odstupanje</v>
      </c>
      <c r="J8" s="558"/>
      <c r="K8" s="130" t="str">
        <f>+CONCATENATE(Master!G246," ",Master!B4-1)</f>
        <v>Jan - Dec 2023</v>
      </c>
      <c r="L8" s="558" t="str">
        <f>+I8</f>
        <v>Odstupanje</v>
      </c>
      <c r="M8" s="570"/>
      <c r="N8" s="131" t="str">
        <f>+G8</f>
        <v>Ostvarenje</v>
      </c>
      <c r="O8" s="130" t="str">
        <f>+H8</f>
        <v>Plan</v>
      </c>
      <c r="P8" s="558" t="str">
        <f>+I8</f>
        <v>Odstupanje</v>
      </c>
      <c r="Q8" s="558"/>
      <c r="R8" s="130" t="str">
        <f>+CONCATENATE(Master!G245," ",Master!B4-1)</f>
        <v>Decembar 2023</v>
      </c>
      <c r="S8" s="558" t="str">
        <f>+P8</f>
        <v>Odstupanje</v>
      </c>
      <c r="T8" s="559"/>
    </row>
    <row r="9" spans="1:20" ht="15.7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4" t="str">
        <f>+VLOOKUP($A10,Master!$D$30:$G$226,4,FALSE)</f>
        <v>Prihodi budžeta</v>
      </c>
      <c r="C10" s="605"/>
      <c r="D10" s="605"/>
      <c r="E10" s="605"/>
      <c r="F10" s="605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2" t="e">
        <f>+VLOOKUP($A18,Master!$D$30:$G$226,4,FALSE)</f>
        <v>#N/A</v>
      </c>
      <c r="C18" s="593"/>
      <c r="D18" s="593"/>
      <c r="E18" s="593"/>
      <c r="F18" s="593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2" t="str">
        <f>+VLOOKUP($A19,Master!$D$30:$G$226,4,FALSE)</f>
        <v>Ostali državni porezi</v>
      </c>
      <c r="C19" s="593"/>
      <c r="D19" s="593"/>
      <c r="E19" s="593"/>
      <c r="F19" s="593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2" t="str">
        <f>+VLOOKUP($A20,Master!$D$30:$G$226,4,FALSE)</f>
        <v>Doprinosi</v>
      </c>
      <c r="C20" s="603"/>
      <c r="D20" s="603"/>
      <c r="E20" s="603"/>
      <c r="F20" s="603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2" t="str">
        <f>+VLOOKUP($A21,Master!$D$30:$G$226,4,FALSE)</f>
        <v>Doprinosi za penzijsko i invalidsko osiguranje</v>
      </c>
      <c r="C21" s="593"/>
      <c r="D21" s="593"/>
      <c r="E21" s="593"/>
      <c r="F21" s="593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2" t="str">
        <f>+VLOOKUP($A22,Master!$D$30:$G$226,4,FALSE)</f>
        <v>Doprinosi za zdravstveno osiguranje</v>
      </c>
      <c r="C22" s="593"/>
      <c r="D22" s="593"/>
      <c r="E22" s="593"/>
      <c r="F22" s="593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2" t="str">
        <f>+VLOOKUP($A23,Master!$D$30:$G$226,4,FALSE)</f>
        <v>Doprinosi za osiguranje od nezaposlenosti</v>
      </c>
      <c r="C23" s="593"/>
      <c r="D23" s="593"/>
      <c r="E23" s="593"/>
      <c r="F23" s="593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2" t="str">
        <f>+VLOOKUP($A24,Master!$D$30:$G$226,4,FALSE)</f>
        <v>Ostali doprinosi</v>
      </c>
      <c r="C24" s="593"/>
      <c r="D24" s="593"/>
      <c r="E24" s="593"/>
      <c r="F24" s="593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4" t="str">
        <f>+VLOOKUP($A25,Master!$D$30:$G$226,4,FALSE)</f>
        <v>Takse</v>
      </c>
      <c r="C25" s="595"/>
      <c r="D25" s="595"/>
      <c r="E25" s="595"/>
      <c r="F25" s="595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4" t="str">
        <f>+VLOOKUP($A26,Master!$D$30:$G$226,4,FALSE)</f>
        <v>Naknade</v>
      </c>
      <c r="C26" s="595"/>
      <c r="D26" s="595"/>
      <c r="E26" s="595"/>
      <c r="F26" s="595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4" t="str">
        <f>+VLOOKUP($A27,Master!$D$30:$G$226,4,FALSE)</f>
        <v>Ostali prihodi</v>
      </c>
      <c r="C27" s="595"/>
      <c r="D27" s="595"/>
      <c r="E27" s="595"/>
      <c r="F27" s="595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4" t="str">
        <f>+VLOOKUP($A28,Master!$D$30:$G$226,4,FALSE)</f>
        <v>Primici od otplate kredita i sredstva prenesena iz prethodne godine</v>
      </c>
      <c r="C28" s="595"/>
      <c r="D28" s="595"/>
      <c r="E28" s="595"/>
      <c r="F28" s="595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6" t="str">
        <f>+VLOOKUP($A29,Master!$D$30:$G$226,4,FALSE)</f>
        <v>Donacije i transferi</v>
      </c>
      <c r="C29" s="597"/>
      <c r="D29" s="597"/>
      <c r="E29" s="597"/>
      <c r="F29" s="597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2" t="str">
        <f>+VLOOKUP($A30,Master!$D$30:$G$226,4,FALSE)</f>
        <v>Izdaci budžeta</v>
      </c>
      <c r="C30" s="583"/>
      <c r="D30" s="583"/>
      <c r="E30" s="583"/>
      <c r="F30" s="583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98" t="str">
        <f>+VLOOKUP($A31,Master!$D$30:$G$226,4,FALSE)</f>
        <v>Tekući izdaci</v>
      </c>
      <c r="C31" s="599"/>
      <c r="D31" s="599"/>
      <c r="E31" s="599"/>
      <c r="F31" s="599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0" t="str">
        <f>+VLOOKUP($A32,Master!$D$30:$G$226,4,FALSE)</f>
        <v>Tekuća budžetska potrošnja</v>
      </c>
      <c r="C32" s="601"/>
      <c r="D32" s="601"/>
      <c r="E32" s="601"/>
      <c r="F32" s="601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2" t="str">
        <f>+VLOOKUP($A33,Master!$D$30:$G$226,4,FALSE)</f>
        <v>Bruto zarade i doprinosi na teret poslodavca</v>
      </c>
      <c r="C33" s="593"/>
      <c r="D33" s="593"/>
      <c r="E33" s="593"/>
      <c r="F33" s="593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2" t="str">
        <f>+VLOOKUP($A34,Master!$D$30:$G$226,4,FALSE)</f>
        <v>Ostala lična primanja</v>
      </c>
      <c r="C34" s="593"/>
      <c r="D34" s="593"/>
      <c r="E34" s="593"/>
      <c r="F34" s="593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2" t="str">
        <f>+VLOOKUP($A35,Master!$D$30:$G$226,4,FALSE)</f>
        <v>Rashodi za materijal</v>
      </c>
      <c r="C35" s="593"/>
      <c r="D35" s="593"/>
      <c r="E35" s="593"/>
      <c r="F35" s="593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2" t="str">
        <f>+VLOOKUP($A36,Master!$D$30:$G$226,4,FALSE)</f>
        <v>Rashodi za usluge</v>
      </c>
      <c r="C36" s="593"/>
      <c r="D36" s="593"/>
      <c r="E36" s="593"/>
      <c r="F36" s="593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2" t="str">
        <f>+VLOOKUP($A37,Master!$D$30:$G$226,4,FALSE)</f>
        <v>Rashodi za tekuće održavanje</v>
      </c>
      <c r="C37" s="593"/>
      <c r="D37" s="593"/>
      <c r="E37" s="593"/>
      <c r="F37" s="593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2" t="str">
        <f>+VLOOKUP($A38,Master!$D$30:$G$226,4,FALSE)</f>
        <v>Kamate</v>
      </c>
      <c r="C38" s="593"/>
      <c r="D38" s="593"/>
      <c r="E38" s="593"/>
      <c r="F38" s="593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2" t="str">
        <f>+VLOOKUP($A39,Master!$D$30:$G$226,4,FALSE)</f>
        <v>Renta</v>
      </c>
      <c r="C39" s="593"/>
      <c r="D39" s="593"/>
      <c r="E39" s="593"/>
      <c r="F39" s="593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2" t="str">
        <f>+VLOOKUP($A40,Master!$D$30:$G$226,4,FALSE)</f>
        <v>Subvencije</v>
      </c>
      <c r="C40" s="593"/>
      <c r="D40" s="593"/>
      <c r="E40" s="593"/>
      <c r="F40" s="593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2" t="str">
        <f>+VLOOKUP($A41,Master!$D$30:$G$226,4,FALSE)</f>
        <v>Ostali izdaci</v>
      </c>
      <c r="C41" s="593"/>
      <c r="D41" s="593"/>
      <c r="E41" s="593"/>
      <c r="F41" s="593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2" t="e">
        <f>+VLOOKUP($A42,Master!$D$30:$G$226,4,FALSE)</f>
        <v>#N/A</v>
      </c>
      <c r="C42" s="593"/>
      <c r="D42" s="593"/>
      <c r="E42" s="593"/>
      <c r="F42" s="593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8" t="str">
        <f>+VLOOKUP($A43,Master!$D$30:$G$226,4,FALSE)</f>
        <v>Transferi za socijalnu zaštitu</v>
      </c>
      <c r="C43" s="589"/>
      <c r="D43" s="589"/>
      <c r="E43" s="589"/>
      <c r="F43" s="589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2" t="str">
        <f>+VLOOKUP($A44,Master!$D$30:$G$226,4,FALSE)</f>
        <v>Prava iz oblasti socijalne zaštite</v>
      </c>
      <c r="C44" s="593"/>
      <c r="D44" s="593"/>
      <c r="E44" s="593"/>
      <c r="F44" s="593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2" t="str">
        <f>+VLOOKUP($A45,Master!$D$30:$G$226,4,FALSE)</f>
        <v>Sredstva za tehnološke viškove</v>
      </c>
      <c r="C45" s="593"/>
      <c r="D45" s="593"/>
      <c r="E45" s="593"/>
      <c r="F45" s="593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2" t="str">
        <f>+VLOOKUP($A46,Master!$D$30:$G$226,4,FALSE)</f>
        <v>Prava iz oblasti penzijskog i invalidskog osiguranja</v>
      </c>
      <c r="C46" s="593"/>
      <c r="D46" s="593"/>
      <c r="E46" s="593"/>
      <c r="F46" s="593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2" t="str">
        <f>+VLOOKUP($A47,Master!$D$30:$G$226,4,FALSE)</f>
        <v>Ostala prava iz oblasti zdravstvene zaštite</v>
      </c>
      <c r="C47" s="593"/>
      <c r="D47" s="593"/>
      <c r="E47" s="593"/>
      <c r="F47" s="593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2" t="str">
        <f>+VLOOKUP($A48,Master!$D$30:$G$226,4,FALSE)</f>
        <v>Ostala prava iz zdravstvenog osiguranja</v>
      </c>
      <c r="C48" s="593"/>
      <c r="D48" s="593"/>
      <c r="E48" s="593"/>
      <c r="F48" s="593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0" t="str">
        <f>+VLOOKUP($A49,Master!$D$30:$G$226,4,FALSE)</f>
        <v xml:space="preserve">Transferi institucijama, pojedincima, nevladinom i javnom sektoru </v>
      </c>
      <c r="C49" s="591"/>
      <c r="D49" s="591"/>
      <c r="E49" s="591"/>
      <c r="F49" s="591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0" t="str">
        <f>+VLOOKUP($A50,Master!$D$30:$G$226,4,FALSE)</f>
        <v>Kapitalni izdaci</v>
      </c>
      <c r="C50" s="591"/>
      <c r="D50" s="591"/>
      <c r="E50" s="591"/>
      <c r="F50" s="591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0" t="str">
        <f>+VLOOKUP($A51,Master!$D$30:$G$226,4,FALSE)</f>
        <v>Pozajmice i krediti</v>
      </c>
      <c r="C51" s="561"/>
      <c r="D51" s="561"/>
      <c r="E51" s="561"/>
      <c r="F51" s="561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0" t="str">
        <f>+VLOOKUP($A52,Master!$D$30:$G$226,4,FALSE)</f>
        <v>Rezerve</v>
      </c>
      <c r="C52" s="561"/>
      <c r="D52" s="561"/>
      <c r="E52" s="561"/>
      <c r="F52" s="561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8" t="str">
        <f>+VLOOKUP($A53,Master!$D$30:$G$226,4,FALSE)</f>
        <v>Otplata garancija</v>
      </c>
      <c r="C53" s="579"/>
      <c r="D53" s="579"/>
      <c r="E53" s="579"/>
      <c r="F53" s="579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8" t="str">
        <f>+VLOOKUP($A54,Master!$D$30:$G$226,4,FALSE)</f>
        <v>Otplata obaveza iz prethodnog perioda</v>
      </c>
      <c r="C54" s="579"/>
      <c r="D54" s="579"/>
      <c r="E54" s="579"/>
      <c r="F54" s="579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8" t="str">
        <f>+VLOOKUP($A55,Master!$D$30:$G$228,4,FALSE)</f>
        <v>Neto povećanje obaveza</v>
      </c>
      <c r="C55" s="579"/>
      <c r="D55" s="579"/>
      <c r="E55" s="579"/>
      <c r="F55" s="579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4" t="str">
        <f>+VLOOKUP($A56,Master!$D$30:$G$226,4,FALSE)</f>
        <v>Suficit / deficit</v>
      </c>
      <c r="C56" s="585"/>
      <c r="D56" s="585"/>
      <c r="E56" s="585"/>
      <c r="F56" s="585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6" t="str">
        <f>+VLOOKUP($A57,Master!$D$30:$G$226,4,FALSE)</f>
        <v>Primarni suficit/deficit</v>
      </c>
      <c r="C57" s="587"/>
      <c r="D57" s="587"/>
      <c r="E57" s="587"/>
      <c r="F57" s="587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8" t="str">
        <f>+VLOOKUP($A58,Master!$D$30:$G$226,4,FALSE)</f>
        <v>Otplata dugova</v>
      </c>
      <c r="C58" s="589"/>
      <c r="D58" s="589"/>
      <c r="E58" s="589"/>
      <c r="F58" s="589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6" t="str">
        <f>+VLOOKUP($A59,Master!$D$30:$G$226,4,FALSE)</f>
        <v>Otplata hartija od vrijednosti i kredita rezidentima</v>
      </c>
      <c r="C59" s="577"/>
      <c r="D59" s="577"/>
      <c r="E59" s="577"/>
      <c r="F59" s="577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0" t="str">
        <f>+VLOOKUP($A60,Master!$D$30:$G$226,4,FALSE)</f>
        <v>Otplata hartija od vrijednosti i kredita nerezidentima</v>
      </c>
      <c r="C60" s="561"/>
      <c r="D60" s="561"/>
      <c r="E60" s="561"/>
      <c r="F60" s="561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0" t="str">
        <f>+VLOOKUP($A62,Master!$D$30:$G$226,4,FALSE)</f>
        <v>Nedostajuća sredstva</v>
      </c>
      <c r="C62" s="581"/>
      <c r="D62" s="581"/>
      <c r="E62" s="581"/>
      <c r="F62" s="581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2" t="str">
        <f>+VLOOKUP($A63,Master!$D$30:$G$226,4,FALSE)</f>
        <v>Finansiranje</v>
      </c>
      <c r="C63" s="583"/>
      <c r="D63" s="583"/>
      <c r="E63" s="583"/>
      <c r="F63" s="583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6" t="str">
        <f>+VLOOKUP($A64,Master!$D$30:$G$226,4,FALSE)</f>
        <v>Pozajmice i krediti od domaćih izvora</v>
      </c>
      <c r="C64" s="577"/>
      <c r="D64" s="577"/>
      <c r="E64" s="577"/>
      <c r="F64" s="577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0" t="str">
        <f>+VLOOKUP($A65,Master!$D$30:$G$226,4,FALSE)</f>
        <v>Pozajmice i krediti od inostranih izvora</v>
      </c>
      <c r="C65" s="561"/>
      <c r="D65" s="561"/>
      <c r="E65" s="561"/>
      <c r="F65" s="561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0" t="str">
        <f>+VLOOKUP($A66,Master!$D$30:$G$226,4,FALSE)</f>
        <v>Primici od prodaje imovine</v>
      </c>
      <c r="C66" s="561"/>
      <c r="D66" s="561"/>
      <c r="E66" s="561"/>
      <c r="F66" s="561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2" t="s">
        <v>553</v>
      </c>
      <c r="C7" s="563"/>
      <c r="D7" s="563"/>
      <c r="E7" s="563"/>
      <c r="F7" s="563"/>
      <c r="G7" s="571">
        <v>2018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">
        <v>419</v>
      </c>
      <c r="T7" s="221">
        <v>4663130000</v>
      </c>
    </row>
    <row r="8" spans="1:20" ht="16.5" customHeight="1">
      <c r="A8" s="129"/>
      <c r="B8" s="564"/>
      <c r="C8" s="565"/>
      <c r="D8" s="565"/>
      <c r="E8" s="565"/>
      <c r="F8" s="56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1" t="s">
        <v>806</v>
      </c>
      <c r="T8" s="575"/>
    </row>
    <row r="9" spans="1:20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4" t="s">
        <v>680</v>
      </c>
      <c r="C10" s="605"/>
      <c r="D10" s="605"/>
      <c r="E10" s="605"/>
      <c r="F10" s="605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6" t="s">
        <v>21</v>
      </c>
      <c r="C11" s="607"/>
      <c r="D11" s="607"/>
      <c r="E11" s="607"/>
      <c r="F11" s="607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2" t="s">
        <v>23</v>
      </c>
      <c r="C12" s="593"/>
      <c r="D12" s="593"/>
      <c r="E12" s="593"/>
      <c r="F12" s="593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2" t="s">
        <v>25</v>
      </c>
      <c r="C13" s="593"/>
      <c r="D13" s="593"/>
      <c r="E13" s="593"/>
      <c r="F13" s="593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2" t="s">
        <v>27</v>
      </c>
      <c r="C14" s="593"/>
      <c r="D14" s="593"/>
      <c r="E14" s="593"/>
      <c r="F14" s="593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2" t="s">
        <v>29</v>
      </c>
      <c r="C15" s="593"/>
      <c r="D15" s="593"/>
      <c r="E15" s="593"/>
      <c r="F15" s="593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2" t="s">
        <v>31</v>
      </c>
      <c r="C16" s="593"/>
      <c r="D16" s="593"/>
      <c r="E16" s="593"/>
      <c r="F16" s="593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2" t="s">
        <v>33</v>
      </c>
      <c r="C17" s="593"/>
      <c r="D17" s="593"/>
      <c r="E17" s="593"/>
      <c r="F17" s="593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2" t="s">
        <v>721</v>
      </c>
      <c r="C18" s="593"/>
      <c r="D18" s="593"/>
      <c r="E18" s="593"/>
      <c r="F18" s="593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2" t="s">
        <v>37</v>
      </c>
      <c r="C19" s="603"/>
      <c r="D19" s="603"/>
      <c r="E19" s="603"/>
      <c r="F19" s="603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2" t="s">
        <v>39</v>
      </c>
      <c r="C20" s="593"/>
      <c r="D20" s="593"/>
      <c r="E20" s="593"/>
      <c r="F20" s="593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2" t="s">
        <v>41</v>
      </c>
      <c r="C21" s="593"/>
      <c r="D21" s="593"/>
      <c r="E21" s="593"/>
      <c r="F21" s="593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2" t="s">
        <v>43</v>
      </c>
      <c r="C22" s="593"/>
      <c r="D22" s="593"/>
      <c r="E22" s="593"/>
      <c r="F22" s="593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2" t="s">
        <v>45</v>
      </c>
      <c r="C23" s="593"/>
      <c r="D23" s="593"/>
      <c r="E23" s="593"/>
      <c r="F23" s="593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4" t="s">
        <v>47</v>
      </c>
      <c r="C24" s="595"/>
      <c r="D24" s="595"/>
      <c r="E24" s="595"/>
      <c r="F24" s="595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4" t="s">
        <v>61</v>
      </c>
      <c r="C25" s="595"/>
      <c r="D25" s="595"/>
      <c r="E25" s="595"/>
      <c r="F25" s="595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4" t="s">
        <v>81</v>
      </c>
      <c r="C26" s="595"/>
      <c r="D26" s="595"/>
      <c r="E26" s="595"/>
      <c r="F26" s="595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4" t="s">
        <v>99</v>
      </c>
      <c r="C27" s="595"/>
      <c r="D27" s="595"/>
      <c r="E27" s="595"/>
      <c r="F27" s="595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6" t="s">
        <v>105</v>
      </c>
      <c r="C28" s="597"/>
      <c r="D28" s="597"/>
      <c r="E28" s="597"/>
      <c r="F28" s="597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2" t="s">
        <v>801</v>
      </c>
      <c r="C29" s="583"/>
      <c r="D29" s="583"/>
      <c r="E29" s="583"/>
      <c r="F29" s="583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98" t="s">
        <v>773</v>
      </c>
      <c r="C30" s="599"/>
      <c r="D30" s="599"/>
      <c r="E30" s="599"/>
      <c r="F30" s="599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0" t="s">
        <v>120</v>
      </c>
      <c r="C31" s="601"/>
      <c r="D31" s="601"/>
      <c r="E31" s="601"/>
      <c r="F31" s="601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2" t="s">
        <v>122</v>
      </c>
      <c r="C32" s="593"/>
      <c r="D32" s="593"/>
      <c r="E32" s="593"/>
      <c r="F32" s="593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2" t="s">
        <v>133</v>
      </c>
      <c r="C33" s="593"/>
      <c r="D33" s="593"/>
      <c r="E33" s="593"/>
      <c r="F33" s="593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2" t="s">
        <v>148</v>
      </c>
      <c r="C34" s="593"/>
      <c r="D34" s="593"/>
      <c r="E34" s="593"/>
      <c r="F34" s="593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2" t="s">
        <v>162</v>
      </c>
      <c r="C35" s="593"/>
      <c r="D35" s="593"/>
      <c r="E35" s="593"/>
      <c r="F35" s="593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2" t="s">
        <v>182</v>
      </c>
      <c r="C36" s="593"/>
      <c r="D36" s="593"/>
      <c r="E36" s="593"/>
      <c r="F36" s="593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2" t="s">
        <v>190</v>
      </c>
      <c r="C37" s="593"/>
      <c r="D37" s="593"/>
      <c r="E37" s="593"/>
      <c r="F37" s="593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2" t="s">
        <v>196</v>
      </c>
      <c r="C38" s="593"/>
      <c r="D38" s="593"/>
      <c r="E38" s="593"/>
      <c r="F38" s="593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2" t="s">
        <v>204</v>
      </c>
      <c r="C39" s="593"/>
      <c r="D39" s="593"/>
      <c r="E39" s="593"/>
      <c r="F39" s="593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2" t="s">
        <v>212</v>
      </c>
      <c r="C40" s="593"/>
      <c r="D40" s="593"/>
      <c r="E40" s="593"/>
      <c r="F40" s="593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2" t="s">
        <v>802</v>
      </c>
      <c r="C41" s="593"/>
      <c r="D41" s="593"/>
      <c r="E41" s="593"/>
      <c r="F41" s="593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8" t="s">
        <v>230</v>
      </c>
      <c r="C42" s="589"/>
      <c r="D42" s="589"/>
      <c r="E42" s="589"/>
      <c r="F42" s="589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2" t="s">
        <v>232</v>
      </c>
      <c r="C43" s="593"/>
      <c r="D43" s="593"/>
      <c r="E43" s="593"/>
      <c r="F43" s="593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2" t="s">
        <v>248</v>
      </c>
      <c r="C44" s="593"/>
      <c r="D44" s="593"/>
      <c r="E44" s="593"/>
      <c r="F44" s="593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2" t="s">
        <v>259</v>
      </c>
      <c r="C45" s="593"/>
      <c r="D45" s="593"/>
      <c r="E45" s="593"/>
      <c r="F45" s="593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2" t="s">
        <v>274</v>
      </c>
      <c r="C46" s="593"/>
      <c r="D46" s="593"/>
      <c r="E46" s="593"/>
      <c r="F46" s="593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1" t="s">
        <v>278</v>
      </c>
      <c r="C47" s="672"/>
      <c r="D47" s="672"/>
      <c r="E47" s="672"/>
      <c r="F47" s="672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0" t="s">
        <v>286</v>
      </c>
      <c r="C48" s="591"/>
      <c r="D48" s="591"/>
      <c r="E48" s="591"/>
      <c r="F48" s="591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0" t="s">
        <v>320</v>
      </c>
      <c r="C49" s="591"/>
      <c r="D49" s="591"/>
      <c r="E49" s="591"/>
      <c r="F49" s="591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4" t="s">
        <v>113</v>
      </c>
      <c r="C50" s="615"/>
      <c r="D50" s="615"/>
      <c r="E50" s="615"/>
      <c r="F50" s="615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0" t="s">
        <v>366</v>
      </c>
      <c r="C51" s="561"/>
      <c r="D51" s="561"/>
      <c r="E51" s="561"/>
      <c r="F51" s="561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8" t="s">
        <v>359</v>
      </c>
      <c r="C52" s="579"/>
      <c r="D52" s="579"/>
      <c r="E52" s="579"/>
      <c r="F52" s="579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1" t="s">
        <v>794</v>
      </c>
      <c r="C53" s="622"/>
      <c r="D53" s="622"/>
      <c r="E53" s="622"/>
      <c r="F53" s="622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3" t="s">
        <v>684</v>
      </c>
      <c r="C54" s="624"/>
      <c r="D54" s="624"/>
      <c r="E54" s="624"/>
      <c r="F54" s="624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4" t="s">
        <v>545</v>
      </c>
      <c r="C55" s="585"/>
      <c r="D55" s="585"/>
      <c r="E55" s="585"/>
      <c r="F55" s="585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6" t="s">
        <v>793</v>
      </c>
      <c r="C57" s="587"/>
      <c r="D57" s="587"/>
      <c r="E57" s="587"/>
      <c r="F57" s="587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8" t="s">
        <v>352</v>
      </c>
      <c r="C58" s="609"/>
      <c r="D58" s="609"/>
      <c r="E58" s="609"/>
      <c r="F58" s="609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6" t="s">
        <v>355</v>
      </c>
      <c r="C59" s="577"/>
      <c r="D59" s="577"/>
      <c r="E59" s="577"/>
      <c r="F59" s="577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0" t="s">
        <v>357</v>
      </c>
      <c r="C60" s="561"/>
      <c r="D60" s="561"/>
      <c r="E60" s="561"/>
      <c r="F60" s="561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9" t="s">
        <v>336</v>
      </c>
      <c r="C61" s="670"/>
      <c r="D61" s="670"/>
      <c r="E61" s="670"/>
      <c r="F61" s="670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0" t="s">
        <v>543</v>
      </c>
      <c r="C62" s="581"/>
      <c r="D62" s="581"/>
      <c r="E62" s="581"/>
      <c r="F62" s="581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2" t="s">
        <v>544</v>
      </c>
      <c r="C63" s="583"/>
      <c r="D63" s="583"/>
      <c r="E63" s="583"/>
      <c r="F63" s="583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6" t="s">
        <v>114</v>
      </c>
      <c r="C64" s="577"/>
      <c r="D64" s="577"/>
      <c r="E64" s="577"/>
      <c r="F64" s="577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0" t="s">
        <v>116</v>
      </c>
      <c r="C65" s="561"/>
      <c r="D65" s="561"/>
      <c r="E65" s="561"/>
      <c r="F65" s="561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0" t="s">
        <v>93</v>
      </c>
      <c r="C66" s="561"/>
      <c r="D66" s="561"/>
      <c r="E66" s="561"/>
      <c r="F66" s="561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1" t="s">
        <v>551</v>
      </c>
      <c r="C103" s="632"/>
      <c r="D103" s="632"/>
      <c r="E103" s="632"/>
      <c r="F103" s="632"/>
      <c r="G103" s="616">
        <v>2018</v>
      </c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18"/>
      <c r="S103" s="96" t="str">
        <f>+S7</f>
        <v>BDP</v>
      </c>
      <c r="T103" s="97">
        <f>+T7</f>
        <v>4663130000</v>
      </c>
    </row>
    <row r="104" spans="1:21" ht="15.75" customHeight="1">
      <c r="B104" s="633"/>
      <c r="C104" s="634"/>
      <c r="D104" s="634"/>
      <c r="E104" s="634"/>
      <c r="F104" s="635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6" t="s">
        <v>806</v>
      </c>
      <c r="T104" s="618">
        <f>+T8</f>
        <v>0</v>
      </c>
    </row>
    <row r="105" spans="1:21" ht="13.5" thickBot="1">
      <c r="B105" s="636"/>
      <c r="C105" s="637"/>
      <c r="D105" s="637"/>
      <c r="E105" s="637"/>
      <c r="F105" s="638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1" t="s">
        <v>680</v>
      </c>
      <c r="C106" s="662"/>
      <c r="D106" s="662"/>
      <c r="E106" s="662"/>
      <c r="F106" s="662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7" t="s">
        <v>21</v>
      </c>
      <c r="C107" s="628"/>
      <c r="D107" s="628"/>
      <c r="E107" s="628"/>
      <c r="F107" s="628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9" t="s">
        <v>23</v>
      </c>
      <c r="C108" s="630"/>
      <c r="D108" s="630"/>
      <c r="E108" s="630"/>
      <c r="F108" s="630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9" t="s">
        <v>25</v>
      </c>
      <c r="C109" s="630"/>
      <c r="D109" s="630"/>
      <c r="E109" s="630"/>
      <c r="F109" s="630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9" t="s">
        <v>27</v>
      </c>
      <c r="C110" s="630"/>
      <c r="D110" s="630"/>
      <c r="E110" s="630"/>
      <c r="F110" s="630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9" t="s">
        <v>29</v>
      </c>
      <c r="C111" s="630"/>
      <c r="D111" s="630"/>
      <c r="E111" s="630"/>
      <c r="F111" s="630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9" t="s">
        <v>31</v>
      </c>
      <c r="C112" s="630"/>
      <c r="D112" s="630"/>
      <c r="E112" s="630"/>
      <c r="F112" s="630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9" t="s">
        <v>33</v>
      </c>
      <c r="C113" s="630"/>
      <c r="D113" s="630"/>
      <c r="E113" s="630"/>
      <c r="F113" s="630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9" t="s">
        <v>721</v>
      </c>
      <c r="C114" s="630"/>
      <c r="D114" s="630"/>
      <c r="E114" s="630"/>
      <c r="F114" s="630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9" t="s">
        <v>37</v>
      </c>
      <c r="C115" s="660"/>
      <c r="D115" s="660"/>
      <c r="E115" s="660"/>
      <c r="F115" s="660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9" t="s">
        <v>39</v>
      </c>
      <c r="C116" s="630"/>
      <c r="D116" s="630"/>
      <c r="E116" s="630"/>
      <c r="F116" s="630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9" t="s">
        <v>41</v>
      </c>
      <c r="C117" s="630"/>
      <c r="D117" s="630"/>
      <c r="E117" s="630"/>
      <c r="F117" s="630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9" t="s">
        <v>43</v>
      </c>
      <c r="C118" s="630"/>
      <c r="D118" s="630"/>
      <c r="E118" s="630"/>
      <c r="F118" s="630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9" t="s">
        <v>45</v>
      </c>
      <c r="C119" s="630"/>
      <c r="D119" s="630"/>
      <c r="E119" s="630"/>
      <c r="F119" s="630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9" t="s">
        <v>47</v>
      </c>
      <c r="C120" s="640"/>
      <c r="D120" s="640"/>
      <c r="E120" s="640"/>
      <c r="F120" s="640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9" t="s">
        <v>61</v>
      </c>
      <c r="C121" s="640"/>
      <c r="D121" s="640"/>
      <c r="E121" s="640"/>
      <c r="F121" s="640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9" t="s">
        <v>81</v>
      </c>
      <c r="C122" s="640"/>
      <c r="D122" s="640"/>
      <c r="E122" s="640"/>
      <c r="F122" s="640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9" t="s">
        <v>99</v>
      </c>
      <c r="C123" s="640"/>
      <c r="D123" s="640"/>
      <c r="E123" s="640"/>
      <c r="F123" s="640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1" t="s">
        <v>105</v>
      </c>
      <c r="C124" s="642"/>
      <c r="D124" s="642"/>
      <c r="E124" s="642"/>
      <c r="F124" s="642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5" t="s">
        <v>808</v>
      </c>
      <c r="C125" s="626"/>
      <c r="D125" s="626"/>
      <c r="E125" s="626"/>
      <c r="F125" s="626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7" t="s">
        <v>773</v>
      </c>
      <c r="C126" s="668"/>
      <c r="D126" s="668"/>
      <c r="E126" s="668"/>
      <c r="F126" s="668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3" t="s">
        <v>120</v>
      </c>
      <c r="C127" s="644"/>
      <c r="D127" s="644"/>
      <c r="E127" s="644"/>
      <c r="F127" s="644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9" t="s">
        <v>122</v>
      </c>
      <c r="C128" s="630"/>
      <c r="D128" s="630"/>
      <c r="E128" s="630"/>
      <c r="F128" s="630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9" t="s">
        <v>133</v>
      </c>
      <c r="C129" s="630"/>
      <c r="D129" s="630"/>
      <c r="E129" s="630"/>
      <c r="F129" s="630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9" t="s">
        <v>148</v>
      </c>
      <c r="C130" s="630"/>
      <c r="D130" s="630"/>
      <c r="E130" s="630"/>
      <c r="F130" s="630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9" t="s">
        <v>162</v>
      </c>
      <c r="C131" s="630"/>
      <c r="D131" s="630"/>
      <c r="E131" s="630"/>
      <c r="F131" s="630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9" t="s">
        <v>182</v>
      </c>
      <c r="C132" s="630"/>
      <c r="D132" s="630"/>
      <c r="E132" s="630"/>
      <c r="F132" s="630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9" t="s">
        <v>190</v>
      </c>
      <c r="C133" s="630"/>
      <c r="D133" s="630"/>
      <c r="E133" s="630"/>
      <c r="F133" s="630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9" t="s">
        <v>196</v>
      </c>
      <c r="C134" s="630"/>
      <c r="D134" s="630"/>
      <c r="E134" s="630"/>
      <c r="F134" s="630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9" t="s">
        <v>204</v>
      </c>
      <c r="C135" s="630"/>
      <c r="D135" s="630"/>
      <c r="E135" s="630"/>
      <c r="F135" s="630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9" t="s">
        <v>212</v>
      </c>
      <c r="C136" s="630"/>
      <c r="D136" s="630"/>
      <c r="E136" s="630"/>
      <c r="F136" s="630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9" t="s">
        <v>802</v>
      </c>
      <c r="C137" s="630"/>
      <c r="D137" s="630"/>
      <c r="E137" s="630"/>
      <c r="F137" s="630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49" t="s">
        <v>230</v>
      </c>
      <c r="C138" s="650"/>
      <c r="D138" s="650"/>
      <c r="E138" s="650"/>
      <c r="F138" s="650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9" t="s">
        <v>232</v>
      </c>
      <c r="C139" s="630"/>
      <c r="D139" s="630"/>
      <c r="E139" s="630"/>
      <c r="F139" s="630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9" t="s">
        <v>248</v>
      </c>
      <c r="C140" s="630"/>
      <c r="D140" s="630"/>
      <c r="E140" s="630"/>
      <c r="F140" s="630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9" t="s">
        <v>259</v>
      </c>
      <c r="C141" s="630"/>
      <c r="D141" s="630"/>
      <c r="E141" s="630"/>
      <c r="F141" s="630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9" t="s">
        <v>274</v>
      </c>
      <c r="C142" s="630"/>
      <c r="D142" s="630"/>
      <c r="E142" s="630"/>
      <c r="F142" s="630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9" t="s">
        <v>278</v>
      </c>
      <c r="C143" s="630"/>
      <c r="D143" s="630"/>
      <c r="E143" s="630"/>
      <c r="F143" s="630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5" t="s">
        <v>286</v>
      </c>
      <c r="C144" s="646"/>
      <c r="D144" s="646"/>
      <c r="E144" s="646"/>
      <c r="F144" s="646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5" t="s">
        <v>809</v>
      </c>
      <c r="C145" s="646"/>
      <c r="D145" s="646"/>
      <c r="E145" s="646"/>
      <c r="F145" s="646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7" t="s">
        <v>113</v>
      </c>
      <c r="C146" s="648"/>
      <c r="D146" s="648"/>
      <c r="E146" s="648"/>
      <c r="F146" s="648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7" t="s">
        <v>366</v>
      </c>
      <c r="C147" s="648"/>
      <c r="D147" s="648"/>
      <c r="E147" s="648"/>
      <c r="F147" s="648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7" t="s">
        <v>359</v>
      </c>
      <c r="C148" s="648"/>
      <c r="D148" s="648"/>
      <c r="E148" s="648"/>
      <c r="F148" s="648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5" t="s">
        <v>545</v>
      </c>
      <c r="C150" s="656"/>
      <c r="D150" s="656"/>
      <c r="E150" s="656"/>
      <c r="F150" s="656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7" t="s">
        <v>810</v>
      </c>
      <c r="C151" s="658"/>
      <c r="D151" s="658"/>
      <c r="E151" s="658"/>
      <c r="F151" s="658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49" t="s">
        <v>352</v>
      </c>
      <c r="C152" s="650"/>
      <c r="D152" s="650"/>
      <c r="E152" s="650"/>
      <c r="F152" s="650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3" t="s">
        <v>355</v>
      </c>
      <c r="C153" s="654"/>
      <c r="D153" s="654"/>
      <c r="E153" s="654"/>
      <c r="F153" s="654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7" t="s">
        <v>357</v>
      </c>
      <c r="C154" s="648"/>
      <c r="D154" s="648"/>
      <c r="E154" s="648"/>
      <c r="F154" s="648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7" t="s">
        <v>365</v>
      </c>
      <c r="C155" s="648"/>
      <c r="D155" s="648"/>
      <c r="E155" s="648"/>
      <c r="F155" s="648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1" t="s">
        <v>543</v>
      </c>
      <c r="C157" s="652"/>
      <c r="D157" s="652"/>
      <c r="E157" s="652"/>
      <c r="F157" s="652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5" t="s">
        <v>544</v>
      </c>
      <c r="C158" s="626"/>
      <c r="D158" s="626"/>
      <c r="E158" s="626"/>
      <c r="F158" s="626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3" t="s">
        <v>114</v>
      </c>
      <c r="C159" s="654"/>
      <c r="D159" s="654"/>
      <c r="E159" s="654"/>
      <c r="F159" s="654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7" t="s">
        <v>116</v>
      </c>
      <c r="C160" s="648"/>
      <c r="D160" s="648"/>
      <c r="E160" s="648"/>
      <c r="F160" s="648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7" t="s">
        <v>93</v>
      </c>
      <c r="C161" s="648"/>
      <c r="D161" s="648"/>
      <c r="E161" s="648"/>
      <c r="F161" s="648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6" t="s">
        <v>554</v>
      </c>
      <c r="F6" s="673">
        <v>2006</v>
      </c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5"/>
      <c r="R6" s="673">
        <v>2007</v>
      </c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5"/>
      <c r="AD6" s="673">
        <v>2008</v>
      </c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5"/>
      <c r="AP6" s="673">
        <v>2009</v>
      </c>
      <c r="AQ6" s="674"/>
      <c r="AR6" s="674"/>
      <c r="AS6" s="674"/>
      <c r="AT6" s="674"/>
      <c r="AU6" s="674"/>
      <c r="AV6" s="674"/>
      <c r="AW6" s="674"/>
      <c r="AX6" s="674"/>
      <c r="AY6" s="674"/>
      <c r="AZ6" s="674"/>
      <c r="BA6" s="675"/>
      <c r="BB6" s="673">
        <v>2010</v>
      </c>
      <c r="BC6" s="674"/>
      <c r="BD6" s="674"/>
      <c r="BE6" s="674"/>
      <c r="BF6" s="674"/>
      <c r="BG6" s="674"/>
      <c r="BH6" s="674"/>
      <c r="BI6" s="674"/>
      <c r="BJ6" s="674"/>
      <c r="BK6" s="674"/>
      <c r="BL6" s="674"/>
      <c r="BM6" s="675"/>
      <c r="BN6" s="673">
        <v>2011</v>
      </c>
      <c r="BO6" s="674"/>
      <c r="BP6" s="674"/>
      <c r="BQ6" s="674"/>
      <c r="BR6" s="674"/>
      <c r="BS6" s="674"/>
      <c r="BT6" s="674"/>
      <c r="BU6" s="674"/>
      <c r="BV6" s="674"/>
      <c r="BW6" s="674"/>
      <c r="BX6" s="674"/>
      <c r="BY6" s="675"/>
      <c r="BZ6" s="674">
        <v>2012</v>
      </c>
      <c r="CA6" s="674"/>
      <c r="CB6" s="674"/>
      <c r="CC6" s="674"/>
      <c r="CD6" s="674"/>
      <c r="CE6" s="674"/>
      <c r="CF6" s="674"/>
      <c r="CG6" s="674"/>
      <c r="CH6" s="674"/>
      <c r="CI6" s="674"/>
      <c r="CJ6" s="674"/>
      <c r="CK6" s="674"/>
      <c r="CL6" s="673">
        <v>2013</v>
      </c>
      <c r="CM6" s="674"/>
      <c r="CN6" s="674"/>
      <c r="CO6" s="674"/>
      <c r="CP6" s="674"/>
      <c r="CQ6" s="674"/>
      <c r="CR6" s="674"/>
      <c r="CS6" s="674"/>
      <c r="CT6" s="674"/>
      <c r="CU6" s="674"/>
      <c r="CV6" s="674"/>
      <c r="CW6" s="675"/>
      <c r="CX6" s="673">
        <v>2014</v>
      </c>
      <c r="CY6" s="674"/>
      <c r="CZ6" s="674"/>
      <c r="DA6" s="674"/>
      <c r="DB6" s="674"/>
      <c r="DC6" s="674"/>
      <c r="DD6" s="674"/>
      <c r="DE6" s="674"/>
      <c r="DF6" s="674"/>
      <c r="DG6" s="674"/>
      <c r="DH6" s="674"/>
      <c r="DI6" s="675"/>
      <c r="DJ6" s="673">
        <v>2015</v>
      </c>
      <c r="DK6" s="674"/>
      <c r="DL6" s="674"/>
      <c r="DM6" s="674"/>
      <c r="DN6" s="674"/>
      <c r="DO6" s="674"/>
      <c r="DP6" s="674"/>
      <c r="DQ6" s="674"/>
      <c r="DR6" s="674"/>
      <c r="DS6" s="674"/>
      <c r="DT6" s="674"/>
      <c r="DU6" s="675"/>
    </row>
    <row r="7" spans="1:321">
      <c r="E7" s="676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6" t="s">
        <v>675</v>
      </c>
      <c r="F214" s="673">
        <v>2006</v>
      </c>
      <c r="G214" s="674"/>
      <c r="H214" s="674"/>
      <c r="I214" s="674"/>
      <c r="J214" s="674"/>
      <c r="K214" s="674"/>
      <c r="L214" s="674"/>
      <c r="M214" s="674"/>
      <c r="N214" s="674"/>
      <c r="O214" s="674"/>
      <c r="P214" s="674"/>
      <c r="Q214" s="675"/>
      <c r="R214" s="673">
        <v>2007</v>
      </c>
      <c r="S214" s="674"/>
      <c r="T214" s="674"/>
      <c r="U214" s="674"/>
      <c r="V214" s="674"/>
      <c r="W214" s="674"/>
      <c r="X214" s="674"/>
      <c r="Y214" s="674"/>
      <c r="Z214" s="674"/>
      <c r="AA214" s="674"/>
      <c r="AB214" s="674"/>
      <c r="AC214" s="675"/>
      <c r="AD214" s="673">
        <v>2008</v>
      </c>
      <c r="AE214" s="674"/>
      <c r="AF214" s="674"/>
      <c r="AG214" s="674"/>
      <c r="AH214" s="674"/>
      <c r="AI214" s="674"/>
      <c r="AJ214" s="674"/>
      <c r="AK214" s="674"/>
      <c r="AL214" s="674"/>
      <c r="AM214" s="674"/>
      <c r="AN214" s="674"/>
      <c r="AO214" s="675"/>
      <c r="AP214" s="673">
        <v>2009</v>
      </c>
      <c r="AQ214" s="674"/>
      <c r="AR214" s="674"/>
      <c r="AS214" s="674"/>
      <c r="AT214" s="674"/>
      <c r="AU214" s="674"/>
      <c r="AV214" s="674"/>
      <c r="AW214" s="674"/>
      <c r="AX214" s="674"/>
      <c r="AY214" s="674"/>
      <c r="AZ214" s="674"/>
      <c r="BA214" s="675"/>
      <c r="BB214" s="673">
        <v>2010</v>
      </c>
      <c r="BC214" s="674"/>
      <c r="BD214" s="674"/>
      <c r="BE214" s="674"/>
      <c r="BF214" s="674"/>
      <c r="BG214" s="674"/>
      <c r="BH214" s="674"/>
      <c r="BI214" s="674"/>
      <c r="BJ214" s="674"/>
      <c r="BK214" s="674"/>
      <c r="BL214" s="674"/>
      <c r="BM214" s="675"/>
      <c r="BN214" s="673">
        <v>2011</v>
      </c>
      <c r="BO214" s="674"/>
      <c r="BP214" s="674"/>
      <c r="BQ214" s="674"/>
      <c r="BR214" s="674"/>
      <c r="BS214" s="674"/>
      <c r="BT214" s="674"/>
      <c r="BU214" s="674"/>
      <c r="BV214" s="674"/>
      <c r="BW214" s="674"/>
      <c r="BX214" s="674"/>
      <c r="BY214" s="675"/>
      <c r="BZ214" s="674">
        <v>2012</v>
      </c>
      <c r="CA214" s="674"/>
      <c r="CB214" s="674"/>
      <c r="CC214" s="674"/>
      <c r="CD214" s="674"/>
      <c r="CE214" s="674"/>
      <c r="CF214" s="674"/>
      <c r="CG214" s="674"/>
      <c r="CH214" s="674"/>
      <c r="CI214" s="674"/>
      <c r="CJ214" s="674"/>
      <c r="CK214" s="674"/>
      <c r="CL214" s="673">
        <v>2013</v>
      </c>
      <c r="CM214" s="674"/>
      <c r="CN214" s="674"/>
      <c r="CO214" s="674"/>
      <c r="CP214" s="674"/>
      <c r="CQ214" s="674"/>
      <c r="CR214" s="674"/>
      <c r="CS214" s="674"/>
      <c r="CT214" s="674"/>
      <c r="CU214" s="674"/>
      <c r="CV214" s="674"/>
      <c r="CW214" s="675"/>
      <c r="CX214" s="673">
        <v>2014</v>
      </c>
      <c r="CY214" s="674"/>
      <c r="CZ214" s="674"/>
      <c r="DA214" s="674"/>
      <c r="DB214" s="674"/>
      <c r="DC214" s="674"/>
      <c r="DD214" s="674"/>
      <c r="DE214" s="674"/>
      <c r="DF214" s="674"/>
      <c r="DG214" s="674"/>
      <c r="DH214" s="674"/>
      <c r="DI214" s="675"/>
      <c r="DJ214" s="673">
        <v>2015</v>
      </c>
      <c r="DK214" s="674"/>
      <c r="DL214" s="674"/>
      <c r="DM214" s="674"/>
      <c r="DN214" s="674"/>
      <c r="DO214" s="674"/>
      <c r="DP214" s="674"/>
      <c r="DQ214" s="674"/>
      <c r="DR214" s="674"/>
      <c r="DS214" s="674"/>
      <c r="DT214" s="674"/>
      <c r="DU214" s="675"/>
    </row>
    <row r="215" spans="1:187">
      <c r="E215" s="676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Decembar</v>
      </c>
    </row>
    <row r="246" spans="4:7">
      <c r="D246" s="41"/>
      <c r="G246" s="44" t="str">
        <f>+CONCATENATE("Jan - ",LEFT(G245,3))</f>
        <v>Jan - Dec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Dec</v>
      </c>
      <c r="F254" s="6" t="str">
        <f>+CONCATENATE("Analytics for period ",G246)</f>
        <v>Analytics for period Jan - Dec</v>
      </c>
      <c r="G254" s="44" t="str">
        <f>+IF(ISBLANK(IF($B$2=1,E254,F254)),"",IF($B$2=1,E254,F254))</f>
        <v>Analitika za period Jan - Dec</v>
      </c>
    </row>
    <row r="255" spans="4:7">
      <c r="E255" s="5" t="str">
        <f>+CONCATENATE("Analitika za period ",G245)</f>
        <v>Analitika za period Decembar</v>
      </c>
      <c r="F255" s="6" t="str">
        <f>+CONCATENATE("Analytics for period ",G245)</f>
        <v>Analytics for period Decembar</v>
      </c>
      <c r="G255" s="44" t="str">
        <f>+IF(ISBLANK(IF($B$2=1,E255,F255)),"",IF($B$2=1,E255,F255))</f>
        <v>Analitika za period Decembar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Decembar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Decembar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Decembar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Decembar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Decembar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Decembar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H6" sqref="H6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Decembar</v>
      </c>
      <c r="G11" s="122" t="str">
        <f>+Master!G274</f>
        <v>Prihodi za period Januar - Decembar</v>
      </c>
      <c r="J11" s="121"/>
    </row>
    <row r="12" spans="3:10">
      <c r="C12" s="120"/>
      <c r="D12" s="123">
        <f>+'Analitika 2024'!N10</f>
        <v>257322530.34999999</v>
      </c>
      <c r="E12" s="427">
        <f>+D12/'2024'!T7</f>
        <v>3.5347958068326989E-2</v>
      </c>
      <c r="G12" s="123">
        <f>+'Analitika 2024'!G10</f>
        <v>2755067872.9200001</v>
      </c>
      <c r="H12" s="427">
        <f>+G12/'2024'!T7</f>
        <v>0.37845898497465558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Decembar</v>
      </c>
      <c r="G15" s="122" t="str">
        <f>+Master!G275</f>
        <v>Rashodi za period Januar - Decembar</v>
      </c>
      <c r="J15" s="121"/>
    </row>
    <row r="16" spans="3:10">
      <c r="C16" s="120"/>
      <c r="D16" s="123">
        <f>+'Analitika 2024'!N29</f>
        <v>488587091.8499999</v>
      </c>
      <c r="E16" s="427">
        <f>+D16/'2024'!T7</f>
        <v>6.7116377302636088E-2</v>
      </c>
      <c r="G16" s="123">
        <f>+'Analitika 2024'!G29</f>
        <v>2985988267.73</v>
      </c>
      <c r="H16" s="427">
        <f>+G16/'2024'!T7</f>
        <v>0.41018012661648146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Decembar</v>
      </c>
      <c r="G19" s="122" t="str">
        <f>+Master!G276</f>
        <v>Suficit/Deficit za period Januar - Decembar</v>
      </c>
      <c r="J19" s="121"/>
    </row>
    <row r="20" spans="3:11">
      <c r="C20" s="120"/>
      <c r="D20" s="123">
        <f>+'Analitika 2024'!N53</f>
        <v>-231264561.49999991</v>
      </c>
      <c r="E20" s="427">
        <f>+D20/'2024'!T7</f>
        <v>-3.1768419234309092E-2</v>
      </c>
      <c r="G20" s="123">
        <f>+'Analitika 2024'!G53</f>
        <v>-230920394.8099997</v>
      </c>
      <c r="H20" s="427">
        <f>+G20/'2024'!T7</f>
        <v>-3.1721141641825858E-2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CdsPMQ8p0nDszW1R7eyxiJDd78eS0J1wdBgexy5Gt7lgbpamyO8HuNG2C0Ape+DawxWj/mB5VM+juE91iditfg==" saltValue="BXRDny4+2zkxzqdkoXlRC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E6" sqref="E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2024-12</v>
      </c>
      <c r="O6" s="128" t="str">
        <f>+CONCATENATE(N6,"p")</f>
        <v>2024-12p</v>
      </c>
      <c r="P6" s="116"/>
      <c r="Q6" s="116"/>
      <c r="R6" s="128" t="str">
        <f>+IF(Master!B3-10&gt;=0,CONCATENATE(Master!B4-1,"-",Master!B3),CONCATENATE(Master!B4-1,"-0",Master!B3))</f>
        <v>2023-12</v>
      </c>
      <c r="S6" s="116"/>
      <c r="T6" s="116"/>
    </row>
    <row r="7" spans="1:25" ht="14.25" customHeight="1">
      <c r="A7" s="129"/>
      <c r="B7" s="562" t="str">
        <f>+Master!G254</f>
        <v>Analitika za period Jan - Dec</v>
      </c>
      <c r="C7" s="563"/>
      <c r="D7" s="563"/>
      <c r="E7" s="563"/>
      <c r="F7" s="563"/>
      <c r="G7" s="571" t="str">
        <f>+Master!G246</f>
        <v>Jan - Dec</v>
      </c>
      <c r="H7" s="572"/>
      <c r="I7" s="572"/>
      <c r="J7" s="572"/>
      <c r="K7" s="572"/>
      <c r="L7" s="572"/>
      <c r="M7" s="575"/>
      <c r="N7" s="572" t="str">
        <f>+Master!G245</f>
        <v>Decembar</v>
      </c>
      <c r="O7" s="572"/>
      <c r="P7" s="572"/>
      <c r="Q7" s="572"/>
      <c r="R7" s="572"/>
      <c r="S7" s="572"/>
      <c r="T7" s="575"/>
    </row>
    <row r="8" spans="1:25" ht="29.25" customHeight="1">
      <c r="A8" s="129"/>
      <c r="B8" s="564"/>
      <c r="C8" s="565"/>
      <c r="D8" s="565"/>
      <c r="E8" s="565"/>
      <c r="F8" s="566"/>
      <c r="G8" s="487" t="str">
        <f>+Master!G26</f>
        <v>Ostvarenje</v>
      </c>
      <c r="H8" s="330" t="str">
        <f>+Master!G25</f>
        <v>Plan</v>
      </c>
      <c r="I8" s="558" t="str">
        <f>+Master!G261</f>
        <v>Odstupanje</v>
      </c>
      <c r="J8" s="558"/>
      <c r="K8" s="130" t="str">
        <f>+CONCATENATE(Master!G246," ",Master!B4-1)</f>
        <v>Jan - Dec 2023</v>
      </c>
      <c r="L8" s="558" t="str">
        <f>+I8</f>
        <v>Odstupanje</v>
      </c>
      <c r="M8" s="559"/>
      <c r="N8" s="487" t="str">
        <f>+G8</f>
        <v>Ostvarenje</v>
      </c>
      <c r="O8" s="130" t="str">
        <f>+H8</f>
        <v>Plan</v>
      </c>
      <c r="P8" s="558" t="str">
        <f>+I8</f>
        <v>Odstupanje</v>
      </c>
      <c r="Q8" s="558"/>
      <c r="R8" s="130" t="str">
        <f>+CONCATENATE(Master!G245," ",Master!B4-1)</f>
        <v>Decembar 2023</v>
      </c>
      <c r="S8" s="558" t="str">
        <f>+P8</f>
        <v>Odstupanje</v>
      </c>
      <c r="T8" s="559"/>
    </row>
    <row r="9" spans="1:25" ht="15.75" thickBot="1">
      <c r="A9" s="129"/>
      <c r="B9" s="567"/>
      <c r="C9" s="568"/>
      <c r="D9" s="568"/>
      <c r="E9" s="568"/>
      <c r="F9" s="569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2" t="str">
        <f>+VLOOKUP($A10,Master!$D$30:$G$226,4,FALSE)</f>
        <v>Prihodi budžeta</v>
      </c>
      <c r="C10" s="583"/>
      <c r="D10" s="583"/>
      <c r="E10" s="583"/>
      <c r="F10" s="583"/>
      <c r="G10" s="136">
        <f>'2024'!S10</f>
        <v>2755067872.9200001</v>
      </c>
      <c r="H10" s="136">
        <f>SUM('2024'!G86:R86)</f>
        <v>2772648148.530376</v>
      </c>
      <c r="I10" s="137">
        <f>+G10-H10</f>
        <v>-17580275.610375881</v>
      </c>
      <c r="J10" s="139">
        <f>IF(+IF(ISERROR(G10/H10),"…",G10/H10-1)&gt;200%,"...",IF(ISERROR(G10/H10),"…",G10/H10-1))</f>
        <v>-6.3406082086882032E-3</v>
      </c>
      <c r="K10" s="136">
        <f>SUM('2023'!G10:R10)</f>
        <v>2566458309.9500003</v>
      </c>
      <c r="L10" s="137">
        <f>+G10-K10</f>
        <v>188609562.96999979</v>
      </c>
      <c r="M10" s="141">
        <f>IF(+IF(ISERROR(G10/K10),"…",G10/K10-1)&gt;200%,"...",IF(ISERROR(G10/K10),"…",G10/K10-1))</f>
        <v>7.3490211097048563E-2</v>
      </c>
      <c r="N10" s="136">
        <f>'2024'!R10</f>
        <v>257322530.34999999</v>
      </c>
      <c r="O10" s="136">
        <f>'2024'!R86</f>
        <v>282503938.44611555</v>
      </c>
      <c r="P10" s="137">
        <f>+N10-O10</f>
        <v>-25181408.096115559</v>
      </c>
      <c r="Q10" s="139">
        <f>IF(+IF(ISERROR(N10/O10),"…",N10/O10-1)&gt;200%,"...",IF(ISERROR(N10/O10),"…",N10/O10-1))</f>
        <v>-8.9136485086273032E-2</v>
      </c>
      <c r="R10" s="136">
        <f>'2023'!R10</f>
        <v>253804047.09000003</v>
      </c>
      <c r="S10" s="137">
        <f>+N10-R10</f>
        <v>3518483.2599999607</v>
      </c>
      <c r="T10" s="141">
        <f>IF(+IF(ISERROR(N10/R10),"…",N10/R10-1)&gt;200%,"...",IF(ISERROR(N10/R10),"…",N10/R10-1))</f>
        <v>1.3862991155347171E-2</v>
      </c>
      <c r="W10" s="470"/>
      <c r="Y10" s="470"/>
    </row>
    <row r="11" spans="1:25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262">
        <f>'2024'!S11</f>
        <v>1968599583.2600002</v>
      </c>
      <c r="H11" s="262">
        <f>SUM('2024'!G87:R87)</f>
        <v>1930315656.4003761</v>
      </c>
      <c r="I11" s="143">
        <f t="shared" ref="I11:I57" si="0">+G11-H11</f>
        <v>38283926.859624147</v>
      </c>
      <c r="J11" s="145">
        <f t="shared" ref="J11:J66" si="1">IF(+IF(ISERROR(G11/H11-1),"…",G11/H11-1)&gt;200%,"...",IF(ISERROR(G11/H11-1),"…",G11/H11-1))</f>
        <v>1.9832987797972601E-2</v>
      </c>
      <c r="K11" s="262">
        <f>SUM('2023'!G11:R11)</f>
        <v>1666016479.5299997</v>
      </c>
      <c r="L11" s="143">
        <f>+G11-K11</f>
        <v>302583103.7300005</v>
      </c>
      <c r="M11" s="147">
        <f t="shared" ref="M11:M66" si="2">IF(+IF(ISERROR(G11/K11),"…",G11/K11-1)&gt;200%,"...",IF(ISERROR(G11/K11),"…",G11/K11-1))</f>
        <v>0.18162071470947416</v>
      </c>
      <c r="N11" s="262">
        <f>'2024'!R11</f>
        <v>168637973.13</v>
      </c>
      <c r="O11" s="262">
        <f>'2024'!R87</f>
        <v>151899426.82955331</v>
      </c>
      <c r="P11" s="143">
        <f>+N11-O11</f>
        <v>16738546.300446689</v>
      </c>
      <c r="Q11" s="145">
        <f t="shared" ref="Q11:Q66" si="3">IF(+IF(ISERROR(N11/O11),"…",N11/O11-1)&gt;200%,"...",IF(ISERROR(N11/O11),"…",N11/O11-1))</f>
        <v>0.11019492732667824</v>
      </c>
      <c r="R11" s="262">
        <f>'2023'!R11</f>
        <v>137012115.60000002</v>
      </c>
      <c r="S11" s="143">
        <f t="shared" ref="S11:S57" si="4">+N11-R11</f>
        <v>31625857.529999971</v>
      </c>
      <c r="T11" s="147">
        <f t="shared" ref="T11:T66" si="5">IF(+IF(ISERROR(N11/R11),"…",N11/R11-1)&gt;200%,"...",IF(ISERROR(N11/R11),"…",N11/R11-1))</f>
        <v>0.23082526236095835</v>
      </c>
      <c r="W11" s="470"/>
      <c r="Y11" s="470"/>
    </row>
    <row r="12" spans="1:25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f>'2024'!S12</f>
        <v>88155346.220000014</v>
      </c>
      <c r="H12" s="148">
        <f>SUM('2024'!G88:R88)</f>
        <v>86618274.290376037</v>
      </c>
      <c r="I12" s="149">
        <f t="shared" si="0"/>
        <v>1537071.9296239763</v>
      </c>
      <c r="J12" s="151">
        <f t="shared" si="1"/>
        <v>1.7745353878457104E-2</v>
      </c>
      <c r="K12" s="148">
        <f>SUM('2023'!G12:R12)</f>
        <v>66411591</v>
      </c>
      <c r="L12" s="149">
        <f>+G12-K12</f>
        <v>21743755.220000014</v>
      </c>
      <c r="M12" s="153">
        <f t="shared" si="2"/>
        <v>0.32740903948529132</v>
      </c>
      <c r="N12" s="148">
        <f>'2024'!R12</f>
        <v>13112925.42</v>
      </c>
      <c r="O12" s="148">
        <f>'2024'!R88</f>
        <v>12889716.259099012</v>
      </c>
      <c r="P12" s="149">
        <f t="shared" ref="P12:P57" si="6">+N12-O12</f>
        <v>223209.16090098768</v>
      </c>
      <c r="Q12" s="151">
        <f t="shared" si="3"/>
        <v>1.7316840527301869E-2</v>
      </c>
      <c r="R12" s="148">
        <f>'2023'!R12</f>
        <v>10598117.26</v>
      </c>
      <c r="S12" s="149">
        <f t="shared" si="4"/>
        <v>2514808.16</v>
      </c>
      <c r="T12" s="153">
        <f t="shared" si="5"/>
        <v>0.23728819924379674</v>
      </c>
      <c r="W12" s="470"/>
      <c r="Y12" s="470"/>
    </row>
    <row r="13" spans="1:25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f>'2024'!S13</f>
        <v>213967876.99999997</v>
      </c>
      <c r="H13" s="148">
        <f>SUM('2024'!G89:R89)</f>
        <v>205651056.08000001</v>
      </c>
      <c r="I13" s="149">
        <f t="shared" si="0"/>
        <v>8316820.9199999571</v>
      </c>
      <c r="J13" s="151">
        <f t="shared" si="1"/>
        <v>4.0441420912346926E-2</v>
      </c>
      <c r="K13" s="148">
        <f>SUM('2023'!G13:R13)</f>
        <v>151284476.47</v>
      </c>
      <c r="L13" s="149">
        <f t="shared" ref="L13:L57" si="7">+G13-K13</f>
        <v>62683400.529999971</v>
      </c>
      <c r="M13" s="153">
        <f t="shared" si="2"/>
        <v>0.41434125954377232</v>
      </c>
      <c r="N13" s="148">
        <f>'2024'!R13</f>
        <v>6565545.0700000003</v>
      </c>
      <c r="O13" s="148">
        <f>'2024'!R89</f>
        <v>1669995.8023280436</v>
      </c>
      <c r="P13" s="149">
        <f t="shared" si="6"/>
        <v>4895549.2676719567</v>
      </c>
      <c r="Q13" s="151" t="str">
        <f t="shared" si="3"/>
        <v>...</v>
      </c>
      <c r="R13" s="148">
        <f>'2023'!R13</f>
        <v>4457656.51</v>
      </c>
      <c r="S13" s="149">
        <f t="shared" si="4"/>
        <v>2107888.5600000005</v>
      </c>
      <c r="T13" s="153">
        <f t="shared" si="5"/>
        <v>0.47286922069282555</v>
      </c>
      <c r="W13" s="470"/>
      <c r="Y13" s="470"/>
    </row>
    <row r="14" spans="1:25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f>'2024'!S14</f>
        <v>0</v>
      </c>
      <c r="H14" s="148">
        <f>SUM('2024'!G90:R90)</f>
        <v>0</v>
      </c>
      <c r="I14" s="149">
        <f t="shared" si="0"/>
        <v>0</v>
      </c>
      <c r="J14" s="151" t="str">
        <f t="shared" si="1"/>
        <v>...</v>
      </c>
      <c r="K14" s="148">
        <f>SUM('2023'!G14:R14)</f>
        <v>0</v>
      </c>
      <c r="L14" s="149">
        <f t="shared" si="7"/>
        <v>0</v>
      </c>
      <c r="M14" s="153" t="str">
        <f t="shared" si="2"/>
        <v>...</v>
      </c>
      <c r="N14" s="148">
        <f>'2024'!R14</f>
        <v>0</v>
      </c>
      <c r="O14" s="148">
        <f>'2024'!R90</f>
        <v>0</v>
      </c>
      <c r="P14" s="149">
        <f t="shared" si="6"/>
        <v>0</v>
      </c>
      <c r="Q14" s="151" t="str">
        <f t="shared" si="3"/>
        <v>...</v>
      </c>
      <c r="R14" s="148">
        <f>'2023'!R14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f>'2024'!S15</f>
        <v>1222596931.1700001</v>
      </c>
      <c r="H15" s="148">
        <f>SUM('2024'!G91:R91)</f>
        <v>1199632448.2900002</v>
      </c>
      <c r="I15" s="149">
        <f t="shared" si="0"/>
        <v>22964482.879999876</v>
      </c>
      <c r="J15" s="151">
        <f t="shared" si="1"/>
        <v>1.9142932414619507E-2</v>
      </c>
      <c r="K15" s="148">
        <f>SUM('2023'!G15:R15)</f>
        <v>1059267077.4700001</v>
      </c>
      <c r="L15" s="149">
        <f t="shared" si="7"/>
        <v>163329853.69999993</v>
      </c>
      <c r="M15" s="153">
        <f t="shared" si="2"/>
        <v>0.15419138116715958</v>
      </c>
      <c r="N15" s="148">
        <f>'2024'!R15</f>
        <v>111577546.98999999</v>
      </c>
      <c r="O15" s="148">
        <f>'2024'!R91</f>
        <v>98587067.036501214</v>
      </c>
      <c r="P15" s="149">
        <f t="shared" si="6"/>
        <v>12990479.953498781</v>
      </c>
      <c r="Q15" s="151">
        <f t="shared" si="3"/>
        <v>0.1317665728780546</v>
      </c>
      <c r="R15" s="148">
        <f>'2023'!R15</f>
        <v>87929424.079999998</v>
      </c>
      <c r="S15" s="149">
        <f t="shared" si="4"/>
        <v>23648122.909999996</v>
      </c>
      <c r="T15" s="153">
        <f t="shared" si="5"/>
        <v>0.26894436256610121</v>
      </c>
      <c r="W15" s="470"/>
      <c r="Y15" s="470"/>
    </row>
    <row r="16" spans="1:25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f>'2024'!S16</f>
        <v>368589654.71000004</v>
      </c>
      <c r="H16" s="148">
        <f>SUM('2024'!G92:R92)</f>
        <v>365800000.00000006</v>
      </c>
      <c r="I16" s="149">
        <f t="shared" si="0"/>
        <v>2789654.7099999785</v>
      </c>
      <c r="J16" s="151">
        <f t="shared" si="1"/>
        <v>7.6261747129577895E-3</v>
      </c>
      <c r="K16" s="148">
        <f>SUM('2023'!G16:R16)</f>
        <v>323121644.95999998</v>
      </c>
      <c r="L16" s="149">
        <f t="shared" si="7"/>
        <v>45468009.75000006</v>
      </c>
      <c r="M16" s="153">
        <f t="shared" si="2"/>
        <v>0.14071483745890401</v>
      </c>
      <c r="N16" s="148">
        <f>'2024'!R16</f>
        <v>30621579.68</v>
      </c>
      <c r="O16" s="148">
        <f>'2024'!R92</f>
        <v>32457757.872922201</v>
      </c>
      <c r="P16" s="149">
        <f t="shared" si="6"/>
        <v>-1836178.192922201</v>
      </c>
      <c r="Q16" s="151">
        <f t="shared" si="3"/>
        <v>-5.6571319562834899E-2</v>
      </c>
      <c r="R16" s="148">
        <f>'2023'!R16</f>
        <v>28494203.899999999</v>
      </c>
      <c r="S16" s="149">
        <f t="shared" si="4"/>
        <v>2127375.7800000012</v>
      </c>
      <c r="T16" s="153">
        <f t="shared" si="5"/>
        <v>7.4659947948221284E-2</v>
      </c>
      <c r="W16" s="470"/>
      <c r="Y16" s="470"/>
    </row>
    <row r="17" spans="1:25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f>'2024'!S17</f>
        <v>60376879.519999996</v>
      </c>
      <c r="H17" s="148">
        <f>SUM('2024'!G93:R93)</f>
        <v>58295189.450000003</v>
      </c>
      <c r="I17" s="149">
        <f t="shared" si="0"/>
        <v>2081690.0699999928</v>
      </c>
      <c r="J17" s="151">
        <f t="shared" si="1"/>
        <v>3.5709465731910361E-2</v>
      </c>
      <c r="K17" s="148">
        <f>SUM('2023'!G17:R17)</f>
        <v>52191310.710000001</v>
      </c>
      <c r="L17" s="149">
        <f t="shared" si="7"/>
        <v>8185568.8099999949</v>
      </c>
      <c r="M17" s="153">
        <f t="shared" si="2"/>
        <v>0.15683777047644853</v>
      </c>
      <c r="N17" s="148">
        <f>'2024'!R17</f>
        <v>5559914.0899999999</v>
      </c>
      <c r="O17" s="148">
        <f>'2024'!R93</f>
        <v>5157250.0738385394</v>
      </c>
      <c r="P17" s="149" t="s">
        <v>92</v>
      </c>
      <c r="Q17" s="151">
        <f>IF(+IF(ISERROR(N17/O17),"…",N17/O17-1)&gt;200%,"...",IF(ISERROR(N17/O17),"…",N17/O17-1))</f>
        <v>7.8077271878685073E-2</v>
      </c>
      <c r="R17" s="148">
        <f>'2023'!R17</f>
        <v>4403080.1100000003</v>
      </c>
      <c r="S17" s="149">
        <f t="shared" si="4"/>
        <v>1156833.9799999995</v>
      </c>
      <c r="T17" s="153">
        <f t="shared" si="5"/>
        <v>0.26273289404221156</v>
      </c>
      <c r="W17" s="470"/>
      <c r="Y17" s="470"/>
    </row>
    <row r="18" spans="1:25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148">
        <f>'2024'!S18</f>
        <v>14912894.639999997</v>
      </c>
      <c r="H18" s="148">
        <f>SUM('2024'!G94:R94)</f>
        <v>14318688.289999997</v>
      </c>
      <c r="I18" s="149">
        <f t="shared" si="0"/>
        <v>594206.34999999963</v>
      </c>
      <c r="J18" s="151">
        <f t="shared" si="1"/>
        <v>4.1498658114862863E-2</v>
      </c>
      <c r="K18" s="148">
        <f>SUM('2023'!G18:R18)</f>
        <v>13740378.920000002</v>
      </c>
      <c r="L18" s="149">
        <f t="shared" si="7"/>
        <v>1172515.7199999951</v>
      </c>
      <c r="M18" s="153">
        <f t="shared" si="2"/>
        <v>8.5333579723432695E-2</v>
      </c>
      <c r="N18" s="148">
        <f>'2024'!R18</f>
        <v>1200461.8799999999</v>
      </c>
      <c r="O18" s="148">
        <f>'2024'!R94</f>
        <v>1137639.7848642969</v>
      </c>
      <c r="P18" s="149">
        <f t="shared" si="6"/>
        <v>62822.095135702984</v>
      </c>
      <c r="Q18" s="151">
        <f t="shared" si="3"/>
        <v>5.5221429464333172E-2</v>
      </c>
      <c r="R18" s="148">
        <f>'2023'!R18</f>
        <v>1129633.74</v>
      </c>
      <c r="S18" s="149">
        <f t="shared" si="4"/>
        <v>70828.139999999898</v>
      </c>
      <c r="T18" s="153">
        <f t="shared" si="5"/>
        <v>6.2700092509630601E-2</v>
      </c>
      <c r="W18" s="470"/>
      <c r="Y18" s="470"/>
    </row>
    <row r="19" spans="1:25">
      <c r="A19" s="135">
        <v>712</v>
      </c>
      <c r="B19" s="594" t="str">
        <f>+VLOOKUP($A19,Master!$D$30:$G$226,4,FALSE)</f>
        <v>Doprinosi</v>
      </c>
      <c r="C19" s="595"/>
      <c r="D19" s="595"/>
      <c r="E19" s="595"/>
      <c r="F19" s="595"/>
      <c r="G19" s="154">
        <f>'2024'!S19</f>
        <v>584706543.50999999</v>
      </c>
      <c r="H19" s="154">
        <f>SUM('2024'!G95:R95)</f>
        <v>585399047.95000005</v>
      </c>
      <c r="I19" s="155">
        <f t="shared" si="0"/>
        <v>-692504.44000005722</v>
      </c>
      <c r="J19" s="157">
        <f t="shared" si="1"/>
        <v>-1.1829613362459579E-3</v>
      </c>
      <c r="K19" s="154">
        <f>SUM('2023'!G19:R19)</f>
        <v>575730590.25</v>
      </c>
      <c r="L19" s="155">
        <f t="shared" si="7"/>
        <v>8975953.2599999905</v>
      </c>
      <c r="M19" s="159">
        <f t="shared" si="2"/>
        <v>1.5590544278882845E-2</v>
      </c>
      <c r="N19" s="154">
        <f>'2024'!R19</f>
        <v>62375513.169999994</v>
      </c>
      <c r="O19" s="154">
        <f>'2024'!R95</f>
        <v>70138715.6471048</v>
      </c>
      <c r="P19" s="155">
        <f t="shared" si="6"/>
        <v>-7763202.4771048054</v>
      </c>
      <c r="Q19" s="157">
        <f t="shared" si="3"/>
        <v>-0.11068355622826775</v>
      </c>
      <c r="R19" s="154">
        <f>'2023'!R19</f>
        <v>89085844.590000004</v>
      </c>
      <c r="S19" s="155">
        <f t="shared" si="4"/>
        <v>-26710331.420000009</v>
      </c>
      <c r="T19" s="159">
        <f t="shared" si="5"/>
        <v>-0.2998268865601379</v>
      </c>
      <c r="W19" s="470"/>
      <c r="Y19" s="470"/>
    </row>
    <row r="20" spans="1:25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148">
        <f>'2024'!S20</f>
        <v>532748560.6500001</v>
      </c>
      <c r="H20" s="148">
        <f>SUM('2024'!G96:R96)</f>
        <v>539782347.88999999</v>
      </c>
      <c r="I20" s="149">
        <f t="shared" si="0"/>
        <v>-7033787.2399998903</v>
      </c>
      <c r="J20" s="151">
        <f t="shared" si="1"/>
        <v>-1.3030784106769833E-2</v>
      </c>
      <c r="K20" s="148">
        <f>SUM('2023'!G20:R20)</f>
        <v>526512246.37</v>
      </c>
      <c r="L20" s="149">
        <f t="shared" si="7"/>
        <v>6236314.2800000906</v>
      </c>
      <c r="M20" s="153">
        <f t="shared" si="2"/>
        <v>1.1844575929612189E-2</v>
      </c>
      <c r="N20" s="148">
        <f>'2024'!R20</f>
        <v>54430290.539999999</v>
      </c>
      <c r="O20" s="148">
        <f>'2024'!R96</f>
        <v>65674431.954823807</v>
      </c>
      <c r="P20" s="149">
        <f t="shared" si="6"/>
        <v>-11244141.414823808</v>
      </c>
      <c r="Q20" s="151">
        <f t="shared" si="3"/>
        <v>-0.17121033376517725</v>
      </c>
      <c r="R20" s="148">
        <f>'2023'!R20</f>
        <v>81523024.159999996</v>
      </c>
      <c r="S20" s="149">
        <f t="shared" si="4"/>
        <v>-27092733.619999997</v>
      </c>
      <c r="T20" s="153">
        <f t="shared" si="5"/>
        <v>-0.33233229384163709</v>
      </c>
      <c r="W20" s="470"/>
      <c r="Y20" s="470"/>
    </row>
    <row r="21" spans="1:25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148">
        <f>'2024'!S21</f>
        <v>5424031.6500000004</v>
      </c>
      <c r="H21" s="148">
        <f>SUM('2024'!G97:R97)</f>
        <v>3000000</v>
      </c>
      <c r="I21" s="149">
        <f t="shared" si="0"/>
        <v>2424031.6500000004</v>
      </c>
      <c r="J21" s="151">
        <f t="shared" si="1"/>
        <v>0.80801055000000011</v>
      </c>
      <c r="K21" s="148">
        <f>SUM('2023'!G21:R21)</f>
        <v>7030542.8399999989</v>
      </c>
      <c r="L21" s="149">
        <f t="shared" si="7"/>
        <v>-1606511.1899999985</v>
      </c>
      <c r="M21" s="153">
        <f t="shared" si="2"/>
        <v>-0.22850457305512961</v>
      </c>
      <c r="N21" s="148">
        <f>'2024'!R21</f>
        <v>739249.91</v>
      </c>
      <c r="O21" s="148">
        <f>'2024'!R97</f>
        <v>0</v>
      </c>
      <c r="P21" s="149">
        <f t="shared" si="6"/>
        <v>739249.91</v>
      </c>
      <c r="Q21" s="151" t="str">
        <f t="shared" si="3"/>
        <v>...</v>
      </c>
      <c r="R21" s="148">
        <f>'2023'!R21</f>
        <v>965969</v>
      </c>
      <c r="S21" s="149">
        <f t="shared" si="4"/>
        <v>-226719.08999999997</v>
      </c>
      <c r="T21" s="153">
        <f t="shared" si="5"/>
        <v>-0.23470638291705015</v>
      </c>
      <c r="W21" s="470"/>
      <c r="Y21" s="470"/>
    </row>
    <row r="22" spans="1:25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148">
        <f>'2024'!S22</f>
        <v>26960661.290000003</v>
      </c>
      <c r="H22" s="148">
        <f>SUM('2024'!G98:R98)</f>
        <v>23997618.039999995</v>
      </c>
      <c r="I22" s="149">
        <f t="shared" si="0"/>
        <v>2963043.2500000075</v>
      </c>
      <c r="J22" s="151">
        <f t="shared" si="1"/>
        <v>0.12347238984557185</v>
      </c>
      <c r="K22" s="148">
        <f>SUM('2023'!G22:R22)</f>
        <v>24220167.09</v>
      </c>
      <c r="L22" s="149">
        <f t="shared" si="7"/>
        <v>2740494.200000003</v>
      </c>
      <c r="M22" s="153">
        <f t="shared" si="2"/>
        <v>0.11314926894668265</v>
      </c>
      <c r="N22" s="148">
        <f>'2024'!R22</f>
        <v>4213340.57</v>
      </c>
      <c r="O22" s="148">
        <f>'2024'!R98</f>
        <v>2271124.7506976323</v>
      </c>
      <c r="P22" s="149">
        <f t="shared" si="6"/>
        <v>1942215.819302368</v>
      </c>
      <c r="Q22" s="151">
        <f t="shared" si="3"/>
        <v>0.85517795475821767</v>
      </c>
      <c r="R22" s="148">
        <f>'2023'!R22</f>
        <v>3765884.68</v>
      </c>
      <c r="S22" s="149">
        <f t="shared" si="4"/>
        <v>447455.89000000013</v>
      </c>
      <c r="T22" s="153">
        <f t="shared" si="5"/>
        <v>0.11881826662838768</v>
      </c>
      <c r="W22" s="470"/>
      <c r="Y22" s="470"/>
    </row>
    <row r="23" spans="1:25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148">
        <f>'2024'!S23</f>
        <v>19573289.920000002</v>
      </c>
      <c r="H23" s="148">
        <f>SUM('2024'!G99:R99)</f>
        <v>18619082.02</v>
      </c>
      <c r="I23" s="149">
        <f t="shared" si="0"/>
        <v>954207.90000000224</v>
      </c>
      <c r="J23" s="151">
        <f t="shared" si="1"/>
        <v>5.1248922958447851E-2</v>
      </c>
      <c r="K23" s="148">
        <f>SUM('2023'!G23:R23)</f>
        <v>17967633.949999999</v>
      </c>
      <c r="L23" s="149">
        <f t="shared" si="7"/>
        <v>1605655.9700000025</v>
      </c>
      <c r="M23" s="153">
        <f t="shared" si="2"/>
        <v>8.9363795726704609E-2</v>
      </c>
      <c r="N23" s="148">
        <f>'2024'!R23</f>
        <v>2992632.15</v>
      </c>
      <c r="O23" s="148">
        <f>'2024'!R99</f>
        <v>2193158.9415833722</v>
      </c>
      <c r="P23" s="149">
        <f t="shared" si="6"/>
        <v>799473.20841662772</v>
      </c>
      <c r="Q23" s="151">
        <f t="shared" si="3"/>
        <v>0.36453044658926559</v>
      </c>
      <c r="R23" s="148">
        <f>'2023'!R23</f>
        <v>2830966.75</v>
      </c>
      <c r="S23" s="149">
        <f t="shared" si="4"/>
        <v>161665.39999999991</v>
      </c>
      <c r="T23" s="153">
        <f t="shared" si="5"/>
        <v>5.7106075159660596E-2</v>
      </c>
      <c r="W23" s="470"/>
      <c r="Y23" s="470"/>
    </row>
    <row r="24" spans="1:25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f>'2024'!S24</f>
        <v>16231925.390000002</v>
      </c>
      <c r="H24" s="160">
        <f>SUM('2024'!G100:R100)</f>
        <v>15851544.500000002</v>
      </c>
      <c r="I24" s="161">
        <f t="shared" si="0"/>
        <v>380380.8900000006</v>
      </c>
      <c r="J24" s="163">
        <f t="shared" si="1"/>
        <v>2.3996455992032928E-2</v>
      </c>
      <c r="K24" s="160">
        <f>SUM('2023'!G24:R24)</f>
        <v>16017153.060000001</v>
      </c>
      <c r="L24" s="161">
        <f t="shared" si="7"/>
        <v>214772.33000000194</v>
      </c>
      <c r="M24" s="165">
        <f t="shared" si="2"/>
        <v>1.3408895400791154E-2</v>
      </c>
      <c r="N24" s="160">
        <f>'2024'!R24</f>
        <v>1603542.58</v>
      </c>
      <c r="O24" s="160">
        <f>'2024'!R100</f>
        <v>1510973.937713986</v>
      </c>
      <c r="P24" s="161">
        <f t="shared" si="6"/>
        <v>92568.642286014045</v>
      </c>
      <c r="Q24" s="163">
        <f t="shared" si="3"/>
        <v>6.1264221688737353E-2</v>
      </c>
      <c r="R24" s="160">
        <f>'2023'!R24</f>
        <v>1671271.48</v>
      </c>
      <c r="S24" s="161">
        <f t="shared" si="4"/>
        <v>-67728.899999999907</v>
      </c>
      <c r="T24" s="165">
        <f t="shared" si="5"/>
        <v>-4.0525372933426618E-2</v>
      </c>
      <c r="W24" s="470"/>
      <c r="Y24" s="470"/>
    </row>
    <row r="25" spans="1:25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f>'2024'!S25</f>
        <v>53128166.68</v>
      </c>
      <c r="H25" s="160">
        <f>SUM('2024'!G101:R101)</f>
        <v>62823080.649999991</v>
      </c>
      <c r="I25" s="161">
        <f t="shared" si="0"/>
        <v>-9694913.9699999914</v>
      </c>
      <c r="J25" s="163">
        <f t="shared" si="1"/>
        <v>-0.15432089400410509</v>
      </c>
      <c r="K25" s="160">
        <f>SUM('2023'!G25:R25)</f>
        <v>55717585.719999999</v>
      </c>
      <c r="L25" s="161">
        <f t="shared" si="7"/>
        <v>-2589419.0399999991</v>
      </c>
      <c r="M25" s="165">
        <f t="shared" si="2"/>
        <v>-4.6473999304505353E-2</v>
      </c>
      <c r="N25" s="160">
        <f>'2024'!R25</f>
        <v>5674135.9900000002</v>
      </c>
      <c r="O25" s="160">
        <f>'2024'!R101</f>
        <v>7615370.4595776051</v>
      </c>
      <c r="P25" s="161">
        <f t="shared" si="6"/>
        <v>-1941234.4695776049</v>
      </c>
      <c r="Q25" s="163">
        <f t="shared" si="3"/>
        <v>-0.25491005065107197</v>
      </c>
      <c r="R25" s="160">
        <f>'2023'!R25</f>
        <v>3779355.2300000004</v>
      </c>
      <c r="S25" s="161">
        <f t="shared" si="4"/>
        <v>1894780.7599999998</v>
      </c>
      <c r="T25" s="165">
        <f t="shared" si="5"/>
        <v>0.50135026868061816</v>
      </c>
      <c r="W25" s="470"/>
      <c r="Y25" s="470"/>
    </row>
    <row r="26" spans="1:25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f>'2024'!S26</f>
        <v>91547146.379999995</v>
      </c>
      <c r="H26" s="160">
        <f>SUM('2024'!G102:R102)</f>
        <v>121958819.02999996</v>
      </c>
      <c r="I26" s="161">
        <f t="shared" si="0"/>
        <v>-30411672.649999961</v>
      </c>
      <c r="J26" s="163">
        <f t="shared" si="1"/>
        <v>-0.24936017658976484</v>
      </c>
      <c r="K26" s="160">
        <f>SUM('2023'!G26:R26)</f>
        <v>181712353.56</v>
      </c>
      <c r="L26" s="161">
        <f t="shared" si="7"/>
        <v>-90165207.180000007</v>
      </c>
      <c r="M26" s="165">
        <f t="shared" si="2"/>
        <v>-0.49619745390743708</v>
      </c>
      <c r="N26" s="160">
        <f>'2024'!R26</f>
        <v>10514044.74</v>
      </c>
      <c r="O26" s="160">
        <f>'2024'!R102</f>
        <v>25955742.174388066</v>
      </c>
      <c r="P26" s="161">
        <f t="shared" si="6"/>
        <v>-15441697.434388066</v>
      </c>
      <c r="Q26" s="163">
        <f t="shared" si="3"/>
        <v>-0.59492413396004618</v>
      </c>
      <c r="R26" s="160">
        <f>'2023'!R26</f>
        <v>8722052.1400000006</v>
      </c>
      <c r="S26" s="161">
        <f t="shared" si="4"/>
        <v>1791992.5999999996</v>
      </c>
      <c r="T26" s="165">
        <f t="shared" si="5"/>
        <v>0.20545538724559842</v>
      </c>
      <c r="W26" s="470"/>
      <c r="Y26" s="470"/>
    </row>
    <row r="27" spans="1:25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f>'2024'!S27</f>
        <v>0</v>
      </c>
      <c r="H27" s="160">
        <f>SUM('2024'!G103:R103)</f>
        <v>0</v>
      </c>
      <c r="I27" s="161">
        <f t="shared" si="0"/>
        <v>0</v>
      </c>
      <c r="J27" s="163" t="str">
        <f t="shared" si="1"/>
        <v>...</v>
      </c>
      <c r="K27" s="160">
        <f>SUM('2023'!G27:R27)</f>
        <v>0</v>
      </c>
      <c r="L27" s="161">
        <f t="shared" si="7"/>
        <v>0</v>
      </c>
      <c r="M27" s="165" t="str">
        <f t="shared" si="2"/>
        <v>...</v>
      </c>
      <c r="N27" s="160">
        <f>'2024'!R27</f>
        <v>0</v>
      </c>
      <c r="O27" s="160">
        <f>'2024'!R103</f>
        <v>0</v>
      </c>
      <c r="P27" s="161">
        <f t="shared" si="6"/>
        <v>0</v>
      </c>
      <c r="Q27" s="163" t="str">
        <f t="shared" si="3"/>
        <v>...</v>
      </c>
      <c r="R27" s="160">
        <f>'2023'!R27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f>'2024'!S28</f>
        <v>40854507.700000003</v>
      </c>
      <c r="H28" s="160">
        <f>SUM('2024'!G104:R104)</f>
        <v>56300000</v>
      </c>
      <c r="I28" s="161">
        <f t="shared" si="0"/>
        <v>-15445492.299999997</v>
      </c>
      <c r="J28" s="163">
        <f t="shared" si="1"/>
        <v>-0.27434266962699816</v>
      </c>
      <c r="K28" s="160">
        <f>SUM('2023'!G28:R28)</f>
        <v>71264147.830000013</v>
      </c>
      <c r="L28" s="161">
        <f t="shared" si="7"/>
        <v>-30409640.13000001</v>
      </c>
      <c r="M28" s="165">
        <f t="shared" si="2"/>
        <v>-0.42671723518734739</v>
      </c>
      <c r="N28" s="160">
        <f>'2024'!R28</f>
        <v>8517320.7400000002</v>
      </c>
      <c r="O28" s="160">
        <f>'2024'!R104</f>
        <v>25383709.397777781</v>
      </c>
      <c r="P28" s="161">
        <f t="shared" si="6"/>
        <v>-16866388.657777779</v>
      </c>
      <c r="Q28" s="163">
        <f t="shared" si="3"/>
        <v>-0.66445720731637237</v>
      </c>
      <c r="R28" s="160">
        <f>'2023'!R28</f>
        <v>13533408.050000001</v>
      </c>
      <c r="S28" s="161">
        <f t="shared" si="4"/>
        <v>-5016087.3100000005</v>
      </c>
      <c r="T28" s="165">
        <f t="shared" si="5"/>
        <v>-0.37064479926030169</v>
      </c>
      <c r="W28" s="470"/>
      <c r="Y28" s="470"/>
    </row>
    <row r="29" spans="1:25" ht="15.7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>'2024'!S29</f>
        <v>2985988267.73</v>
      </c>
      <c r="H29" s="136">
        <f>SUM('2024'!G105:R105)</f>
        <v>3008117626.71</v>
      </c>
      <c r="I29" s="137">
        <f t="shared" si="0"/>
        <v>-22129358.980000019</v>
      </c>
      <c r="J29" s="139">
        <f t="shared" si="1"/>
        <v>-7.3565470922768439E-3</v>
      </c>
      <c r="K29" s="136">
        <f>SUM('2023'!G29:R29)</f>
        <v>2555523018.8299999</v>
      </c>
      <c r="L29" s="137">
        <f t="shared" si="7"/>
        <v>430465248.9000001</v>
      </c>
      <c r="M29" s="141">
        <f t="shared" si="2"/>
        <v>0.16844506808515503</v>
      </c>
      <c r="N29" s="136">
        <f>'2024'!R29</f>
        <v>488587091.8499999</v>
      </c>
      <c r="O29" s="136">
        <f>'2024'!R105</f>
        <v>309512211.62999994</v>
      </c>
      <c r="P29" s="137">
        <f t="shared" si="6"/>
        <v>179074880.21999997</v>
      </c>
      <c r="Q29" s="139">
        <f t="shared" si="3"/>
        <v>0.57857129215331704</v>
      </c>
      <c r="R29" s="136">
        <f>'2023'!R29</f>
        <v>400109213.88999999</v>
      </c>
      <c r="S29" s="137">
        <f t="shared" si="4"/>
        <v>88477877.959999919</v>
      </c>
      <c r="T29" s="141">
        <f t="shared" si="5"/>
        <v>0.22113431755241875</v>
      </c>
      <c r="W29" s="470"/>
      <c r="Y29" s="470"/>
    </row>
    <row r="30" spans="1:25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294">
        <f>'2024'!S30</f>
        <v>1192463282.6799998</v>
      </c>
      <c r="H30" s="294">
        <f>SUM('2024'!G106:R106)</f>
        <v>1227247950.71</v>
      </c>
      <c r="I30" s="173">
        <f t="shared" si="0"/>
        <v>-34784668.03000021</v>
      </c>
      <c r="J30" s="556">
        <f t="shared" si="1"/>
        <v>-2.8343635049360882E-2</v>
      </c>
      <c r="K30" s="294">
        <f>SUM('2023'!G30:R30)</f>
        <v>1073179026.0899998</v>
      </c>
      <c r="L30" s="173">
        <f t="shared" si="7"/>
        <v>119284256.59000003</v>
      </c>
      <c r="M30" s="177">
        <f t="shared" si="2"/>
        <v>0.11115038002988009</v>
      </c>
      <c r="N30" s="294">
        <f>'2024'!R30</f>
        <v>190222864.52999994</v>
      </c>
      <c r="O30" s="294">
        <f>'2024'!R106</f>
        <v>126609678.25999996</v>
      </c>
      <c r="P30" s="173">
        <f t="shared" si="6"/>
        <v>63613186.269999981</v>
      </c>
      <c r="Q30" s="175">
        <f t="shared" si="3"/>
        <v>0.50243541524026925</v>
      </c>
      <c r="R30" s="294">
        <f>'2023'!R30</f>
        <v>164155229.80999997</v>
      </c>
      <c r="S30" s="173">
        <f t="shared" si="4"/>
        <v>26067634.719999969</v>
      </c>
      <c r="T30" s="177">
        <f t="shared" si="5"/>
        <v>0.15879868555008403</v>
      </c>
      <c r="W30" s="470"/>
      <c r="Y30" s="470"/>
    </row>
    <row r="31" spans="1:25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148">
        <f>'2024'!S31</f>
        <v>675262883.24000013</v>
      </c>
      <c r="H31" s="148">
        <f>SUM('2024'!G107:R107)</f>
        <v>698549882.94999993</v>
      </c>
      <c r="I31" s="149">
        <f t="shared" si="0"/>
        <v>-23286999.7099998</v>
      </c>
      <c r="J31" s="557">
        <f t="shared" si="1"/>
        <v>-3.3336201577556679E-2</v>
      </c>
      <c r="K31" s="148">
        <f>SUM('2023'!G31:R31)</f>
        <v>643138738.83000004</v>
      </c>
      <c r="L31" s="149">
        <f t="shared" si="7"/>
        <v>32124144.410000086</v>
      </c>
      <c r="M31" s="153">
        <f t="shared" si="2"/>
        <v>4.9949011730253456E-2</v>
      </c>
      <c r="N31" s="148">
        <f>'2024'!R31</f>
        <v>57788253.059999973</v>
      </c>
      <c r="O31" s="148">
        <f>'2024'!R107</f>
        <v>62805991.889999978</v>
      </c>
      <c r="P31" s="149">
        <f>+N31-O31</f>
        <v>-5017738.8300000057</v>
      </c>
      <c r="Q31" s="151">
        <f>IF(+IF(ISERROR(N31/O31),"…",N31/O31-1)&gt;200%,"...",IF(ISERROR(N31/O31),"…",N31/O31-1))</f>
        <v>-7.9892677099793308E-2</v>
      </c>
      <c r="R31" s="148">
        <f>'2023'!R31</f>
        <v>63771763.909999996</v>
      </c>
      <c r="S31" s="149">
        <f t="shared" si="4"/>
        <v>-5983510.8500000238</v>
      </c>
      <c r="T31" s="153">
        <f t="shared" si="5"/>
        <v>-9.3826961701176215E-2</v>
      </c>
      <c r="W31" s="470"/>
      <c r="Y31" s="470"/>
    </row>
    <row r="32" spans="1:25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148">
        <f>'2024'!S32</f>
        <v>20705381.390000001</v>
      </c>
      <c r="H32" s="148">
        <f>SUM('2024'!G108:R108)</f>
        <v>22976017</v>
      </c>
      <c r="I32" s="149">
        <f t="shared" si="0"/>
        <v>-2270635.6099999994</v>
      </c>
      <c r="J32" s="557">
        <f t="shared" si="1"/>
        <v>-9.8826337480512838E-2</v>
      </c>
      <c r="K32" s="148">
        <f>SUM('2023'!G32:R32)</f>
        <v>18418159.829999998</v>
      </c>
      <c r="L32" s="149">
        <f t="shared" si="7"/>
        <v>2287221.5600000024</v>
      </c>
      <c r="M32" s="153">
        <f t="shared" si="2"/>
        <v>0.12418295753273423</v>
      </c>
      <c r="N32" s="148">
        <f>'2024'!R32</f>
        <v>3369371.71</v>
      </c>
      <c r="O32" s="148">
        <f>'2024'!R108</f>
        <v>2604938.5800000005</v>
      </c>
      <c r="P32" s="149">
        <f t="shared" si="6"/>
        <v>764433.12999999942</v>
      </c>
      <c r="Q32" s="151">
        <f t="shared" si="3"/>
        <v>0.29345533743832042</v>
      </c>
      <c r="R32" s="148">
        <f>'2023'!R32</f>
        <v>2898398.44</v>
      </c>
      <c r="S32" s="149">
        <f t="shared" si="4"/>
        <v>470973.27</v>
      </c>
      <c r="T32" s="153">
        <f t="shared" si="5"/>
        <v>0.16249431530883651</v>
      </c>
      <c r="W32" s="470"/>
      <c r="Y32" s="470"/>
    </row>
    <row r="33" spans="1:25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148">
        <f>'2024'!S33</f>
        <v>40158186.759999998</v>
      </c>
      <c r="H33" s="148">
        <f>SUM('2024'!G109:R109)</f>
        <v>49891504.499999985</v>
      </c>
      <c r="I33" s="149">
        <f t="shared" si="0"/>
        <v>-9733317.7399999872</v>
      </c>
      <c r="J33" s="557">
        <f t="shared" si="1"/>
        <v>-0.19508968185154629</v>
      </c>
      <c r="K33" s="148">
        <f>SUM('2023'!G33:R33)</f>
        <v>45737594.780000001</v>
      </c>
      <c r="L33" s="149">
        <f t="shared" si="7"/>
        <v>-5579408.0200000033</v>
      </c>
      <c r="M33" s="153">
        <f t="shared" si="2"/>
        <v>-0.12198735081801348</v>
      </c>
      <c r="N33" s="148">
        <f>'2024'!R33</f>
        <v>9296726.089999998</v>
      </c>
      <c r="O33" s="148">
        <f>'2024'!R109</f>
        <v>5015149.2499999981</v>
      </c>
      <c r="P33" s="149">
        <f t="shared" si="6"/>
        <v>4281576.84</v>
      </c>
      <c r="Q33" s="151">
        <f t="shared" si="3"/>
        <v>0.85372869810404972</v>
      </c>
      <c r="R33" s="148">
        <f>'2023'!R33</f>
        <v>11505508.789999999</v>
      </c>
      <c r="S33" s="149">
        <f t="shared" si="4"/>
        <v>-2208782.7000000011</v>
      </c>
      <c r="T33" s="153">
        <f t="shared" si="5"/>
        <v>-0.19197609947677952</v>
      </c>
      <c r="W33" s="470"/>
      <c r="Y33" s="470"/>
    </row>
    <row r="34" spans="1:25">
      <c r="A34" s="135">
        <v>414</v>
      </c>
      <c r="B34" s="592" t="str">
        <f>+VLOOKUP($A34,Master!$D$30:$G$226,4,FALSE)</f>
        <v>Rashodi za usluge</v>
      </c>
      <c r="C34" s="593"/>
      <c r="D34" s="593"/>
      <c r="E34" s="593"/>
      <c r="F34" s="593"/>
      <c r="G34" s="148">
        <f>'2024'!S34</f>
        <v>81448988.169999987</v>
      </c>
      <c r="H34" s="148">
        <f>SUM('2024'!G110:R110)</f>
        <v>81923372.330000013</v>
      </c>
      <c r="I34" s="149">
        <f t="shared" si="0"/>
        <v>-474384.16000002623</v>
      </c>
      <c r="J34" s="557">
        <f t="shared" si="1"/>
        <v>-5.7905838896515904E-3</v>
      </c>
      <c r="K34" s="148">
        <f>SUM('2023'!G34:R34)</f>
        <v>72405815.489999995</v>
      </c>
      <c r="L34" s="149">
        <f t="shared" si="7"/>
        <v>9043172.6799999923</v>
      </c>
      <c r="M34" s="153">
        <f t="shared" si="2"/>
        <v>0.12489566782448502</v>
      </c>
      <c r="N34" s="148">
        <f>'2024'!R34</f>
        <v>24152775.589999996</v>
      </c>
      <c r="O34" s="148">
        <f>'2024'!R110</f>
        <v>10908873.049999999</v>
      </c>
      <c r="P34" s="149">
        <f t="shared" si="6"/>
        <v>13243902.539999997</v>
      </c>
      <c r="Q34" s="151">
        <f t="shared" si="3"/>
        <v>1.2140486445572853</v>
      </c>
      <c r="R34" s="148">
        <f>'2023'!R34</f>
        <v>16484846.84</v>
      </c>
      <c r="S34" s="149">
        <f t="shared" si="4"/>
        <v>7667928.7499999963</v>
      </c>
      <c r="T34" s="153">
        <f t="shared" si="5"/>
        <v>0.46515013602637723</v>
      </c>
      <c r="W34" s="470"/>
      <c r="Y34" s="470"/>
    </row>
    <row r="35" spans="1:25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148">
        <f>'2024'!S35</f>
        <v>33900553.730000004</v>
      </c>
      <c r="H35" s="148">
        <f>SUM('2024'!G111:R111)</f>
        <v>39104799.089999996</v>
      </c>
      <c r="I35" s="149">
        <f t="shared" si="0"/>
        <v>-5204245.359999992</v>
      </c>
      <c r="J35" s="557">
        <f t="shared" si="1"/>
        <v>-0.13308456969750393</v>
      </c>
      <c r="K35" s="148">
        <f>SUM('2023'!G35:R35)</f>
        <v>30165166.989999998</v>
      </c>
      <c r="L35" s="149">
        <f t="shared" si="7"/>
        <v>3735386.7400000058</v>
      </c>
      <c r="M35" s="153">
        <f t="shared" si="2"/>
        <v>0.12383113082842589</v>
      </c>
      <c r="N35" s="148">
        <f>'2024'!R35</f>
        <v>7565106.5099999998</v>
      </c>
      <c r="O35" s="148">
        <f>'2024'!R111</f>
        <v>4676426.9999999991</v>
      </c>
      <c r="P35" s="149">
        <f t="shared" si="6"/>
        <v>2888679.5100000007</v>
      </c>
      <c r="Q35" s="151">
        <f t="shared" si="3"/>
        <v>0.61771080998377625</v>
      </c>
      <c r="R35" s="148">
        <f>'2023'!R35</f>
        <v>8369217.7199999997</v>
      </c>
      <c r="S35" s="149">
        <f t="shared" si="4"/>
        <v>-804111.21</v>
      </c>
      <c r="T35" s="153">
        <f t="shared" si="5"/>
        <v>-9.6079614236633804E-2</v>
      </c>
      <c r="W35" s="470"/>
      <c r="Y35" s="470"/>
    </row>
    <row r="36" spans="1:25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148">
        <f>'2024'!S36</f>
        <v>149283481.19</v>
      </c>
      <c r="H36" s="148">
        <f>SUM('2024'!G112:R112)</f>
        <v>147565015.82000002</v>
      </c>
      <c r="I36" s="149">
        <f t="shared" si="0"/>
        <v>1718465.369999975</v>
      </c>
      <c r="J36" s="557">
        <f t="shared" si="1"/>
        <v>1.1645479522708557E-2</v>
      </c>
      <c r="K36" s="148">
        <f>SUM('2023'!G36:R36)</f>
        <v>124542976.23999999</v>
      </c>
      <c r="L36" s="149">
        <f t="shared" si="7"/>
        <v>24740504.950000003</v>
      </c>
      <c r="M36" s="153">
        <f t="shared" si="2"/>
        <v>0.1986503430135147</v>
      </c>
      <c r="N36" s="148">
        <f>'2024'!R36</f>
        <v>27216224.940000001</v>
      </c>
      <c r="O36" s="148">
        <f>'2024'!R112</f>
        <v>17655486.710000001</v>
      </c>
      <c r="P36" s="149">
        <f t="shared" si="6"/>
        <v>9560738.2300000004</v>
      </c>
      <c r="Q36" s="151">
        <f t="shared" si="3"/>
        <v>0.54151654876695265</v>
      </c>
      <c r="R36" s="148">
        <f>'2023'!R36</f>
        <v>26422235.300000001</v>
      </c>
      <c r="S36" s="149">
        <f t="shared" si="4"/>
        <v>793989.6400000006</v>
      </c>
      <c r="T36" s="153">
        <f t="shared" si="5"/>
        <v>3.0050055606007042E-2</v>
      </c>
      <c r="W36" s="470"/>
      <c r="Y36" s="470"/>
    </row>
    <row r="37" spans="1:25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148">
        <f>'2024'!S37</f>
        <v>13883495.820000004</v>
      </c>
      <c r="H37" s="148">
        <f>SUM('2024'!G113:R113)</f>
        <v>14057519.479999999</v>
      </c>
      <c r="I37" s="149">
        <f t="shared" si="0"/>
        <v>-174023.65999999456</v>
      </c>
      <c r="J37" s="557">
        <f t="shared" si="1"/>
        <v>-1.2379400238255567E-2</v>
      </c>
      <c r="K37" s="148">
        <f>SUM('2023'!G37:R37)</f>
        <v>11695752.590000002</v>
      </c>
      <c r="L37" s="149">
        <f t="shared" si="7"/>
        <v>2187743.2300000023</v>
      </c>
      <c r="M37" s="153">
        <f t="shared" si="2"/>
        <v>0.18705450659674061</v>
      </c>
      <c r="N37" s="148">
        <f>'2024'!R37</f>
        <v>3915830.2400000012</v>
      </c>
      <c r="O37" s="148">
        <f>'2024'!R113</f>
        <v>1251287.7599999995</v>
      </c>
      <c r="P37" s="149">
        <f t="shared" si="6"/>
        <v>2664542.4800000014</v>
      </c>
      <c r="Q37" s="151" t="str">
        <f t="shared" si="3"/>
        <v>...</v>
      </c>
      <c r="R37" s="148">
        <f>'2023'!R37</f>
        <v>2362235.2200000002</v>
      </c>
      <c r="S37" s="149">
        <f t="shared" si="4"/>
        <v>1553595.0200000009</v>
      </c>
      <c r="T37" s="153">
        <f t="shared" si="5"/>
        <v>0.65768006794852574</v>
      </c>
      <c r="W37" s="470"/>
      <c r="Y37" s="470"/>
    </row>
    <row r="38" spans="1:25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148">
        <f>'2024'!S38</f>
        <v>88788160.519999951</v>
      </c>
      <c r="H38" s="148">
        <f>SUM('2024'!G114:R114)</f>
        <v>82008999.930000022</v>
      </c>
      <c r="I38" s="149">
        <f t="shared" si="0"/>
        <v>6779160.5899999291</v>
      </c>
      <c r="J38" s="557">
        <f t="shared" si="1"/>
        <v>8.2663617356465435E-2</v>
      </c>
      <c r="K38" s="148">
        <f>SUM('2023'!G38:R38)</f>
        <v>74379966.019999996</v>
      </c>
      <c r="L38" s="149">
        <f t="shared" si="7"/>
        <v>14408194.499999955</v>
      </c>
      <c r="M38" s="153">
        <f t="shared" si="2"/>
        <v>0.19371068946341996</v>
      </c>
      <c r="N38" s="148">
        <f>'2024'!R38</f>
        <v>17955567.600000001</v>
      </c>
      <c r="O38" s="148">
        <f>'2024'!R114</f>
        <v>9829142</v>
      </c>
      <c r="P38" s="149">
        <f t="shared" si="6"/>
        <v>8126425.6000000015</v>
      </c>
      <c r="Q38" s="151">
        <f t="shared" si="3"/>
        <v>0.82676856230177576</v>
      </c>
      <c r="R38" s="148">
        <f>'2023'!R38</f>
        <v>21736324.34</v>
      </c>
      <c r="S38" s="149">
        <f t="shared" si="4"/>
        <v>-3780756.7399999984</v>
      </c>
      <c r="T38" s="153">
        <f t="shared" si="5"/>
        <v>-0.17393726192438652</v>
      </c>
      <c r="W38" s="470"/>
      <c r="Y38" s="470"/>
    </row>
    <row r="39" spans="1:25">
      <c r="A39" s="135">
        <v>419</v>
      </c>
      <c r="B39" s="592" t="str">
        <f>+VLOOKUP($A39,Master!$D$30:$G$226,4,FALSE)</f>
        <v>Ostali izdaci</v>
      </c>
      <c r="C39" s="593"/>
      <c r="D39" s="593"/>
      <c r="E39" s="593"/>
      <c r="F39" s="593"/>
      <c r="G39" s="148">
        <f>'2024'!S39</f>
        <v>89032151.859999999</v>
      </c>
      <c r="H39" s="148">
        <f>SUM('2024'!G115:R115)</f>
        <v>91170839.610000014</v>
      </c>
      <c r="I39" s="149">
        <f t="shared" si="0"/>
        <v>-2138687.7500000149</v>
      </c>
      <c r="J39" s="557">
        <f t="shared" si="1"/>
        <v>-2.3458024069413441E-2</v>
      </c>
      <c r="K39" s="148">
        <f>SUM('2023'!G39:R39)</f>
        <v>52694855.319999993</v>
      </c>
      <c r="L39" s="149">
        <f t="shared" si="7"/>
        <v>36337296.540000007</v>
      </c>
      <c r="M39" s="153">
        <f t="shared" si="2"/>
        <v>0.68957958645743589</v>
      </c>
      <c r="N39" s="148">
        <f>'2024'!R39</f>
        <v>38963008.789999999</v>
      </c>
      <c r="O39" s="148">
        <f>'2024'!R115</f>
        <v>11862382.02</v>
      </c>
      <c r="P39" s="149">
        <f t="shared" si="6"/>
        <v>27100626.77</v>
      </c>
      <c r="Q39" s="151" t="str">
        <f t="shared" si="3"/>
        <v>...</v>
      </c>
      <c r="R39" s="148">
        <f>'2023'!R39</f>
        <v>10604699.25</v>
      </c>
      <c r="S39" s="149">
        <f t="shared" si="4"/>
        <v>28358309.539999999</v>
      </c>
      <c r="T39" s="153" t="str">
        <f t="shared" si="5"/>
        <v>...</v>
      </c>
      <c r="W39" s="470"/>
      <c r="Y39" s="470"/>
    </row>
    <row r="40" spans="1:25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'2024'!S40</f>
        <v>1008229217.2699997</v>
      </c>
      <c r="H40" s="178">
        <f>SUM('2024'!G116:R116)</f>
        <v>1007332585.64</v>
      </c>
      <c r="I40" s="179">
        <f t="shared" si="0"/>
        <v>896631.62999975681</v>
      </c>
      <c r="J40" s="181">
        <f t="shared" si="1"/>
        <v>8.9010485988616495E-4</v>
      </c>
      <c r="K40" s="178">
        <f>SUM('2023'!G40:R40)</f>
        <v>824557532.38999999</v>
      </c>
      <c r="L40" s="179">
        <f t="shared" si="7"/>
        <v>183671684.87999976</v>
      </c>
      <c r="M40" s="183">
        <f t="shared" si="2"/>
        <v>0.22275181253589782</v>
      </c>
      <c r="N40" s="178">
        <f>'2024'!R40</f>
        <v>93256353.089999989</v>
      </c>
      <c r="O40" s="178">
        <f>'2024'!R116</f>
        <v>86802592.889999986</v>
      </c>
      <c r="P40" s="179">
        <f t="shared" si="6"/>
        <v>6453760.200000003</v>
      </c>
      <c r="Q40" s="181">
        <f t="shared" si="3"/>
        <v>7.4349855057653569E-2</v>
      </c>
      <c r="R40" s="178">
        <f>'2023'!R40</f>
        <v>78274560.48999998</v>
      </c>
      <c r="S40" s="179">
        <f t="shared" si="4"/>
        <v>14981792.600000009</v>
      </c>
      <c r="T40" s="183">
        <f t="shared" si="5"/>
        <v>0.19140053302393212</v>
      </c>
      <c r="W40" s="470"/>
      <c r="Y40" s="470"/>
    </row>
    <row r="41" spans="1:25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148">
        <f>'2024'!S41</f>
        <v>213056822.80000001</v>
      </c>
      <c r="H41" s="148">
        <f>SUM('2024'!G117:R117)</f>
        <v>212063000.00000003</v>
      </c>
      <c r="I41" s="149">
        <f t="shared" si="0"/>
        <v>993822.79999998212</v>
      </c>
      <c r="J41" s="151">
        <f t="shared" si="1"/>
        <v>4.686450724548763E-3</v>
      </c>
      <c r="K41" s="148">
        <f>SUM('2023'!G41:R41)</f>
        <v>209887201.35000002</v>
      </c>
      <c r="L41" s="149">
        <f t="shared" si="7"/>
        <v>3169621.4499999881</v>
      </c>
      <c r="M41" s="153">
        <f t="shared" si="2"/>
        <v>1.5101547067247978E-2</v>
      </c>
      <c r="N41" s="148">
        <f>'2024'!R41</f>
        <v>17695774.5</v>
      </c>
      <c r="O41" s="148">
        <f>'2024'!R117</f>
        <v>18073921.289999999</v>
      </c>
      <c r="P41" s="149">
        <f t="shared" si="6"/>
        <v>-378146.78999999911</v>
      </c>
      <c r="Q41" s="151">
        <f t="shared" si="3"/>
        <v>-2.0922232864277301E-2</v>
      </c>
      <c r="R41" s="148">
        <f>'2023'!R41</f>
        <v>18568343.829999998</v>
      </c>
      <c r="S41" s="149">
        <f t="shared" si="4"/>
        <v>-872569.32999999821</v>
      </c>
      <c r="T41" s="153">
        <f t="shared" si="5"/>
        <v>-4.6992307875634465E-2</v>
      </c>
      <c r="W41" s="470"/>
      <c r="Y41" s="470"/>
    </row>
    <row r="42" spans="1:25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148">
        <f>'2024'!S42</f>
        <v>26016571.370000005</v>
      </c>
      <c r="H42" s="148">
        <f>SUM('2024'!G118:R118)</f>
        <v>20935300</v>
      </c>
      <c r="I42" s="149">
        <f t="shared" si="0"/>
        <v>5081271.3700000048</v>
      </c>
      <c r="J42" s="151">
        <f t="shared" si="1"/>
        <v>0.24271309080834791</v>
      </c>
      <c r="K42" s="148">
        <f>SUM('2023'!G42:R42)</f>
        <v>23703789.82</v>
      </c>
      <c r="L42" s="149">
        <f t="shared" si="7"/>
        <v>2312781.5500000045</v>
      </c>
      <c r="M42" s="153">
        <f t="shared" si="2"/>
        <v>9.7570117165340475E-2</v>
      </c>
      <c r="N42" s="148">
        <f>'2024'!R42</f>
        <v>7258641.3300000001</v>
      </c>
      <c r="O42" s="148">
        <f>'2024'!R118</f>
        <v>1817334.8099999998</v>
      </c>
      <c r="P42" s="149">
        <f t="shared" si="6"/>
        <v>5441306.5200000005</v>
      </c>
      <c r="Q42" s="151" t="str">
        <f t="shared" si="3"/>
        <v>...</v>
      </c>
      <c r="R42" s="148">
        <f>'2023'!R42</f>
        <v>3362791.1</v>
      </c>
      <c r="S42" s="149">
        <f t="shared" si="4"/>
        <v>3895850.23</v>
      </c>
      <c r="T42" s="153">
        <f t="shared" si="5"/>
        <v>1.1585168730820063</v>
      </c>
      <c r="W42" s="470"/>
      <c r="Y42" s="470"/>
    </row>
    <row r="43" spans="1:25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148">
        <f>'2024'!S43</f>
        <v>730408864.30999994</v>
      </c>
      <c r="H43" s="148">
        <f>SUM('2024'!G119:R119)</f>
        <v>737175197.21999979</v>
      </c>
      <c r="I43" s="149">
        <f t="shared" si="0"/>
        <v>-6766332.9099998474</v>
      </c>
      <c r="J43" s="151">
        <f t="shared" si="1"/>
        <v>-9.1787311015301132E-3</v>
      </c>
      <c r="K43" s="148">
        <f>SUM('2023'!G43:R43)</f>
        <v>553810698.30999994</v>
      </c>
      <c r="L43" s="149">
        <f t="shared" si="7"/>
        <v>176598166</v>
      </c>
      <c r="M43" s="153">
        <f t="shared" si="2"/>
        <v>0.31887821332976096</v>
      </c>
      <c r="N43" s="148">
        <f>'2024'!R43</f>
        <v>63648277.499999985</v>
      </c>
      <c r="O43" s="148">
        <f>'2024'!R119</f>
        <v>64325640.649999991</v>
      </c>
      <c r="P43" s="149">
        <f t="shared" si="6"/>
        <v>-677363.15000000596</v>
      </c>
      <c r="Q43" s="151">
        <f t="shared" si="3"/>
        <v>-1.0530220035981919E-2</v>
      </c>
      <c r="R43" s="148">
        <f>'2023'!R43</f>
        <v>49983172.299999997</v>
      </c>
      <c r="S43" s="149">
        <f t="shared" si="4"/>
        <v>13665105.199999988</v>
      </c>
      <c r="T43" s="153">
        <f t="shared" si="5"/>
        <v>0.27339411588327667</v>
      </c>
      <c r="W43" s="470"/>
      <c r="Y43" s="470"/>
    </row>
    <row r="44" spans="1:25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148">
        <f>'2024'!S44</f>
        <v>22113621.280000001</v>
      </c>
      <c r="H44" s="148">
        <f>SUM('2024'!G120:R120)</f>
        <v>21560000</v>
      </c>
      <c r="I44" s="149">
        <f t="shared" si="0"/>
        <v>553621.28000000119</v>
      </c>
      <c r="J44" s="151">
        <f t="shared" si="1"/>
        <v>2.5678166975881211E-2</v>
      </c>
      <c r="K44" s="148">
        <f>SUM('2023'!G44:R44)</f>
        <v>20559593.510000002</v>
      </c>
      <c r="L44" s="149">
        <f t="shared" si="7"/>
        <v>1554027.7699999996</v>
      </c>
      <c r="M44" s="153">
        <f t="shared" si="2"/>
        <v>7.5586502682756462E-2</v>
      </c>
      <c r="N44" s="148">
        <f>'2024'!R44</f>
        <v>2910809.95</v>
      </c>
      <c r="O44" s="148">
        <f>'2024'!R120</f>
        <v>1506000</v>
      </c>
      <c r="P44" s="149">
        <f t="shared" si="6"/>
        <v>1404809.9500000002</v>
      </c>
      <c r="Q44" s="151">
        <f t="shared" si="3"/>
        <v>0.93280873173970802</v>
      </c>
      <c r="R44" s="148">
        <f>'2023'!R44</f>
        <v>3362791.1</v>
      </c>
      <c r="S44" s="149">
        <f t="shared" si="4"/>
        <v>-451981.14999999991</v>
      </c>
      <c r="T44" s="153">
        <f t="shared" si="5"/>
        <v>-0.1344065499638083</v>
      </c>
      <c r="W44" s="470"/>
      <c r="Y44" s="470"/>
    </row>
    <row r="45" spans="1:25">
      <c r="A45" s="135">
        <v>425</v>
      </c>
      <c r="B45" s="592" t="str">
        <f>+VLOOKUP($A45,Master!$D$30:$G$226,4,FALSE)</f>
        <v>Ostala prava iz zdravstvenog osiguranja</v>
      </c>
      <c r="C45" s="593"/>
      <c r="D45" s="593"/>
      <c r="E45" s="593"/>
      <c r="F45" s="593"/>
      <c r="G45" s="148">
        <f>'2024'!S45</f>
        <v>16633337.510000005</v>
      </c>
      <c r="H45" s="148">
        <f>SUM('2024'!G121:R121)</f>
        <v>15599088.420000002</v>
      </c>
      <c r="I45" s="149">
        <f t="shared" si="0"/>
        <v>1034249.0900000036</v>
      </c>
      <c r="J45" s="151">
        <f t="shared" si="1"/>
        <v>6.6301892915355598E-2</v>
      </c>
      <c r="K45" s="148">
        <f>SUM('2023'!G45:R45)</f>
        <v>16596249.4</v>
      </c>
      <c r="L45" s="149">
        <f t="shared" si="7"/>
        <v>37088.110000004992</v>
      </c>
      <c r="M45" s="153">
        <f t="shared" si="2"/>
        <v>2.2347284079742291E-3</v>
      </c>
      <c r="N45" s="148">
        <f>'2024'!R45</f>
        <v>1742849.8100000003</v>
      </c>
      <c r="O45" s="148">
        <f>'2024'!R121</f>
        <v>1079696.1400000001</v>
      </c>
      <c r="P45" s="149">
        <f t="shared" si="6"/>
        <v>663153.67000000016</v>
      </c>
      <c r="Q45" s="151">
        <f t="shared" si="3"/>
        <v>0.61420398335405735</v>
      </c>
      <c r="R45" s="148">
        <f>'2023'!R45</f>
        <v>2997462.16</v>
      </c>
      <c r="S45" s="149">
        <f t="shared" si="4"/>
        <v>-1254612.3499999999</v>
      </c>
      <c r="T45" s="153">
        <f t="shared" si="5"/>
        <v>-0.41855819457617438</v>
      </c>
      <c r="W45" s="470"/>
      <c r="Y45" s="470"/>
    </row>
    <row r="46" spans="1:25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f>'2024'!S46</f>
        <v>429406210.39000005</v>
      </c>
      <c r="H46" s="160">
        <f>SUM('2024'!G122:R122)</f>
        <v>419829336.48000008</v>
      </c>
      <c r="I46" s="161">
        <f t="shared" si="0"/>
        <v>9576873.9099999666</v>
      </c>
      <c r="J46" s="163">
        <f t="shared" si="1"/>
        <v>2.2811349941135317E-2</v>
      </c>
      <c r="K46" s="160">
        <f>SUM('2023'!G46:R46)</f>
        <v>380696984.31</v>
      </c>
      <c r="L46" s="161">
        <f t="shared" si="7"/>
        <v>48709226.080000043</v>
      </c>
      <c r="M46" s="165">
        <f t="shared" si="2"/>
        <v>0.12794749653266568</v>
      </c>
      <c r="N46" s="160">
        <f>'2024'!R46</f>
        <v>86074511.290000021</v>
      </c>
      <c r="O46" s="160">
        <f>'2024'!R122</f>
        <v>37535805.210000001</v>
      </c>
      <c r="P46" s="161">
        <f t="shared" si="6"/>
        <v>48538706.080000021</v>
      </c>
      <c r="Q46" s="163">
        <f t="shared" si="3"/>
        <v>1.2931308069306771</v>
      </c>
      <c r="R46" s="160">
        <f>'2023'!R46</f>
        <v>71009194.980000004</v>
      </c>
      <c r="S46" s="161">
        <f t="shared" si="4"/>
        <v>15065316.310000017</v>
      </c>
      <c r="T46" s="165">
        <f t="shared" si="5"/>
        <v>0.21216007749761445</v>
      </c>
      <c r="W46" s="470"/>
      <c r="Y46" s="470"/>
    </row>
    <row r="47" spans="1:25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f>'2024'!S47</f>
        <v>280754371.82999992</v>
      </c>
      <c r="H47" s="160">
        <f>SUM('2024'!G123:R123)</f>
        <v>269809175.69999999</v>
      </c>
      <c r="I47" s="161">
        <f t="shared" si="0"/>
        <v>10945196.129999936</v>
      </c>
      <c r="J47" s="163">
        <f t="shared" si="1"/>
        <v>4.0566434042146327E-2</v>
      </c>
      <c r="K47" s="160">
        <f>SUM('2023'!G47:R47)</f>
        <v>238641750.86000001</v>
      </c>
      <c r="L47" s="161">
        <f t="shared" si="7"/>
        <v>42112620.969999909</v>
      </c>
      <c r="M47" s="165">
        <f t="shared" si="2"/>
        <v>0.17646795172360852</v>
      </c>
      <c r="N47" s="160">
        <f>'2024'!R47</f>
        <v>91475231.98999998</v>
      </c>
      <c r="O47" s="160">
        <f>'2024'!R123</f>
        <v>42977744.680000007</v>
      </c>
      <c r="P47" s="161">
        <f t="shared" si="6"/>
        <v>48497487.309999973</v>
      </c>
      <c r="Q47" s="163">
        <f t="shared" si="3"/>
        <v>1.1284325799573334</v>
      </c>
      <c r="R47" s="160">
        <f>'2023'!R47</f>
        <v>78800869.299999997</v>
      </c>
      <c r="S47" s="161">
        <f t="shared" si="4"/>
        <v>12674362.689999983</v>
      </c>
      <c r="T47" s="165">
        <f t="shared" si="5"/>
        <v>0.16084039176963727</v>
      </c>
      <c r="W47" s="470"/>
      <c r="Y47" s="470"/>
    </row>
    <row r="48" spans="1:25">
      <c r="A48" s="135">
        <v>451</v>
      </c>
      <c r="B48" s="560" t="str">
        <f>+VLOOKUP($A48,Master!$D$30:$G$226,4,FALSE)</f>
        <v>Pozajmice i krediti</v>
      </c>
      <c r="C48" s="561"/>
      <c r="D48" s="561"/>
      <c r="E48" s="561"/>
      <c r="F48" s="561"/>
      <c r="G48" s="148">
        <f>'2024'!S48</f>
        <v>0</v>
      </c>
      <c r="H48" s="148">
        <f>SUM('2024'!G124:R124)</f>
        <v>0</v>
      </c>
      <c r="I48" s="149">
        <f>G48-H48</f>
        <v>0</v>
      </c>
      <c r="J48" s="266" t="str">
        <f t="shared" si="1"/>
        <v>...</v>
      </c>
      <c r="K48" s="148">
        <f>SUM('2023'!G48:R48)</f>
        <v>0</v>
      </c>
      <c r="L48" s="263">
        <f t="shared" si="7"/>
        <v>0</v>
      </c>
      <c r="M48" s="475" t="str">
        <f t="shared" si="2"/>
        <v>...</v>
      </c>
      <c r="N48" s="148">
        <f>'2024'!R48</f>
        <v>0</v>
      </c>
      <c r="O48" s="148">
        <f>'2024'!R124</f>
        <v>0</v>
      </c>
      <c r="P48" s="149">
        <f t="shared" si="6"/>
        <v>0</v>
      </c>
      <c r="Q48" s="266" t="str">
        <f t="shared" si="3"/>
        <v>...</v>
      </c>
      <c r="R48" s="148">
        <f>'2023'!R48</f>
        <v>0</v>
      </c>
      <c r="S48" s="263">
        <f>+N48-R48-S58</f>
        <v>138179.85999999999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0" t="str">
        <f>+VLOOKUP($A49,Master!$D$30:$G$226,4,FALSE)</f>
        <v>Rezerve</v>
      </c>
      <c r="C49" s="561"/>
      <c r="D49" s="561"/>
      <c r="E49" s="561"/>
      <c r="F49" s="561"/>
      <c r="G49" s="148">
        <f>'2024'!S49</f>
        <v>48809282.959999979</v>
      </c>
      <c r="H49" s="148">
        <f>SUM('2024'!G125:R125)</f>
        <v>62061139.480000004</v>
      </c>
      <c r="I49" s="149">
        <f t="shared" ref="I49:I50" si="8">G49-H49</f>
        <v>-13251856.520000026</v>
      </c>
      <c r="J49" s="267">
        <f t="shared" si="1"/>
        <v>-0.21352905587997795</v>
      </c>
      <c r="K49" s="148">
        <f>SUM('2023'!G49:R49)</f>
        <v>18267919.309999999</v>
      </c>
      <c r="L49" s="264">
        <f t="shared" si="7"/>
        <v>30541363.64999998</v>
      </c>
      <c r="M49" s="476">
        <f t="shared" si="2"/>
        <v>1.6718578143314549</v>
      </c>
      <c r="N49" s="148">
        <f>'2024'!R49</f>
        <v>25368889.319999978</v>
      </c>
      <c r="O49" s="148">
        <f>'2024'!R125</f>
        <v>10387962.91</v>
      </c>
      <c r="P49" s="149">
        <f t="shared" si="6"/>
        <v>14980926.409999978</v>
      </c>
      <c r="Q49" s="267">
        <f t="shared" si="3"/>
        <v>1.4421428474276268</v>
      </c>
      <c r="R49" s="148">
        <f>'2023'!R49</f>
        <v>5408961.6500000004</v>
      </c>
      <c r="S49" s="264">
        <f t="shared" si="4"/>
        <v>19959927.669999979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f>'2024'!S50</f>
        <v>5849367.6699999999</v>
      </c>
      <c r="H50" s="148">
        <f>SUM('2024'!G126:R126)</f>
        <v>2</v>
      </c>
      <c r="I50" s="149">
        <f t="shared" si="8"/>
        <v>5849365.6699999999</v>
      </c>
      <c r="J50" s="268" t="str">
        <f t="shared" si="1"/>
        <v>...</v>
      </c>
      <c r="K50" s="148">
        <f>SUM('2023'!G50:R50)</f>
        <v>2813572.16</v>
      </c>
      <c r="L50" s="264">
        <f t="shared" si="7"/>
        <v>3035795.51</v>
      </c>
      <c r="M50" s="477">
        <f t="shared" si="2"/>
        <v>1.0789826375023557</v>
      </c>
      <c r="N50" s="148">
        <f>'2024'!R50</f>
        <v>0</v>
      </c>
      <c r="O50" s="148">
        <f>'2024'!R126</f>
        <v>0.5</v>
      </c>
      <c r="P50" s="149">
        <f t="shared" si="6"/>
        <v>-0.5</v>
      </c>
      <c r="Q50" s="268">
        <f t="shared" si="3"/>
        <v>-1</v>
      </c>
      <c r="R50" s="148">
        <f>'2023'!R50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8" t="str">
        <f>+VLOOKUP($A51,Master!$D$30:$G$226,4,FALSE)</f>
        <v>Otplata obaveza iz prethodnog perioda</v>
      </c>
      <c r="C51" s="579"/>
      <c r="D51" s="579"/>
      <c r="E51" s="579"/>
      <c r="F51" s="579"/>
      <c r="G51" s="295">
        <f>'2024'!S51</f>
        <v>20476534.929999996</v>
      </c>
      <c r="H51" s="295">
        <f>SUM('2024'!G127:R127)</f>
        <v>21837436.699999999</v>
      </c>
      <c r="I51" s="265">
        <f>G51-H51</f>
        <v>-1360901.7700000033</v>
      </c>
      <c r="J51" s="269">
        <f t="shared" si="1"/>
        <v>-6.2319666391981055E-2</v>
      </c>
      <c r="K51" s="295">
        <f>SUM('2023'!G51:R51)</f>
        <v>17366233.710000001</v>
      </c>
      <c r="L51" s="271">
        <f t="shared" si="7"/>
        <v>3110301.2199999951</v>
      </c>
      <c r="M51" s="478">
        <f t="shared" si="2"/>
        <v>0.17910050457336579</v>
      </c>
      <c r="N51" s="295">
        <f>'2024'!R51</f>
        <v>2189241.63</v>
      </c>
      <c r="O51" s="295">
        <f>'2024'!R127</f>
        <v>5198427.18</v>
      </c>
      <c r="P51" s="265">
        <f>N51-O51</f>
        <v>-3009185.55</v>
      </c>
      <c r="Q51" s="269">
        <f t="shared" si="3"/>
        <v>-0.57886461535467726</v>
      </c>
      <c r="R51" s="295">
        <f>'2023'!R51</f>
        <v>2460397.66</v>
      </c>
      <c r="S51" s="271">
        <f>+N51-R51</f>
        <v>-271156.03000000026</v>
      </c>
      <c r="T51" s="478">
        <f t="shared" si="5"/>
        <v>-0.11020821325281227</v>
      </c>
      <c r="W51" s="470"/>
      <c r="Y51" s="470"/>
    </row>
    <row r="52" spans="1:25" ht="15.75" thickBot="1">
      <c r="A52" s="129">
        <v>1005</v>
      </c>
      <c r="B52" s="578" t="str">
        <f>+VLOOKUP($A52,Master!$D$30:$G$228,4,FALSE)</f>
        <v>Neto povećanje obaveza</v>
      </c>
      <c r="C52" s="579"/>
      <c r="D52" s="579"/>
      <c r="E52" s="579"/>
      <c r="F52" s="579"/>
      <c r="G52" s="148">
        <f>'2024'!S52</f>
        <v>0</v>
      </c>
      <c r="H52" s="148">
        <f>SUM('2024'!G128:R128)</f>
        <v>0</v>
      </c>
      <c r="I52" s="265">
        <f>G52-H52</f>
        <v>0</v>
      </c>
      <c r="J52" s="269" t="str">
        <f t="shared" si="1"/>
        <v>...</v>
      </c>
      <c r="K52" s="148">
        <f>SUM('2023'!G52:R52)</f>
        <v>0</v>
      </c>
      <c r="L52" s="271">
        <f t="shared" si="7"/>
        <v>0</v>
      </c>
      <c r="M52" s="478" t="str">
        <f t="shared" si="2"/>
        <v>...</v>
      </c>
      <c r="N52" s="148">
        <f>'2024'!R52</f>
        <v>0</v>
      </c>
      <c r="O52" s="148">
        <f>'2024'!R128</f>
        <v>0</v>
      </c>
      <c r="P52" s="265">
        <f>N52-O52</f>
        <v>0</v>
      </c>
      <c r="Q52" s="269" t="str">
        <f t="shared" si="3"/>
        <v>...</v>
      </c>
      <c r="R52" s="148">
        <f>'2023'!R52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>'2024'!S53</f>
        <v>-230920394.8099997</v>
      </c>
      <c r="H53" s="136">
        <f>SUM('2024'!G129:R129)</f>
        <v>-235469478.17962381</v>
      </c>
      <c r="I53" s="299">
        <f>+G53-H53</f>
        <v>4549083.3696241081</v>
      </c>
      <c r="J53" s="270">
        <f t="shared" si="1"/>
        <v>-1.93192060592835E-2</v>
      </c>
      <c r="K53" s="136">
        <f>SUM('2023'!G53:R53)</f>
        <v>10935291.120000303</v>
      </c>
      <c r="L53" s="272">
        <f t="shared" si="7"/>
        <v>-241855685.93000001</v>
      </c>
      <c r="M53" s="479">
        <f t="shared" si="2"/>
        <v>-22.116986486775243</v>
      </c>
      <c r="N53" s="136">
        <f>'2024'!R53</f>
        <v>-231264561.49999991</v>
      </c>
      <c r="O53" s="136">
        <f>'2024'!R129</f>
        <v>-27008273.183884382</v>
      </c>
      <c r="P53" s="299">
        <f>N53-O53</f>
        <v>-204256288.31611553</v>
      </c>
      <c r="Q53" s="270" t="str">
        <f t="shared" si="3"/>
        <v>...</v>
      </c>
      <c r="R53" s="136">
        <f>'2023'!R53</f>
        <v>-146305166.79999995</v>
      </c>
      <c r="S53" s="272">
        <f t="shared" si="4"/>
        <v>-84959394.699999958</v>
      </c>
      <c r="T53" s="479">
        <f t="shared" si="5"/>
        <v>0.58069989295825741</v>
      </c>
      <c r="W53" s="470"/>
      <c r="Y53" s="470"/>
    </row>
    <row r="54" spans="1:25" ht="15.7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36">
        <f>'2024'!S54</f>
        <v>-81636913.619999692</v>
      </c>
      <c r="H54" s="136">
        <f>SUM('2024'!G130:R130)</f>
        <v>-87904462.35962379</v>
      </c>
      <c r="I54" s="191">
        <f t="shared" si="0"/>
        <v>6267548.7396240979</v>
      </c>
      <c r="J54" s="193">
        <f t="shared" si="1"/>
        <v>-7.1299551483326118E-2</v>
      </c>
      <c r="K54" s="136">
        <f>SUM('2023'!G54:R54)</f>
        <v>135478267.36000025</v>
      </c>
      <c r="L54" s="191">
        <f t="shared" si="7"/>
        <v>-217115180.97999996</v>
      </c>
      <c r="M54" s="195">
        <f t="shared" si="2"/>
        <v>-1.6025830947709836</v>
      </c>
      <c r="N54" s="136">
        <f>'2024'!R54</f>
        <v>-204048336.55999991</v>
      </c>
      <c r="O54" s="136">
        <f>'2024'!R130</f>
        <v>-9352786.4738843814</v>
      </c>
      <c r="P54" s="191">
        <f t="shared" si="6"/>
        <v>-194695550.08611554</v>
      </c>
      <c r="Q54" s="193" t="str">
        <f t="shared" si="3"/>
        <v>...</v>
      </c>
      <c r="R54" s="136">
        <f>'2023'!R54</f>
        <v>-119882931.49999996</v>
      </c>
      <c r="S54" s="191">
        <f t="shared" si="4"/>
        <v>-84165405.059999958</v>
      </c>
      <c r="T54" s="195">
        <f t="shared" si="5"/>
        <v>0.70206328796689443</v>
      </c>
      <c r="W54" s="470"/>
      <c r="Y54" s="470"/>
    </row>
    <row r="55" spans="1:25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460">
        <f>'2024'!S55</f>
        <v>495639249.9600001</v>
      </c>
      <c r="H55" s="460">
        <f>SUM('2024'!G131:R131)</f>
        <v>504487116.29999995</v>
      </c>
      <c r="I55" s="461">
        <f t="shared" si="0"/>
        <v>-8847866.3399998546</v>
      </c>
      <c r="J55" s="462">
        <f t="shared" si="1"/>
        <v>-1.7538339541536163E-2</v>
      </c>
      <c r="K55" s="460">
        <f>SUM('2023'!G55:R55)</f>
        <v>301206013.87</v>
      </c>
      <c r="L55" s="461">
        <f t="shared" si="7"/>
        <v>194433236.09000009</v>
      </c>
      <c r="M55" s="480">
        <f t="shared" si="2"/>
        <v>0.64551578367195939</v>
      </c>
      <c r="N55" s="460">
        <f>'2024'!R55</f>
        <v>36634252.979999997</v>
      </c>
      <c r="O55" s="460">
        <f>'2024'!R131</f>
        <v>37862417.960000001</v>
      </c>
      <c r="P55" s="461">
        <f t="shared" si="6"/>
        <v>-1228164.9800000042</v>
      </c>
      <c r="Q55" s="462">
        <f t="shared" si="3"/>
        <v>-3.2437573883884241E-2</v>
      </c>
      <c r="R55" s="460">
        <f>'2023'!R55</f>
        <v>24921546.210000001</v>
      </c>
      <c r="S55" s="461">
        <f t="shared" si="4"/>
        <v>11712706.769999996</v>
      </c>
      <c r="T55" s="480">
        <f t="shared" si="5"/>
        <v>0.4699831491715456</v>
      </c>
      <c r="W55" s="470"/>
      <c r="Y55" s="470"/>
    </row>
    <row r="56" spans="1:25">
      <c r="A56" s="129">
        <v>4611</v>
      </c>
      <c r="B56" s="560" t="str">
        <f>+VLOOKUP($A56,Master!$D$30:$G$226,4,FALSE)</f>
        <v>Otplata hartija od vrijednosti i kredita rezidentima</v>
      </c>
      <c r="C56" s="561"/>
      <c r="D56" s="561"/>
      <c r="E56" s="561"/>
      <c r="F56" s="561"/>
      <c r="G56" s="148">
        <f>'2024'!S56</f>
        <v>206764325.04000002</v>
      </c>
      <c r="H56" s="148">
        <f>SUM('2024'!G132:R132)</f>
        <v>214967116.29999995</v>
      </c>
      <c r="I56" s="197">
        <f t="shared" si="0"/>
        <v>-8202791.2599999309</v>
      </c>
      <c r="J56" s="199">
        <f t="shared" si="1"/>
        <v>-3.8158353710957438E-2</v>
      </c>
      <c r="K56" s="148">
        <f>SUM('2023'!G56:R56)</f>
        <v>74535564.899999991</v>
      </c>
      <c r="L56" s="197">
        <f t="shared" si="7"/>
        <v>132228760.14000003</v>
      </c>
      <c r="M56" s="201">
        <f t="shared" si="2"/>
        <v>1.7740357950919621</v>
      </c>
      <c r="N56" s="148">
        <f>'2024'!R56</f>
        <v>13242556.039999997</v>
      </c>
      <c r="O56" s="148">
        <f>'2024'!R132</f>
        <v>11354892.23</v>
      </c>
      <c r="P56" s="197">
        <f t="shared" si="6"/>
        <v>1887663.8099999968</v>
      </c>
      <c r="Q56" s="199">
        <f t="shared" si="3"/>
        <v>0.16624233605782068</v>
      </c>
      <c r="R56" s="148">
        <f>'2023'!R56</f>
        <v>750761.52</v>
      </c>
      <c r="S56" s="197">
        <f t="shared" si="4"/>
        <v>12491794.519999998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148">
        <f>'2024'!S57</f>
        <v>288874924.92000002</v>
      </c>
      <c r="H57" s="148">
        <f>SUM('2024'!G133:R133)</f>
        <v>289520000</v>
      </c>
      <c r="I57" s="197">
        <f t="shared" si="0"/>
        <v>-645075.07999998331</v>
      </c>
      <c r="J57" s="199">
        <f t="shared" si="1"/>
        <v>-2.2280846919038311E-3</v>
      </c>
      <c r="K57" s="148">
        <f>SUM('2023'!G57:R57)</f>
        <v>226670448.96999997</v>
      </c>
      <c r="L57" s="197">
        <f t="shared" si="7"/>
        <v>62204475.950000048</v>
      </c>
      <c r="M57" s="201">
        <f t="shared" si="2"/>
        <v>0.27442693228279125</v>
      </c>
      <c r="N57" s="148">
        <f>'2024'!R57</f>
        <v>23391696.940000001</v>
      </c>
      <c r="O57" s="148">
        <f>'2024'!R133</f>
        <v>26507525.73</v>
      </c>
      <c r="P57" s="197">
        <f t="shared" si="6"/>
        <v>-3115828.7899999991</v>
      </c>
      <c r="Q57" s="199">
        <f t="shared" si="3"/>
        <v>-0.11754506330531056</v>
      </c>
      <c r="R57" s="148">
        <f>'2023'!R57</f>
        <v>24170784.690000001</v>
      </c>
      <c r="S57" s="197">
        <f t="shared" si="4"/>
        <v>-779087.75</v>
      </c>
      <c r="T57" s="201">
        <f t="shared" si="5"/>
        <v>-3.2232621323308841E-2</v>
      </c>
      <c r="W57" s="470"/>
      <c r="Y57" s="470"/>
    </row>
    <row r="58" spans="1:25" ht="15.75" thickBot="1">
      <c r="A58" s="129">
        <v>4418</v>
      </c>
      <c r="B58" s="588" t="str">
        <f>+VLOOKUP($A58,Master!$D$30:$G$226,4,FALSE)</f>
        <v>Izdaci za kupovinu hartija od vrijednosti</v>
      </c>
      <c r="C58" s="589"/>
      <c r="D58" s="589"/>
      <c r="E58" s="589"/>
      <c r="F58" s="589"/>
      <c r="G58" s="313">
        <f>'2024'!S58</f>
        <v>3269563.45</v>
      </c>
      <c r="H58" s="313">
        <f>SUM('2024'!G134:R134)</f>
        <v>3779002</v>
      </c>
      <c r="I58" s="314">
        <f t="shared" ref="I58:I66" si="9">+G58-H58</f>
        <v>-509438.54999999981</v>
      </c>
      <c r="J58" s="315">
        <f t="shared" si="1"/>
        <v>-0.13480769525922442</v>
      </c>
      <c r="K58" s="313">
        <f>SUM('2023'!G58:R58)</f>
        <v>859046.62</v>
      </c>
      <c r="L58" s="314">
        <f t="shared" ref="L58:L66" si="10">+G58-K58</f>
        <v>2410516.83</v>
      </c>
      <c r="M58" s="481" t="str">
        <f t="shared" si="2"/>
        <v>...</v>
      </c>
      <c r="N58" s="313">
        <f>'2024'!R58</f>
        <v>0</v>
      </c>
      <c r="O58" s="313">
        <f>'2024'!R134</f>
        <v>89402.709999999992</v>
      </c>
      <c r="P58" s="314">
        <f t="shared" ref="P58:P66" si="11">+N58-O58</f>
        <v>-89402.709999999992</v>
      </c>
      <c r="Q58" s="315">
        <f t="shared" si="3"/>
        <v>-1</v>
      </c>
      <c r="R58" s="313">
        <f>'2023'!R58</f>
        <v>138179.85999999999</v>
      </c>
      <c r="S58" s="314">
        <f t="shared" ref="S58:S66" si="12">+N58-R58</f>
        <v>-138179.85999999999</v>
      </c>
      <c r="T58" s="481">
        <f t="shared" si="5"/>
        <v>-1</v>
      </c>
      <c r="W58" s="470"/>
      <c r="Y58" s="470"/>
    </row>
    <row r="59" spans="1:25" ht="15.75" thickBot="1">
      <c r="A59" s="129">
        <v>451</v>
      </c>
      <c r="B59" s="598" t="str">
        <f>+VLOOKUP($A59,Master!$D$30:$G$226,4,FALSE)</f>
        <v>Pozajmice i krediti</v>
      </c>
      <c r="C59" s="599"/>
      <c r="D59" s="599"/>
      <c r="E59" s="599"/>
      <c r="F59" s="599"/>
      <c r="G59" s="313">
        <f>'2024'!S59</f>
        <v>7895734.4800000004</v>
      </c>
      <c r="H59" s="313">
        <f>SUM('2024'!G135:R135)</f>
        <v>4945508.9999999991</v>
      </c>
      <c r="I59" s="314">
        <f t="shared" si="9"/>
        <v>2950225.4800000014</v>
      </c>
      <c r="J59" s="315">
        <f t="shared" si="1"/>
        <v>0.59654637773381913</v>
      </c>
      <c r="K59" s="313">
        <f>SUM('2023'!G59:R59)</f>
        <v>10111595.669999998</v>
      </c>
      <c r="L59" s="314">
        <f t="shared" si="10"/>
        <v>-2215861.1899999976</v>
      </c>
      <c r="M59" s="481">
        <f t="shared" si="2"/>
        <v>-0.21914060473899444</v>
      </c>
      <c r="N59" s="313">
        <f>'2024'!R59</f>
        <v>1073189.8700000001</v>
      </c>
      <c r="O59" s="313">
        <f>'2024'!R135</f>
        <v>476013.97</v>
      </c>
      <c r="P59" s="314">
        <f t="shared" si="11"/>
        <v>597175.90000000014</v>
      </c>
      <c r="Q59" s="315">
        <f t="shared" si="3"/>
        <v>1.2545343994841165</v>
      </c>
      <c r="R59" s="313">
        <f>'2023'!R59</f>
        <v>822000.46</v>
      </c>
      <c r="S59" s="314">
        <f t="shared" si="12"/>
        <v>251189.41000000015</v>
      </c>
      <c r="T59" s="481">
        <f t="shared" si="5"/>
        <v>0.3055830528367347</v>
      </c>
      <c r="W59" s="470"/>
      <c r="Y59" s="470"/>
    </row>
    <row r="60" spans="1:25" ht="15.75" thickBot="1">
      <c r="A60" s="129">
        <v>1002</v>
      </c>
      <c r="B60" s="580" t="str">
        <f>+VLOOKUP($A60,Master!$D$30:$G$226,4,FALSE)</f>
        <v>Nedostajuća sredstva</v>
      </c>
      <c r="C60" s="581"/>
      <c r="D60" s="581"/>
      <c r="E60" s="581"/>
      <c r="F60" s="581"/>
      <c r="G60" s="298">
        <f>'2024'!S60</f>
        <v>-737724942.69999981</v>
      </c>
      <c r="H60" s="298">
        <f>SUM('2024'!G136:R136)</f>
        <v>-748681105.47962379</v>
      </c>
      <c r="I60" s="300">
        <f t="shared" si="9"/>
        <v>10956162.779623985</v>
      </c>
      <c r="J60" s="301">
        <f t="shared" si="1"/>
        <v>-1.4633951223605668E-2</v>
      </c>
      <c r="K60" s="298">
        <f>SUM('2023'!G60:R60)</f>
        <v>-301241365.03999972</v>
      </c>
      <c r="L60" s="300">
        <f>+G60-K60</f>
        <v>-436483577.66000009</v>
      </c>
      <c r="M60" s="482">
        <f t="shared" si="2"/>
        <v>1.4489496739667294</v>
      </c>
      <c r="N60" s="298">
        <f>'2024'!R60</f>
        <v>-268972004.3499999</v>
      </c>
      <c r="O60" s="298">
        <f>'2024'!R136</f>
        <v>-65436107.823884383</v>
      </c>
      <c r="P60" s="300">
        <f t="shared" si="11"/>
        <v>-203535896.52611554</v>
      </c>
      <c r="Q60" s="301" t="str">
        <f t="shared" si="3"/>
        <v>...</v>
      </c>
      <c r="R60" s="298">
        <f>'2023'!R60</f>
        <v>-172186893.32999998</v>
      </c>
      <c r="S60" s="300">
        <f t="shared" si="12"/>
        <v>-96785111.019999921</v>
      </c>
      <c r="T60" s="482">
        <f t="shared" si="5"/>
        <v>0.56209336929326614</v>
      </c>
      <c r="W60" s="470"/>
      <c r="Y60" s="470"/>
    </row>
    <row r="61" spans="1:25" ht="15.75" thickBot="1">
      <c r="A61" s="129">
        <v>1003</v>
      </c>
      <c r="B61" s="582" t="str">
        <f>+VLOOKUP($A61,Master!$D$30:$G$226,4,FALSE)</f>
        <v>Finansiranje</v>
      </c>
      <c r="C61" s="583"/>
      <c r="D61" s="583"/>
      <c r="E61" s="583"/>
      <c r="F61" s="583"/>
      <c r="G61" s="136">
        <f>'2024'!S61</f>
        <v>737724942.69999981</v>
      </c>
      <c r="H61" s="136">
        <f>SUM('2024'!G137:R137)</f>
        <v>748681105.47962379</v>
      </c>
      <c r="I61" s="299">
        <f t="shared" si="9"/>
        <v>-10956162.779623985</v>
      </c>
      <c r="J61" s="302">
        <f t="shared" si="1"/>
        <v>-1.4633951223605668E-2</v>
      </c>
      <c r="K61" s="136">
        <f>SUM('2023'!G61:R61)</f>
        <v>301241365.03999972</v>
      </c>
      <c r="L61" s="299">
        <f t="shared" si="10"/>
        <v>436483577.66000009</v>
      </c>
      <c r="M61" s="483">
        <f t="shared" si="2"/>
        <v>1.4489496739667294</v>
      </c>
      <c r="N61" s="136">
        <f>'2024'!R61</f>
        <v>268972004.3499999</v>
      </c>
      <c r="O61" s="136">
        <f>'2024'!R137</f>
        <v>65436107.823884383</v>
      </c>
      <c r="P61" s="300">
        <f t="shared" si="11"/>
        <v>203535896.52611554</v>
      </c>
      <c r="Q61" s="302" t="str">
        <f t="shared" si="3"/>
        <v>...</v>
      </c>
      <c r="R61" s="136">
        <f>'2023'!R61</f>
        <v>172186893.32999998</v>
      </c>
      <c r="S61" s="299">
        <f t="shared" si="12"/>
        <v>96785111.019999921</v>
      </c>
      <c r="T61" s="483">
        <f t="shared" si="5"/>
        <v>0.56209336929326614</v>
      </c>
      <c r="W61" s="470"/>
      <c r="Y61" s="470"/>
    </row>
    <row r="62" spans="1:25">
      <c r="A62" s="129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148">
        <f>'2024'!S62</f>
        <v>0</v>
      </c>
      <c r="H62" s="148">
        <f>SUM('2024'!G138:R138)</f>
        <v>0</v>
      </c>
      <c r="I62" s="197">
        <f t="shared" si="9"/>
        <v>0</v>
      </c>
      <c r="J62" s="199" t="str">
        <f t="shared" si="1"/>
        <v>...</v>
      </c>
      <c r="K62" s="148">
        <f>SUM('2023'!G62:R62)</f>
        <v>159000000</v>
      </c>
      <c r="L62" s="197">
        <f t="shared" si="10"/>
        <v>-159000000</v>
      </c>
      <c r="M62" s="201">
        <f t="shared" si="2"/>
        <v>-1</v>
      </c>
      <c r="N62" s="148">
        <f>'2024'!R62</f>
        <v>0</v>
      </c>
      <c r="O62" s="148">
        <f>'2024'!R138</f>
        <v>0</v>
      </c>
      <c r="P62" s="197">
        <f t="shared" si="11"/>
        <v>0</v>
      </c>
      <c r="Q62" s="199" t="str">
        <f t="shared" si="3"/>
        <v>...</v>
      </c>
      <c r="R62" s="148">
        <f>'2023'!R62</f>
        <v>159000000</v>
      </c>
      <c r="S62" s="197">
        <f t="shared" si="12"/>
        <v>-159000000</v>
      </c>
      <c r="T62" s="201">
        <f t="shared" si="5"/>
        <v>-1</v>
      </c>
      <c r="W62" s="470"/>
      <c r="Y62" s="470"/>
    </row>
    <row r="63" spans="1:25">
      <c r="A63" s="129">
        <v>7512</v>
      </c>
      <c r="B63" s="560" t="str">
        <f>+VLOOKUP($A63,Master!$D$30:$G$226,4,FALSE)</f>
        <v>Pozajmice i krediti od inostranih izvora</v>
      </c>
      <c r="C63" s="561"/>
      <c r="D63" s="561"/>
      <c r="E63" s="561"/>
      <c r="F63" s="561"/>
      <c r="G63" s="148">
        <f>'2024'!S63</f>
        <v>732900074.75999987</v>
      </c>
      <c r="H63" s="148">
        <f>SUM('2024'!G139:R139)</f>
        <v>867000000</v>
      </c>
      <c r="I63" s="197">
        <f t="shared" si="9"/>
        <v>-134099925.24000013</v>
      </c>
      <c r="J63" s="199">
        <f t="shared" si="1"/>
        <v>-0.15467119404844309</v>
      </c>
      <c r="K63" s="148">
        <f>SUM('2023'!G63:R63)</f>
        <v>159232022.56999999</v>
      </c>
      <c r="L63" s="197">
        <f t="shared" si="10"/>
        <v>573668052.18999982</v>
      </c>
      <c r="M63" s="201" t="str">
        <f t="shared" si="2"/>
        <v>...</v>
      </c>
      <c r="N63" s="148">
        <f>'2024'!R63</f>
        <v>3834470.9</v>
      </c>
      <c r="O63" s="148">
        <f>'2024'!R139</f>
        <v>0</v>
      </c>
      <c r="P63" s="197">
        <f t="shared" si="11"/>
        <v>3834470.9</v>
      </c>
      <c r="Q63" s="199" t="str">
        <f t="shared" si="3"/>
        <v>...</v>
      </c>
      <c r="R63" s="148">
        <f>'2023'!R63</f>
        <v>30166242.690000001</v>
      </c>
      <c r="S63" s="197">
        <f t="shared" si="12"/>
        <v>-26331771.790000003</v>
      </c>
      <c r="T63" s="201">
        <f t="shared" si="5"/>
        <v>-0.87288868092044114</v>
      </c>
      <c r="W63" s="470"/>
      <c r="Y63" s="470"/>
    </row>
    <row r="64" spans="1:25">
      <c r="A64" s="129">
        <v>72</v>
      </c>
      <c r="B64" s="560" t="str">
        <f>+VLOOKUP($A64,Master!$D$30:$G$226,4,FALSE)</f>
        <v>Primici od prodaje imovine</v>
      </c>
      <c r="C64" s="561"/>
      <c r="D64" s="561"/>
      <c r="E64" s="561"/>
      <c r="F64" s="561"/>
      <c r="G64" s="148">
        <f>'2024'!S64</f>
        <v>2361574.46</v>
      </c>
      <c r="H64" s="148">
        <f>SUM('2024'!G140:R140)</f>
        <v>6000000</v>
      </c>
      <c r="I64" s="197">
        <f t="shared" si="9"/>
        <v>-3638425.54</v>
      </c>
      <c r="J64" s="199">
        <f t="shared" si="1"/>
        <v>-0.60640425666666675</v>
      </c>
      <c r="K64" s="148">
        <f>SUM('2023'!G64:R64)</f>
        <v>2717869.5300000007</v>
      </c>
      <c r="L64" s="197">
        <f t="shared" si="10"/>
        <v>-356295.07000000076</v>
      </c>
      <c r="M64" s="201">
        <f t="shared" si="2"/>
        <v>-0.13109351500033217</v>
      </c>
      <c r="N64" s="148">
        <f>'2024'!R64</f>
        <v>521948.26</v>
      </c>
      <c r="O64" s="148">
        <f>'2024'!R140</f>
        <v>500000</v>
      </c>
      <c r="P64" s="197">
        <f t="shared" si="11"/>
        <v>21948.260000000009</v>
      </c>
      <c r="Q64" s="199">
        <f t="shared" si="3"/>
        <v>4.3896520000000105E-2</v>
      </c>
      <c r="R64" s="148">
        <f>'2023'!R64</f>
        <v>209358.1</v>
      </c>
      <c r="S64" s="197">
        <f t="shared" si="12"/>
        <v>312590.16000000003</v>
      </c>
      <c r="T64" s="201">
        <f t="shared" si="5"/>
        <v>1.4930884451091218</v>
      </c>
      <c r="W64" s="470"/>
      <c r="Y64" s="470"/>
    </row>
    <row r="65" spans="1:25">
      <c r="A65" s="129">
        <v>73</v>
      </c>
      <c r="B65" s="560" t="str">
        <f>+VLOOKUP($A65,Master!$D$30:$G$226,4,FALSE)</f>
        <v>Primici od otplate kredita i sredstva prenesena iz prethodne godine</v>
      </c>
      <c r="C65" s="561"/>
      <c r="D65" s="561"/>
      <c r="E65" s="561"/>
      <c r="F65" s="561"/>
      <c r="G65" s="148">
        <f>'2024'!S65</f>
        <v>20241376.960000001</v>
      </c>
      <c r="H65" s="148">
        <f>SUM('2024'!G141:R141)</f>
        <v>9747904</v>
      </c>
      <c r="I65" s="197">
        <f t="shared" si="9"/>
        <v>10493472.960000001</v>
      </c>
      <c r="J65" s="199">
        <f t="shared" si="1"/>
        <v>1.0764850536074215</v>
      </c>
      <c r="K65" s="148">
        <f>SUM('2023'!G65:R65)</f>
        <v>13858053.870000001</v>
      </c>
      <c r="L65" s="197">
        <f t="shared" si="10"/>
        <v>6383323.0899999999</v>
      </c>
      <c r="M65" s="201">
        <f t="shared" si="2"/>
        <v>0.46062189899684669</v>
      </c>
      <c r="N65" s="148">
        <f>'2024'!R65</f>
        <v>2884134.7699999996</v>
      </c>
      <c r="O65" s="148">
        <f>'2024'!R141</f>
        <v>2152051.5417040759</v>
      </c>
      <c r="P65" s="197">
        <f t="shared" si="11"/>
        <v>732083.22829592368</v>
      </c>
      <c r="Q65" s="199">
        <f t="shared" si="3"/>
        <v>0.34017922624484753</v>
      </c>
      <c r="R65" s="148">
        <f>'2023'!R65</f>
        <v>2208210.4</v>
      </c>
      <c r="S65" s="197">
        <f t="shared" si="12"/>
        <v>675924.36999999965</v>
      </c>
      <c r="T65" s="201">
        <f t="shared" si="5"/>
        <v>0.30609599972901114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-17778083.480000138</v>
      </c>
      <c r="H66" s="296">
        <f>SUM('2024'!G142:R142)</f>
        <v>-134066798.52037635</v>
      </c>
      <c r="I66" s="211">
        <f t="shared" si="9"/>
        <v>116288715.04037622</v>
      </c>
      <c r="J66" s="213">
        <f t="shared" si="1"/>
        <v>-0.867393838920543</v>
      </c>
      <c r="K66" s="296">
        <f>SUM('2023'!G66:R66)</f>
        <v>-33566580.93000026</v>
      </c>
      <c r="L66" s="211">
        <f t="shared" si="10"/>
        <v>15788497.450000122</v>
      </c>
      <c r="M66" s="215">
        <f t="shared" si="2"/>
        <v>-0.47036358820475199</v>
      </c>
      <c r="N66" s="296">
        <f>'2024'!R66</f>
        <v>261731450.4199999</v>
      </c>
      <c r="O66" s="296">
        <f>'2024'!R142</f>
        <v>62784056.282180309</v>
      </c>
      <c r="P66" s="211">
        <f t="shared" si="11"/>
        <v>198947394.13781959</v>
      </c>
      <c r="Q66" s="213" t="str">
        <f t="shared" si="3"/>
        <v>...</v>
      </c>
      <c r="R66" s="296">
        <f>'2023'!R66</f>
        <v>-19396917.860000014</v>
      </c>
      <c r="S66" s="211">
        <f t="shared" si="12"/>
        <v>281128368.27999991</v>
      </c>
      <c r="T66" s="215">
        <f t="shared" si="5"/>
        <v>-14.493455625738248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Qwj6qoXwen9DGMJReR39wbv2CakdnWCV4zfeKUioislCmTwlewQ19vyji+aZSTJV8KCuZw5e/nfLmji5jjCudw==" saltValue="RKgpextZlp6tpbMLkO6Gz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2" activePane="bottomLeft" state="frozen"/>
      <selection pane="bottomLeft" activeCell="B15" sqref="B15:F1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2" t="str">
        <f>+Master!G252</f>
        <v>Ostvarenje budžeta</v>
      </c>
      <c r="C7" s="563"/>
      <c r="D7" s="563"/>
      <c r="E7" s="563"/>
      <c r="F7" s="563"/>
      <c r="G7" s="571">
        <v>2024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tr">
        <f>+Master!G249</f>
        <v>BDP</v>
      </c>
      <c r="T7" s="221">
        <v>7279700000</v>
      </c>
    </row>
    <row r="8" spans="1:24" ht="16.5" customHeight="1">
      <c r="A8" s="129"/>
      <c r="B8" s="564"/>
      <c r="C8" s="565"/>
      <c r="D8" s="565"/>
      <c r="E8" s="565"/>
      <c r="F8" s="56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1" t="str">
        <f>+Master!G247</f>
        <v>Jan - Dec</v>
      </c>
      <c r="T8" s="575"/>
    </row>
    <row r="9" spans="1:24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2" t="str">
        <f>+VLOOKUP($A10,Master!$D$30:$G$226,4,FALSE)</f>
        <v>Prihodi budžeta</v>
      </c>
      <c r="C10" s="583"/>
      <c r="D10" s="583"/>
      <c r="E10" s="583"/>
      <c r="F10" s="583"/>
      <c r="G10" s="513">
        <f>G11+G19+G24+G25+G26+G27+G28</f>
        <v>150930823.46000001</v>
      </c>
      <c r="H10" s="513">
        <f t="shared" ref="H10:L10" si="2">+H11+H19+SUM(H24:H28)</f>
        <v>180248667.54000002</v>
      </c>
      <c r="I10" s="513">
        <f t="shared" si="2"/>
        <v>244547117.82000002</v>
      </c>
      <c r="J10" s="513">
        <f t="shared" si="2"/>
        <v>317572444.20999998</v>
      </c>
      <c r="K10" s="513">
        <f t="shared" si="2"/>
        <v>195199291.53999999</v>
      </c>
      <c r="L10" s="513">
        <f t="shared" si="2"/>
        <v>222631238.46000001</v>
      </c>
      <c r="M10" s="513">
        <f t="shared" ref="M10:R10" si="3">+M11+M19+SUM(M24:M28)</f>
        <v>263240821.07000005</v>
      </c>
      <c r="N10" s="513">
        <f t="shared" si="3"/>
        <v>254940204.98000002</v>
      </c>
      <c r="O10" s="513">
        <f t="shared" si="3"/>
        <v>247912124.41</v>
      </c>
      <c r="P10" s="513">
        <f t="shared" si="3"/>
        <v>241537495.28</v>
      </c>
      <c r="Q10" s="513">
        <f t="shared" si="3"/>
        <v>178985113.79999998</v>
      </c>
      <c r="R10" s="513">
        <f t="shared" si="3"/>
        <v>257322530.34999999</v>
      </c>
      <c r="S10" s="514">
        <f>+SUM(G10:R10)</f>
        <v>2755067872.9200001</v>
      </c>
      <c r="T10" s="515">
        <f>+S10/$T$7*100</f>
        <v>37.845898497465555</v>
      </c>
      <c r="V10" s="493"/>
    </row>
    <row r="11" spans="1:24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516">
        <f t="shared" ref="G11:I11" si="4">+SUM(G12:G18)</f>
        <v>122011952.05999999</v>
      </c>
      <c r="H11" s="516">
        <f t="shared" si="4"/>
        <v>121308599.17000002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176287449.87000003</v>
      </c>
      <c r="N11" s="516">
        <f t="shared" si="5"/>
        <v>187772027.16000003</v>
      </c>
      <c r="O11" s="516">
        <f t="shared" si="5"/>
        <v>174666714.86000001</v>
      </c>
      <c r="P11" s="516">
        <f t="shared" si="5"/>
        <v>170940704.73000002</v>
      </c>
      <c r="Q11" s="516">
        <f t="shared" si="5"/>
        <v>130980738.95999998</v>
      </c>
      <c r="R11" s="517">
        <f t="shared" si="5"/>
        <v>168637973.13</v>
      </c>
      <c r="S11" s="518">
        <f>+SUM(G11:R11)</f>
        <v>1968599583.2600002</v>
      </c>
      <c r="T11" s="519">
        <f t="shared" ref="T11:T66" si="6">+S11/$T$7*100</f>
        <v>27.042317447971758</v>
      </c>
      <c r="V11" s="276"/>
    </row>
    <row r="12" spans="1:24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499">
        <v>1998079.15</v>
      </c>
      <c r="H12" s="499">
        <v>6162755.9100000001</v>
      </c>
      <c r="I12" s="499">
        <v>6774640.8399999999</v>
      </c>
      <c r="J12" s="499">
        <v>9120679.6699999999</v>
      </c>
      <c r="K12" s="499">
        <v>7999182.8499999996</v>
      </c>
      <c r="L12" s="148">
        <v>5714143.4299999997</v>
      </c>
      <c r="M12" s="148">
        <v>8103849.4699999997</v>
      </c>
      <c r="N12" s="148">
        <v>7506393.2000000002</v>
      </c>
      <c r="O12" s="148">
        <v>6129815.1900000004</v>
      </c>
      <c r="P12" s="148">
        <v>10490866.800000001</v>
      </c>
      <c r="Q12" s="148">
        <v>5042014.29</v>
      </c>
      <c r="R12" s="148">
        <v>13112925.42</v>
      </c>
      <c r="S12" s="227">
        <f>+SUM(G12:R12)</f>
        <v>88155346.220000014</v>
      </c>
      <c r="T12" s="436">
        <f t="shared" si="6"/>
        <v>1.2109749882550107</v>
      </c>
    </row>
    <row r="13" spans="1:24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499">
        <v>1951464.9</v>
      </c>
      <c r="H13" s="499">
        <v>5771727.9400000004</v>
      </c>
      <c r="I13" s="499">
        <v>71210822.510000005</v>
      </c>
      <c r="J13" s="499">
        <v>100269900.84</v>
      </c>
      <c r="K13" s="499">
        <v>6533790.1500000004</v>
      </c>
      <c r="L13" s="148">
        <v>5452063.1399999997</v>
      </c>
      <c r="M13" s="148">
        <v>6399901.1399999997</v>
      </c>
      <c r="N13" s="148">
        <v>3297843.93</v>
      </c>
      <c r="O13" s="148">
        <v>3451625.75</v>
      </c>
      <c r="P13" s="148">
        <v>1559675.82</v>
      </c>
      <c r="Q13" s="148">
        <v>1503515.81</v>
      </c>
      <c r="R13" s="148">
        <v>6565545.0700000003</v>
      </c>
      <c r="S13" s="227">
        <f t="shared" ref="S13:S65" si="7">+SUM(G13:R13)</f>
        <v>213967876.99999997</v>
      </c>
      <c r="T13" s="436">
        <f t="shared" si="6"/>
        <v>2.9392403121007731</v>
      </c>
      <c r="V13" s="276"/>
      <c r="W13" s="276"/>
      <c r="X13" s="494"/>
    </row>
    <row r="14" spans="1:24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499">
        <v>91572726.909999996</v>
      </c>
      <c r="H15" s="499">
        <v>81980319.980000004</v>
      </c>
      <c r="I15" s="499">
        <v>78800496.590000004</v>
      </c>
      <c r="J15" s="499">
        <v>94537941.620000005</v>
      </c>
      <c r="K15" s="499">
        <v>88184792.75</v>
      </c>
      <c r="L15" s="148">
        <v>100885481.09</v>
      </c>
      <c r="M15" s="148">
        <v>119418214.70999999</v>
      </c>
      <c r="N15" s="148">
        <v>126480010.05</v>
      </c>
      <c r="O15" s="148">
        <v>119699878.62</v>
      </c>
      <c r="P15" s="148">
        <v>118929652.58</v>
      </c>
      <c r="Q15" s="148">
        <v>90529869.280000001</v>
      </c>
      <c r="R15" s="148">
        <v>111577546.98999999</v>
      </c>
      <c r="S15" s="227">
        <f t="shared" si="7"/>
        <v>1222596931.1700001</v>
      </c>
      <c r="T15" s="436">
        <f t="shared" si="6"/>
        <v>16.794605975108865</v>
      </c>
      <c r="V15" s="276"/>
      <c r="W15" s="276"/>
      <c r="X15" s="494"/>
    </row>
    <row r="16" spans="1:24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499">
        <v>22556344.960000001</v>
      </c>
      <c r="H16" s="499">
        <v>22366846.550000001</v>
      </c>
      <c r="I16" s="499">
        <v>21994790.370000001</v>
      </c>
      <c r="J16" s="499">
        <v>26932676.210000001</v>
      </c>
      <c r="K16" s="499">
        <v>31723753.75</v>
      </c>
      <c r="L16" s="148">
        <v>34644163.43</v>
      </c>
      <c r="M16" s="148">
        <v>34841981.670000002</v>
      </c>
      <c r="N16" s="148">
        <v>43213446.43</v>
      </c>
      <c r="O16" s="148">
        <v>38641287.920000002</v>
      </c>
      <c r="P16" s="148">
        <v>33032024.920000002</v>
      </c>
      <c r="Q16" s="148">
        <v>28020758.82</v>
      </c>
      <c r="R16" s="148">
        <v>30621579.68</v>
      </c>
      <c r="S16" s="227">
        <f t="shared" si="7"/>
        <v>368589654.71000004</v>
      </c>
      <c r="T16" s="436">
        <f t="shared" si="6"/>
        <v>5.0632533581054169</v>
      </c>
      <c r="V16" s="276"/>
      <c r="W16" s="276"/>
      <c r="X16" s="494"/>
    </row>
    <row r="17" spans="1:24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499">
        <v>2997811.11</v>
      </c>
      <c r="H17" s="499">
        <v>3849203.28</v>
      </c>
      <c r="I17" s="499">
        <v>4636318.09</v>
      </c>
      <c r="J17" s="499">
        <v>5632584.1600000001</v>
      </c>
      <c r="K17" s="499">
        <v>5010618.79</v>
      </c>
      <c r="L17" s="148">
        <v>5120393.08</v>
      </c>
      <c r="M17" s="148">
        <v>6113583.7999999998</v>
      </c>
      <c r="N17" s="148">
        <v>5829872.2699999996</v>
      </c>
      <c r="O17" s="148">
        <v>5498962.25</v>
      </c>
      <c r="P17" s="148">
        <v>5536331.3300000001</v>
      </c>
      <c r="Q17" s="148">
        <v>4591287.2699999996</v>
      </c>
      <c r="R17" s="148">
        <v>5559914.0899999999</v>
      </c>
      <c r="S17" s="227">
        <f t="shared" si="7"/>
        <v>60376879.519999996</v>
      </c>
      <c r="T17" s="436">
        <f t="shared" si="6"/>
        <v>0.82938691869170433</v>
      </c>
      <c r="V17" s="276"/>
      <c r="W17" s="276"/>
      <c r="X17" s="494"/>
    </row>
    <row r="18" spans="1:24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499">
        <v>935525.03</v>
      </c>
      <c r="H18" s="499">
        <v>1177745.51</v>
      </c>
      <c r="I18" s="499">
        <v>1140306.55</v>
      </c>
      <c r="J18" s="499">
        <v>1213350.5</v>
      </c>
      <c r="K18" s="499">
        <v>1273370.29</v>
      </c>
      <c r="L18" s="148">
        <v>1187162.6200000001</v>
      </c>
      <c r="M18" s="148">
        <v>1409919.08</v>
      </c>
      <c r="N18" s="148">
        <v>1444461.28</v>
      </c>
      <c r="O18" s="148">
        <v>1245145.1299999999</v>
      </c>
      <c r="P18" s="148">
        <v>1392153.28</v>
      </c>
      <c r="Q18" s="148">
        <v>1293293.49</v>
      </c>
      <c r="R18" s="148">
        <v>1200461.8799999999</v>
      </c>
      <c r="S18" s="227">
        <f t="shared" si="7"/>
        <v>14912894.639999997</v>
      </c>
      <c r="T18" s="436">
        <f t="shared" si="6"/>
        <v>0.204855895709988</v>
      </c>
      <c r="V18" s="276"/>
      <c r="W18" s="276"/>
      <c r="X18" s="494"/>
    </row>
    <row r="19" spans="1:24">
      <c r="A19" s="135">
        <v>712</v>
      </c>
      <c r="B19" s="594" t="str">
        <f>+VLOOKUP($A19,Master!$D$30:$G$226,4,FALSE)</f>
        <v>Doprinosi</v>
      </c>
      <c r="C19" s="595"/>
      <c r="D19" s="595"/>
      <c r="E19" s="595"/>
      <c r="F19" s="595"/>
      <c r="G19" s="520">
        <f t="shared" ref="G19" si="8">SUM(G20:G23)</f>
        <v>13548213.42</v>
      </c>
      <c r="H19" s="520">
        <f t="shared" ref="H19:L19" si="9">SUM(H20:H23)</f>
        <v>51209301.960000001</v>
      </c>
      <c r="I19" s="520">
        <f t="shared" si="9"/>
        <v>50079162.990000002</v>
      </c>
      <c r="J19" s="520">
        <f t="shared" si="9"/>
        <v>58312079.649999999</v>
      </c>
      <c r="K19" s="520">
        <f t="shared" si="9"/>
        <v>44239433.410000004</v>
      </c>
      <c r="L19" s="520">
        <f t="shared" si="9"/>
        <v>48567223.640000001</v>
      </c>
      <c r="M19" s="520">
        <f t="shared" ref="M19:R19" si="10">SUM(M20:M23)</f>
        <v>55016979.530000001</v>
      </c>
      <c r="N19" s="520">
        <f t="shared" si="10"/>
        <v>54498567.900000006</v>
      </c>
      <c r="O19" s="520">
        <f t="shared" si="10"/>
        <v>54697462.289999999</v>
      </c>
      <c r="P19" s="520">
        <f t="shared" si="10"/>
        <v>54762650.329999998</v>
      </c>
      <c r="Q19" s="520">
        <f t="shared" si="10"/>
        <v>37399955.219999999</v>
      </c>
      <c r="R19" s="520">
        <f t="shared" si="10"/>
        <v>62375513.169999994</v>
      </c>
      <c r="S19" s="521">
        <f t="shared" si="7"/>
        <v>584706543.50999999</v>
      </c>
      <c r="T19" s="522">
        <f t="shared" si="6"/>
        <v>8.0320142795719605</v>
      </c>
      <c r="V19" s="276"/>
      <c r="W19" s="276"/>
      <c r="X19" s="494"/>
    </row>
    <row r="20" spans="1:24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499">
        <v>12277377.310000001</v>
      </c>
      <c r="H20" s="499">
        <v>47091163.350000001</v>
      </c>
      <c r="I20" s="499">
        <v>45892077.740000002</v>
      </c>
      <c r="J20" s="499">
        <v>53612426.219999999</v>
      </c>
      <c r="K20" s="499">
        <v>40659761.590000004</v>
      </c>
      <c r="L20" s="148">
        <v>44568700.899999999</v>
      </c>
      <c r="M20" s="148">
        <v>50382564.299999997</v>
      </c>
      <c r="N20" s="148">
        <v>49830258.149999999</v>
      </c>
      <c r="O20" s="148">
        <v>50178879.670000002</v>
      </c>
      <c r="P20" s="148">
        <v>50008955.340000004</v>
      </c>
      <c r="Q20" s="148">
        <v>33816105.539999999</v>
      </c>
      <c r="R20" s="148">
        <v>54430290.539999999</v>
      </c>
      <c r="S20" s="227">
        <f>+SUM(G20:R20)</f>
        <v>532748560.6500001</v>
      </c>
      <c r="T20" s="436">
        <f t="shared" si="6"/>
        <v>7.3182763115238272</v>
      </c>
      <c r="V20" s="276"/>
      <c r="W20" s="276"/>
      <c r="X20" s="494"/>
    </row>
    <row r="21" spans="1:24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499">
        <v>307850.36</v>
      </c>
      <c r="H21" s="499">
        <v>382153.8</v>
      </c>
      <c r="I21" s="499">
        <v>494660.43</v>
      </c>
      <c r="J21" s="499">
        <v>456232.43</v>
      </c>
      <c r="K21" s="499">
        <v>296984.02</v>
      </c>
      <c r="L21" s="148">
        <v>372046.09</v>
      </c>
      <c r="M21" s="148">
        <v>516613.79</v>
      </c>
      <c r="N21" s="148">
        <v>463962.06</v>
      </c>
      <c r="O21" s="148">
        <v>380875.64</v>
      </c>
      <c r="P21" s="148">
        <v>631287.55000000005</v>
      </c>
      <c r="Q21" s="148">
        <v>382115.57</v>
      </c>
      <c r="R21" s="148">
        <v>739249.91</v>
      </c>
      <c r="S21" s="227">
        <f t="shared" si="7"/>
        <v>5424031.6500000004</v>
      </c>
      <c r="T21" s="436">
        <f t="shared" si="6"/>
        <v>7.4508999684052918E-2</v>
      </c>
      <c r="V21" s="276"/>
      <c r="W21" s="276"/>
      <c r="X21" s="494"/>
    </row>
    <row r="22" spans="1:24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499">
        <v>569229.31000000006</v>
      </c>
      <c r="H22" s="499">
        <v>2203988.56</v>
      </c>
      <c r="I22" s="499">
        <v>2137007.6800000002</v>
      </c>
      <c r="J22" s="499">
        <v>2464722.08</v>
      </c>
      <c r="K22" s="499">
        <v>1910648.69</v>
      </c>
      <c r="L22" s="148">
        <v>2095564.37</v>
      </c>
      <c r="M22" s="148">
        <v>2381944.41</v>
      </c>
      <c r="N22" s="148">
        <v>2401758.41</v>
      </c>
      <c r="O22" s="148">
        <v>2372941.4300000002</v>
      </c>
      <c r="P22" s="148">
        <v>2360830.64</v>
      </c>
      <c r="Q22" s="148">
        <v>1848685.14</v>
      </c>
      <c r="R22" s="148">
        <v>4213340.57</v>
      </c>
      <c r="S22" s="227">
        <f t="shared" si="7"/>
        <v>26960661.290000003</v>
      </c>
      <c r="T22" s="436">
        <f t="shared" si="6"/>
        <v>0.37035401582482796</v>
      </c>
    </row>
    <row r="23" spans="1:24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499">
        <v>393756.44</v>
      </c>
      <c r="H23" s="499">
        <v>1531996.25</v>
      </c>
      <c r="I23" s="499">
        <v>1555417.14</v>
      </c>
      <c r="J23" s="499">
        <v>1778698.92</v>
      </c>
      <c r="K23" s="499">
        <v>1372039.11</v>
      </c>
      <c r="L23" s="148">
        <v>1530912.28</v>
      </c>
      <c r="M23" s="148">
        <v>1735857.03</v>
      </c>
      <c r="N23" s="148">
        <v>1802589.28</v>
      </c>
      <c r="O23" s="148">
        <v>1764765.55</v>
      </c>
      <c r="P23" s="148">
        <v>1761576.8</v>
      </c>
      <c r="Q23" s="148">
        <v>1353048.97</v>
      </c>
      <c r="R23" s="148">
        <v>2992632.15</v>
      </c>
      <c r="S23" s="227">
        <f t="shared" si="7"/>
        <v>19573289.920000002</v>
      </c>
      <c r="T23" s="436">
        <f t="shared" si="6"/>
        <v>0.26887495253925303</v>
      </c>
      <c r="V23" s="495"/>
      <c r="W23" s="495"/>
      <c r="X23" s="494"/>
    </row>
    <row r="24" spans="1:24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v>859681.09</v>
      </c>
      <c r="H24" s="160">
        <v>998586.78</v>
      </c>
      <c r="I24" s="160">
        <v>986568.83000000007</v>
      </c>
      <c r="J24" s="160">
        <v>1424375.7499999998</v>
      </c>
      <c r="K24" s="160">
        <v>1250720.22</v>
      </c>
      <c r="L24" s="523">
        <v>1305037.74</v>
      </c>
      <c r="M24" s="523">
        <v>1842088.0599999998</v>
      </c>
      <c r="N24" s="523">
        <v>1839749.14</v>
      </c>
      <c r="O24" s="523">
        <v>1512960.99</v>
      </c>
      <c r="P24" s="523">
        <v>1483761.4700000002</v>
      </c>
      <c r="Q24" s="523">
        <v>1124852.74</v>
      </c>
      <c r="R24" s="523">
        <v>1603542.58</v>
      </c>
      <c r="S24" s="521">
        <f t="shared" si="7"/>
        <v>16231925.390000002</v>
      </c>
      <c r="T24" s="522">
        <f t="shared" si="6"/>
        <v>0.22297519664271881</v>
      </c>
    </row>
    <row r="25" spans="1:24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v>2491580.6799999997</v>
      </c>
      <c r="H25" s="160">
        <v>4111753.23</v>
      </c>
      <c r="I25" s="160">
        <v>3497306.59</v>
      </c>
      <c r="J25" s="160">
        <v>5307671.18</v>
      </c>
      <c r="K25" s="160">
        <v>3457943.4</v>
      </c>
      <c r="L25" s="523">
        <v>4104367.62</v>
      </c>
      <c r="M25" s="523">
        <v>6739444.4199999999</v>
      </c>
      <c r="N25" s="523">
        <v>3916013.25</v>
      </c>
      <c r="O25" s="523">
        <v>4184422.2199999997</v>
      </c>
      <c r="P25" s="523">
        <v>5561939.7699999996</v>
      </c>
      <c r="Q25" s="523">
        <v>4081588.3299999991</v>
      </c>
      <c r="R25" s="523">
        <v>5674135.9900000002</v>
      </c>
      <c r="S25" s="521">
        <f t="shared" si="7"/>
        <v>53128166.68</v>
      </c>
      <c r="T25" s="522">
        <f t="shared" si="6"/>
        <v>0.72981258403505644</v>
      </c>
    </row>
    <row r="26" spans="1:24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v>7787071.8500000006</v>
      </c>
      <c r="H26" s="160">
        <v>2506490.67</v>
      </c>
      <c r="I26" s="160">
        <v>2145824.85</v>
      </c>
      <c r="J26" s="160">
        <v>12834932.449999999</v>
      </c>
      <c r="K26" s="160">
        <v>3927502.05</v>
      </c>
      <c r="L26" s="523">
        <v>13138607.77</v>
      </c>
      <c r="M26" s="523">
        <v>20193025.280000001</v>
      </c>
      <c r="N26" s="523">
        <v>3567908.3099999996</v>
      </c>
      <c r="O26" s="523">
        <v>9668557.370000001</v>
      </c>
      <c r="P26" s="523">
        <v>3219272.99</v>
      </c>
      <c r="Q26" s="523">
        <v>2043908.05</v>
      </c>
      <c r="R26" s="523">
        <v>10514044.74</v>
      </c>
      <c r="S26" s="521">
        <f t="shared" si="7"/>
        <v>91547146.379999995</v>
      </c>
      <c r="T26" s="522">
        <f t="shared" si="6"/>
        <v>1.2575675698174373</v>
      </c>
    </row>
    <row r="27" spans="1:24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v>4232324.3600000003</v>
      </c>
      <c r="H28" s="160">
        <v>113935.73</v>
      </c>
      <c r="I28" s="160">
        <v>3280879.61</v>
      </c>
      <c r="J28" s="160">
        <v>1986252.18</v>
      </c>
      <c r="K28" s="160">
        <v>1598183.88</v>
      </c>
      <c r="L28" s="523">
        <v>2512594.9</v>
      </c>
      <c r="M28" s="523">
        <v>3161833.91</v>
      </c>
      <c r="N28" s="523">
        <v>3345939.22</v>
      </c>
      <c r="O28" s="523">
        <v>3182006.68</v>
      </c>
      <c r="P28" s="523">
        <v>5569165.9900000002</v>
      </c>
      <c r="Q28" s="523">
        <v>3354070.5</v>
      </c>
      <c r="R28" s="523">
        <v>8517320.7400000002</v>
      </c>
      <c r="S28" s="521">
        <f t="shared" si="7"/>
        <v>40854507.700000003</v>
      </c>
      <c r="T28" s="524">
        <f t="shared" si="6"/>
        <v>0.56121141942662478</v>
      </c>
    </row>
    <row r="29" spans="1:24" ht="13.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>+G30+G40+G46+SUM(G47:G51)</f>
        <v>137917013.63</v>
      </c>
      <c r="H29" s="136">
        <f t="shared" ref="H29:L29" si="11">+H30+H40+H46+SUM(H47:H51)</f>
        <v>214357140.56999999</v>
      </c>
      <c r="I29" s="136">
        <f t="shared" si="11"/>
        <v>231119506.67999998</v>
      </c>
      <c r="J29" s="136">
        <f t="shared" si="11"/>
        <v>258880577.03999999</v>
      </c>
      <c r="K29" s="136">
        <f t="shared" si="11"/>
        <v>214022176.51000005</v>
      </c>
      <c r="L29" s="136">
        <f t="shared" si="11"/>
        <v>224344749.5</v>
      </c>
      <c r="M29" s="136">
        <f t="shared" ref="M29:R29" si="12">+M30+M40+M46+SUM(M47:M51)</f>
        <v>248903594.07999998</v>
      </c>
      <c r="N29" s="136">
        <f t="shared" si="12"/>
        <v>204255101.17999998</v>
      </c>
      <c r="O29" s="136">
        <f t="shared" si="12"/>
        <v>254448666.02999997</v>
      </c>
      <c r="P29" s="136">
        <f t="shared" si="12"/>
        <v>253534655.30999997</v>
      </c>
      <c r="Q29" s="136">
        <f t="shared" si="12"/>
        <v>255617995.34999996</v>
      </c>
      <c r="R29" s="136">
        <f t="shared" si="12"/>
        <v>488587091.8499999</v>
      </c>
      <c r="S29" s="525">
        <f t="shared" si="7"/>
        <v>2985988267.73</v>
      </c>
      <c r="T29" s="526">
        <f t="shared" si="6"/>
        <v>41.018012661648143</v>
      </c>
    </row>
    <row r="30" spans="1:24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172">
        <f t="shared" ref="G30" si="13">+SUM(G31:G39)</f>
        <v>61605376.840000004</v>
      </c>
      <c r="H30" s="172">
        <f t="shared" ref="H30:L30" si="14">+SUM(H31:H39)</f>
        <v>82044417.609999955</v>
      </c>
      <c r="I30" s="172">
        <f t="shared" si="14"/>
        <v>89984626.639999986</v>
      </c>
      <c r="J30" s="172">
        <f t="shared" si="14"/>
        <v>107677052.5</v>
      </c>
      <c r="K30" s="172">
        <f t="shared" si="14"/>
        <v>86442364.25000003</v>
      </c>
      <c r="L30" s="172">
        <f t="shared" si="14"/>
        <v>85962545.140000015</v>
      </c>
      <c r="M30" s="172">
        <f t="shared" ref="M30:R30" si="15">+SUM(M31:M39)</f>
        <v>88279555.040000021</v>
      </c>
      <c r="N30" s="172">
        <f t="shared" si="15"/>
        <v>78695582.790000007</v>
      </c>
      <c r="O30" s="172">
        <f t="shared" si="15"/>
        <v>109956476.82000002</v>
      </c>
      <c r="P30" s="172">
        <f t="shared" si="15"/>
        <v>104929268.66</v>
      </c>
      <c r="Q30" s="172">
        <f t="shared" si="15"/>
        <v>106663151.85999998</v>
      </c>
      <c r="R30" s="231">
        <f t="shared" si="15"/>
        <v>190222864.52999994</v>
      </c>
      <c r="S30" s="527">
        <f t="shared" si="7"/>
        <v>1192463282.6799998</v>
      </c>
      <c r="T30" s="519">
        <f t="shared" si="6"/>
        <v>16.380665174114313</v>
      </c>
      <c r="U30" s="472"/>
    </row>
    <row r="31" spans="1:24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59775787.140000023</v>
      </c>
      <c r="L31" s="499">
        <v>56818382.910000011</v>
      </c>
      <c r="M31" s="499">
        <v>56266659.160000019</v>
      </c>
      <c r="N31" s="499">
        <v>55237690.129999988</v>
      </c>
      <c r="O31" s="499">
        <v>57435269.210000031</v>
      </c>
      <c r="P31" s="499">
        <v>57178613.530000001</v>
      </c>
      <c r="Q31" s="499">
        <v>56317280.460000001</v>
      </c>
      <c r="R31" s="148">
        <v>57788253.059999973</v>
      </c>
      <c r="S31" s="227">
        <f t="shared" si="7"/>
        <v>675262883.24000013</v>
      </c>
      <c r="T31" s="436">
        <f t="shared" si="6"/>
        <v>9.2759713070593577</v>
      </c>
      <c r="U31" s="472"/>
    </row>
    <row r="32" spans="1:24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499">
        <v>1609176.6600000001</v>
      </c>
      <c r="M32" s="499">
        <v>1737204.9199999995</v>
      </c>
      <c r="N32" s="499">
        <v>1253291.9899999995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20705381.390000001</v>
      </c>
      <c r="T32" s="436">
        <f t="shared" si="6"/>
        <v>0.2844263003969944</v>
      </c>
      <c r="U32" s="472"/>
      <c r="V32" s="275"/>
    </row>
    <row r="33" spans="1:24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499">
        <v>2355582.7499999995</v>
      </c>
      <c r="M33" s="499">
        <v>3351257.3600000003</v>
      </c>
      <c r="N33" s="499">
        <v>1740999.7799999998</v>
      </c>
      <c r="O33" s="499">
        <v>4493526.6500000013</v>
      </c>
      <c r="P33" s="499">
        <v>3461755.82</v>
      </c>
      <c r="Q33" s="499">
        <v>3009530.58</v>
      </c>
      <c r="R33" s="148">
        <v>9296726.089999998</v>
      </c>
      <c r="S33" s="227">
        <f t="shared" si="7"/>
        <v>40158186.759999998</v>
      </c>
      <c r="T33" s="436">
        <f t="shared" si="6"/>
        <v>0.55164617717763087</v>
      </c>
      <c r="U33" s="472"/>
    </row>
    <row r="34" spans="1:24" s="334" customFormat="1">
      <c r="A34" s="333">
        <v>414</v>
      </c>
      <c r="B34" s="610" t="str">
        <f>+VLOOKUP($A34,Master!$D$30:$G$226,4,FALSE)</f>
        <v>Rashodi za usluge</v>
      </c>
      <c r="C34" s="611"/>
      <c r="D34" s="611"/>
      <c r="E34" s="611"/>
      <c r="F34" s="611"/>
      <c r="G34" s="499">
        <v>768611.57000000007</v>
      </c>
      <c r="H34" s="499">
        <v>3306116.05</v>
      </c>
      <c r="I34" s="499">
        <v>6882103.8800000008</v>
      </c>
      <c r="J34" s="499">
        <v>6038423.1499999994</v>
      </c>
      <c r="K34" s="499">
        <v>4178033.2299999995</v>
      </c>
      <c r="L34" s="499">
        <v>5578834.5299999984</v>
      </c>
      <c r="M34" s="499">
        <v>6879280.6200000001</v>
      </c>
      <c r="N34" s="499">
        <v>3798717.7099999995</v>
      </c>
      <c r="O34" s="499">
        <v>4392465.6800000006</v>
      </c>
      <c r="P34" s="499">
        <v>7255308.7199999997</v>
      </c>
      <c r="Q34" s="499">
        <v>8218317.4400000013</v>
      </c>
      <c r="R34" s="148">
        <v>24152775.589999996</v>
      </c>
      <c r="S34" s="227">
        <f t="shared" si="7"/>
        <v>81448988.169999987</v>
      </c>
      <c r="T34" s="436">
        <f t="shared" si="6"/>
        <v>1.1188508890476254</v>
      </c>
      <c r="U34" s="472"/>
    </row>
    <row r="35" spans="1:24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499">
        <v>4201.5999999999995</v>
      </c>
      <c r="H35" s="499">
        <v>1444596.6199999996</v>
      </c>
      <c r="I35" s="499">
        <v>1881519.3199999998</v>
      </c>
      <c r="J35" s="499">
        <v>3225908.9499999997</v>
      </c>
      <c r="K35" s="499">
        <v>504578.94999999995</v>
      </c>
      <c r="L35" s="499">
        <v>3145877.9800000004</v>
      </c>
      <c r="M35" s="499">
        <v>3731629.6500000004</v>
      </c>
      <c r="N35" s="499">
        <v>2811315.1200000006</v>
      </c>
      <c r="O35" s="499">
        <v>4062574.1599999997</v>
      </c>
      <c r="P35" s="499">
        <v>2530485.4200000004</v>
      </c>
      <c r="Q35" s="499">
        <v>2992759.4499999997</v>
      </c>
      <c r="R35" s="148">
        <v>7565106.5099999998</v>
      </c>
      <c r="S35" s="227">
        <f t="shared" si="7"/>
        <v>33900553.730000004</v>
      </c>
      <c r="T35" s="436">
        <f t="shared" si="6"/>
        <v>0.46568613720345631</v>
      </c>
      <c r="U35" s="472"/>
    </row>
    <row r="36" spans="1:24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499">
        <v>5854363.290000001</v>
      </c>
      <c r="M36" s="499">
        <v>3738849.7</v>
      </c>
      <c r="N36" s="499">
        <v>3977652.6799999997</v>
      </c>
      <c r="O36" s="499">
        <v>25966444.500000004</v>
      </c>
      <c r="P36" s="499">
        <v>14869850.659999998</v>
      </c>
      <c r="Q36" s="499">
        <v>13088141.829999998</v>
      </c>
      <c r="R36" s="148">
        <v>27216224.940000001</v>
      </c>
      <c r="S36" s="227">
        <f>+SUM(G36:R36)</f>
        <v>149283481.19</v>
      </c>
      <c r="T36" s="436">
        <f t="shared" si="6"/>
        <v>2.0506817752105171</v>
      </c>
      <c r="U36" s="472"/>
      <c r="V36" s="275"/>
    </row>
    <row r="37" spans="1:24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996164.27000000025</v>
      </c>
      <c r="M37" s="499">
        <v>1022257.5800000003</v>
      </c>
      <c r="N37" s="499">
        <v>1097677.0900000001</v>
      </c>
      <c r="O37" s="499">
        <v>582375.03000000014</v>
      </c>
      <c r="P37" s="499">
        <v>871596.95000000019</v>
      </c>
      <c r="Q37" s="499">
        <v>1032976.0700000001</v>
      </c>
      <c r="R37" s="148">
        <v>3915830.2400000012</v>
      </c>
      <c r="S37" s="227">
        <f t="shared" si="7"/>
        <v>13883495.820000004</v>
      </c>
      <c r="T37" s="436">
        <f t="shared" si="6"/>
        <v>0.19071521930848803</v>
      </c>
      <c r="U37" s="472"/>
      <c r="V37" s="275"/>
    </row>
    <row r="38" spans="1:24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499">
        <v>5603254.6099999957</v>
      </c>
      <c r="M38" s="499">
        <v>6020163.6199999992</v>
      </c>
      <c r="N38" s="499">
        <v>5377628.4600000018</v>
      </c>
      <c r="O38" s="499">
        <v>8420721.0699999966</v>
      </c>
      <c r="P38" s="499">
        <v>11936637.319999991</v>
      </c>
      <c r="Q38" s="499">
        <v>14006807.799999999</v>
      </c>
      <c r="R38" s="148">
        <v>17955567.600000001</v>
      </c>
      <c r="S38" s="227">
        <f t="shared" si="7"/>
        <v>88788160.519999951</v>
      </c>
      <c r="T38" s="436">
        <f t="shared" si="6"/>
        <v>1.2196678505982383</v>
      </c>
      <c r="U38" s="472"/>
    </row>
    <row r="39" spans="1:24">
      <c r="A39" s="135">
        <v>419</v>
      </c>
      <c r="B39" s="592" t="str">
        <f>+VLOOKUP($A39,Master!$D$30:$G$226,4,FALSE)</f>
        <v>Ostali izdaci</v>
      </c>
      <c r="C39" s="593"/>
      <c r="D39" s="593"/>
      <c r="E39" s="593"/>
      <c r="F39" s="593"/>
      <c r="G39" s="499">
        <v>98363.42</v>
      </c>
      <c r="H39" s="499">
        <v>7565592.3899999987</v>
      </c>
      <c r="I39" s="499">
        <v>5572488.7899999991</v>
      </c>
      <c r="J39" s="499">
        <v>4456229.17</v>
      </c>
      <c r="K39" s="499">
        <v>5359004.28</v>
      </c>
      <c r="L39" s="499">
        <v>4000908.1399999997</v>
      </c>
      <c r="M39" s="499">
        <v>5532252.4299999997</v>
      </c>
      <c r="N39" s="499">
        <v>3400609.830000001</v>
      </c>
      <c r="O39" s="499">
        <v>3066230.8499999996</v>
      </c>
      <c r="P39" s="499">
        <v>4835198.42</v>
      </c>
      <c r="Q39" s="499">
        <v>6182265.3500000006</v>
      </c>
      <c r="R39" s="148">
        <v>38963008.789999999</v>
      </c>
      <c r="S39" s="227">
        <f t="shared" si="7"/>
        <v>89032151.859999999</v>
      </c>
      <c r="T39" s="436">
        <f t="shared" si="6"/>
        <v>1.22301951811201</v>
      </c>
      <c r="U39" s="472"/>
      <c r="V39" s="275"/>
    </row>
    <row r="40" spans="1:24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88657241.409999952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86739794.689999983</v>
      </c>
      <c r="Q40" s="178">
        <f t="shared" si="17"/>
        <v>88251296.139999986</v>
      </c>
      <c r="R40" s="178">
        <f t="shared" si="17"/>
        <v>93256353.089999989</v>
      </c>
      <c r="S40" s="528">
        <f t="shared" si="7"/>
        <v>1008229217.2699997</v>
      </c>
      <c r="T40" s="529">
        <f t="shared" si="6"/>
        <v>13.849873171559263</v>
      </c>
      <c r="U40" s="472"/>
    </row>
    <row r="41" spans="1:24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18980290.810000002</v>
      </c>
      <c r="Q41" s="499">
        <v>20373669.920000002</v>
      </c>
      <c r="R41" s="148">
        <v>17695774.5</v>
      </c>
      <c r="S41" s="227">
        <f t="shared" si="7"/>
        <v>213056822.80000001</v>
      </c>
      <c r="T41" s="436">
        <f t="shared" si="6"/>
        <v>2.9267253156036652</v>
      </c>
      <c r="U41" s="472"/>
    </row>
    <row r="42" spans="1:24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0.35738521326428291</v>
      </c>
      <c r="U42" s="472"/>
      <c r="V42" s="275"/>
    </row>
    <row r="43" spans="1:24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61550827.919999957</v>
      </c>
      <c r="N43" s="499">
        <v>62111987.969999999</v>
      </c>
      <c r="O43" s="499">
        <v>62041259.769999973</v>
      </c>
      <c r="P43" s="499">
        <v>62741828.979999974</v>
      </c>
      <c r="Q43" s="499">
        <v>62810408.869999982</v>
      </c>
      <c r="R43" s="148">
        <v>63648277.499999985</v>
      </c>
      <c r="S43" s="227">
        <f t="shared" si="7"/>
        <v>730408864.30999994</v>
      </c>
      <c r="T43" s="436">
        <f t="shared" si="6"/>
        <v>10.03350226396692</v>
      </c>
      <c r="U43" s="472"/>
    </row>
    <row r="44" spans="1:24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499">
        <v>893164.23999999976</v>
      </c>
      <c r="H44" s="499">
        <v>857362.14999999979</v>
      </c>
      <c r="I44" s="499">
        <v>1257824.81</v>
      </c>
      <c r="J44" s="499">
        <v>1233497.5799999998</v>
      </c>
      <c r="K44" s="499">
        <v>1005825.6499999999</v>
      </c>
      <c r="L44" s="499">
        <v>1033640.7399999999</v>
      </c>
      <c r="M44" s="499">
        <v>6613796.0999999996</v>
      </c>
      <c r="N44" s="499">
        <v>1831545.6900000004</v>
      </c>
      <c r="O44" s="499">
        <v>1235670.44</v>
      </c>
      <c r="P44" s="499">
        <v>1750407.2900000003</v>
      </c>
      <c r="Q44" s="499">
        <v>1490076.6400000001</v>
      </c>
      <c r="R44" s="148">
        <v>2910809.95</v>
      </c>
      <c r="S44" s="227">
        <f t="shared" si="7"/>
        <v>22113621.280000001</v>
      </c>
      <c r="T44" s="436">
        <f t="shared" si="6"/>
        <v>0.30377105210379551</v>
      </c>
      <c r="U44" s="472"/>
    </row>
    <row r="45" spans="1:24" s="334" customFormat="1">
      <c r="A45" s="333">
        <v>425</v>
      </c>
      <c r="B45" s="612" t="str">
        <f>+VLOOKUP($A45,Master!$D$30:$G$226,4,FALSE)</f>
        <v>Ostala prava iz zdravstvenog osiguranja</v>
      </c>
      <c r="C45" s="613"/>
      <c r="D45" s="613"/>
      <c r="E45" s="613"/>
      <c r="F45" s="613"/>
      <c r="G45" s="499">
        <v>34748.049999999996</v>
      </c>
      <c r="H45" s="499">
        <v>1222905.48</v>
      </c>
      <c r="I45" s="499">
        <v>2373259.1799999997</v>
      </c>
      <c r="J45" s="499">
        <v>1410333.5000000005</v>
      </c>
      <c r="K45" s="499">
        <v>1163295.2799999993</v>
      </c>
      <c r="L45" s="499">
        <v>1245194.8499999996</v>
      </c>
      <c r="M45" s="499">
        <v>1669001.2000000009</v>
      </c>
      <c r="N45" s="499">
        <v>679384.87999999989</v>
      </c>
      <c r="O45" s="499">
        <v>1758483.15</v>
      </c>
      <c r="P45" s="499">
        <v>1449378.3600000006</v>
      </c>
      <c r="Q45" s="499">
        <v>1884503.7700000007</v>
      </c>
      <c r="R45" s="148">
        <v>1742849.8100000003</v>
      </c>
      <c r="S45" s="227">
        <f t="shared" si="7"/>
        <v>16633337.510000005</v>
      </c>
      <c r="T45" s="436">
        <f t="shared" si="6"/>
        <v>0.22848932662060256</v>
      </c>
      <c r="U45" s="472"/>
    </row>
    <row r="46" spans="1:24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v>3021521.19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33632618.140000008</v>
      </c>
      <c r="M46" s="160">
        <v>42236253.310000002</v>
      </c>
      <c r="N46" s="160">
        <v>25401726.260000002</v>
      </c>
      <c r="O46" s="160">
        <v>33679241.530000001</v>
      </c>
      <c r="P46" s="160">
        <v>30731068.659999993</v>
      </c>
      <c r="Q46" s="160">
        <v>34754428.659999996</v>
      </c>
      <c r="R46" s="160">
        <v>86074511.290000021</v>
      </c>
      <c r="S46" s="521">
        <f t="shared" si="7"/>
        <v>429406210.39000005</v>
      </c>
      <c r="T46" s="522">
        <f t="shared" si="6"/>
        <v>5.8986800333804972</v>
      </c>
      <c r="U46" s="472"/>
    </row>
    <row r="47" spans="1:24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27899068.32</v>
      </c>
      <c r="Q47" s="160">
        <v>24238274.819999997</v>
      </c>
      <c r="R47" s="160">
        <v>91475231.98999998</v>
      </c>
      <c r="S47" s="521">
        <f t="shared" si="7"/>
        <v>280754371.82999992</v>
      </c>
      <c r="T47" s="522">
        <f t="shared" si="6"/>
        <v>3.8566750254818185</v>
      </c>
      <c r="U47" s="472"/>
      <c r="V47" s="275"/>
      <c r="W47" s="292"/>
      <c r="X47" s="292"/>
    </row>
    <row r="48" spans="1:24">
      <c r="A48" s="135">
        <v>451</v>
      </c>
      <c r="B48" s="614" t="str">
        <f>+VLOOKUP($A48,Master!$D$30:$G$226,4,FALSE)</f>
        <v>Pozajmice i krediti</v>
      </c>
      <c r="C48" s="615"/>
      <c r="D48" s="615"/>
      <c r="E48" s="615"/>
      <c r="F48" s="615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3778637.9000000004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0.67048481338516674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8.035176820473372E-2</v>
      </c>
      <c r="U50" s="472"/>
    </row>
    <row r="51" spans="1:21" ht="13.5" thickBot="1">
      <c r="A51" s="129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2277126.5499999989</v>
      </c>
      <c r="N51" s="430">
        <v>644150.00000000012</v>
      </c>
      <c r="O51" s="430">
        <v>1059498.3099999998</v>
      </c>
      <c r="P51" s="430">
        <v>886392.03999999992</v>
      </c>
      <c r="Q51" s="430">
        <v>1087506.1600000001</v>
      </c>
      <c r="R51" s="430">
        <v>2189241.63</v>
      </c>
      <c r="S51" s="398">
        <f>+SUM(G51:R51)</f>
        <v>20476534.929999996</v>
      </c>
      <c r="T51" s="440">
        <f t="shared" si="6"/>
        <v>0.28128267552234287</v>
      </c>
      <c r="U51" s="472"/>
    </row>
    <row r="52" spans="1:21" ht="13.5" thickBot="1">
      <c r="A52" s="61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 t="shared" ref="G53" si="18">+G10-G29</f>
        <v>13013809.830000013</v>
      </c>
      <c r="H53" s="136">
        <f t="shared" ref="H53:L53" si="19">+H10-H29</f>
        <v>-34108473.029999971</v>
      </c>
      <c r="I53" s="136">
        <f t="shared" si="19"/>
        <v>13427611.140000045</v>
      </c>
      <c r="J53" s="136">
        <f t="shared" si="19"/>
        <v>58691867.169999987</v>
      </c>
      <c r="K53" s="136">
        <f t="shared" si="19"/>
        <v>-18822884.970000058</v>
      </c>
      <c r="L53" s="136">
        <f t="shared" si="19"/>
        <v>-1713511.0399999917</v>
      </c>
      <c r="M53" s="136">
        <f t="shared" ref="M53:R53" si="20">+M10-M29</f>
        <v>14337226.990000069</v>
      </c>
      <c r="N53" s="136">
        <f t="shared" si="20"/>
        <v>50685103.800000042</v>
      </c>
      <c r="O53" s="136">
        <f t="shared" si="20"/>
        <v>-6536541.619999975</v>
      </c>
      <c r="P53" s="136">
        <f t="shared" si="20"/>
        <v>-11997160.029999971</v>
      </c>
      <c r="Q53" s="136">
        <f t="shared" si="20"/>
        <v>-76632881.549999982</v>
      </c>
      <c r="R53" s="136">
        <f t="shared" si="20"/>
        <v>-231264561.49999991</v>
      </c>
      <c r="S53" s="530">
        <f>SUM(G53:R53)</f>
        <v>-230920394.8099997</v>
      </c>
      <c r="T53" s="531">
        <f t="shared" si="6"/>
        <v>-3.1721141641825858</v>
      </c>
    </row>
    <row r="54" spans="1:21" ht="13.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90">
        <f t="shared" ref="G54" si="21">+G53+G36</f>
        <v>17043139.300000012</v>
      </c>
      <c r="H54" s="190">
        <f t="shared" ref="H54:L54" si="22">+H53+H36</f>
        <v>-29979281.06999997</v>
      </c>
      <c r="I54" s="190">
        <f t="shared" si="22"/>
        <v>20615459.830000043</v>
      </c>
      <c r="J54" s="190">
        <f t="shared" si="22"/>
        <v>89844724.049999982</v>
      </c>
      <c r="K54" s="190">
        <f t="shared" si="22"/>
        <v>-10750158.380000059</v>
      </c>
      <c r="L54" s="190">
        <f t="shared" si="22"/>
        <v>4140852.2500000093</v>
      </c>
      <c r="M54" s="190">
        <f t="shared" ref="M54:R54" si="23">+M53+M36</f>
        <v>18076076.690000068</v>
      </c>
      <c r="N54" s="190">
        <f t="shared" si="23"/>
        <v>54662756.480000041</v>
      </c>
      <c r="O54" s="190">
        <f t="shared" si="23"/>
        <v>19429902.880000029</v>
      </c>
      <c r="P54" s="190">
        <f t="shared" si="23"/>
        <v>2872690.6300000269</v>
      </c>
      <c r="Q54" s="190">
        <f t="shared" si="23"/>
        <v>-63544739.719999984</v>
      </c>
      <c r="R54" s="190">
        <f t="shared" si="23"/>
        <v>-204048336.55999991</v>
      </c>
      <c r="S54" s="530">
        <f t="shared" si="7"/>
        <v>-81636913.619999692</v>
      </c>
      <c r="T54" s="531">
        <f t="shared" si="6"/>
        <v>-1.1214323889720688</v>
      </c>
    </row>
    <row r="55" spans="1:21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7153919.7600000007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495639249.9600001</v>
      </c>
      <c r="T55" s="533">
        <f t="shared" si="6"/>
        <v>6.8085120260450314</v>
      </c>
    </row>
    <row r="56" spans="1:21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9977859.9299999978</v>
      </c>
      <c r="R56" s="196">
        <v>13242556.039999997</v>
      </c>
      <c r="S56" s="235">
        <f t="shared" si="7"/>
        <v>206764325.04000002</v>
      </c>
      <c r="T56" s="444">
        <f t="shared" si="6"/>
        <v>2.8402863447669553</v>
      </c>
    </row>
    <row r="57" spans="1:21" ht="13.5" thickBot="1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4512450.24</v>
      </c>
      <c r="Q57" s="554">
        <v>46829980.980000004</v>
      </c>
      <c r="R57" s="196">
        <v>23391696.940000001</v>
      </c>
      <c r="S57" s="235">
        <f t="shared" si="7"/>
        <v>288874924.92000002</v>
      </c>
      <c r="T57" s="444">
        <f t="shared" si="6"/>
        <v>3.9682256812780752</v>
      </c>
    </row>
    <row r="58" spans="1:21" ht="13.5" thickBot="1">
      <c r="A58" s="129">
        <v>4418</v>
      </c>
      <c r="B58" s="598" t="str">
        <f>+VLOOKUP($A58,Master!$D$30:$G$226,4,FALSE)</f>
        <v>Izdaci za kupovinu hartija od vrijednosti</v>
      </c>
      <c r="C58" s="599"/>
      <c r="D58" s="599"/>
      <c r="E58" s="599"/>
      <c r="F58" s="599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4.4913436680082977E-2</v>
      </c>
    </row>
    <row r="59" spans="1:21" ht="13.5" thickBot="1">
      <c r="A59" s="135">
        <v>451</v>
      </c>
      <c r="B59" s="598" t="str">
        <f>+VLOOKUP($A59,Master!$D$30:$G$226,4,FALSE)</f>
        <v>Pozajmice i krediti</v>
      </c>
      <c r="C59" s="599"/>
      <c r="D59" s="599"/>
      <c r="E59" s="599"/>
      <c r="F59" s="599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0</v>
      </c>
      <c r="O59" s="499">
        <v>841263.3</v>
      </c>
      <c r="P59" s="499">
        <v>716355.96</v>
      </c>
      <c r="Q59" s="499">
        <v>341199.15</v>
      </c>
      <c r="R59" s="432">
        <v>1073189.8700000001</v>
      </c>
      <c r="S59" s="532">
        <f>SUM(G59:R59)</f>
        <v>7895734.4800000004</v>
      </c>
      <c r="T59" s="534">
        <f t="shared" si="6"/>
        <v>0.1084623608115719</v>
      </c>
    </row>
    <row r="60" spans="1:21" ht="13.5" thickBot="1">
      <c r="A60" s="129">
        <v>1002</v>
      </c>
      <c r="B60" s="580" t="str">
        <f>+VLOOKUP($A60,Master!$D$30:$G$226,4,FALSE)</f>
        <v>Nedostajuća sredstva</v>
      </c>
      <c r="C60" s="581"/>
      <c r="D60" s="581"/>
      <c r="E60" s="581"/>
      <c r="F60" s="581"/>
      <c r="G60" s="202">
        <f>+G53-G55-G58-G59</f>
        <v>-22508853.969999991</v>
      </c>
      <c r="H60" s="202">
        <f t="shared" ref="H60:L60" si="27">+H53-H55-H58-H59</f>
        <v>-41361812.239999972</v>
      </c>
      <c r="I60" s="202">
        <f t="shared" si="27"/>
        <v>-48653781.18999996</v>
      </c>
      <c r="J60" s="202">
        <f t="shared" si="27"/>
        <v>-59447143.130000018</v>
      </c>
      <c r="K60" s="202">
        <f t="shared" si="27"/>
        <v>-60179882.650000058</v>
      </c>
      <c r="L60" s="202">
        <f t="shared" si="27"/>
        <v>-53012930.079999991</v>
      </c>
      <c r="M60" s="202">
        <f t="shared" ref="M60" si="28">+M53-M55-M58-M59</f>
        <v>-21136417.299999934</v>
      </c>
      <c r="N60" s="202">
        <f t="shared" ref="N60" si="29">+N53-N55-N58-N59</f>
        <v>43103792.530000038</v>
      </c>
      <c r="O60" s="202">
        <f t="shared" ref="O60" si="30">+O53-O55-O58-O59</f>
        <v>-51903447.959999971</v>
      </c>
      <c r="P60" s="202">
        <f t="shared" ref="P60" si="31">+P53-P55-P58-P59</f>
        <v>-19870540.749999974</v>
      </c>
      <c r="Q60" s="202">
        <f t="shared" ref="Q60" si="32">+Q53-Q55-Q58-Q59</f>
        <v>-133781921.60999998</v>
      </c>
      <c r="R60" s="202">
        <f t="shared" ref="R60:S60" si="33">+R53-R55-R58-R59</f>
        <v>-268972004.3499999</v>
      </c>
      <c r="S60" s="532">
        <f t="shared" si="33"/>
        <v>-737724942.69999981</v>
      </c>
      <c r="T60" s="535">
        <f t="shared" si="6"/>
        <v>-10.134001987719271</v>
      </c>
    </row>
    <row r="61" spans="1:21" ht="13.5" thickBot="1">
      <c r="A61" s="129">
        <v>1003</v>
      </c>
      <c r="B61" s="582" t="str">
        <f>+VLOOKUP($A61,Master!$D$30:$G$226,4,FALSE)</f>
        <v>Finansiranje</v>
      </c>
      <c r="C61" s="583"/>
      <c r="D61" s="583"/>
      <c r="E61" s="583"/>
      <c r="F61" s="583"/>
      <c r="G61" s="136">
        <f>+SUM(G62:G66)</f>
        <v>22508853.969999991</v>
      </c>
      <c r="H61" s="136">
        <f t="shared" ref="H61:L61" si="34">+SUM(H62:H66)</f>
        <v>41361812.239999972</v>
      </c>
      <c r="I61" s="136">
        <f t="shared" si="34"/>
        <v>48653781.189999938</v>
      </c>
      <c r="J61" s="136">
        <f t="shared" si="34"/>
        <v>59447143.130000025</v>
      </c>
      <c r="K61" s="136">
        <f t="shared" si="34"/>
        <v>60179882.650000058</v>
      </c>
      <c r="L61" s="136">
        <f t="shared" si="34"/>
        <v>53012930.079999991</v>
      </c>
      <c r="M61" s="136">
        <f t="shared" ref="M61:R61" si="35">+SUM(M62:M66)</f>
        <v>21136417.299999934</v>
      </c>
      <c r="N61" s="136">
        <f t="shared" si="35"/>
        <v>-43103792.530000038</v>
      </c>
      <c r="O61" s="136">
        <f t="shared" si="35"/>
        <v>51903447.959999971</v>
      </c>
      <c r="P61" s="136">
        <f t="shared" si="35"/>
        <v>19870540.749999974</v>
      </c>
      <c r="Q61" s="136">
        <f t="shared" si="35"/>
        <v>133781921.60999998</v>
      </c>
      <c r="R61" s="136">
        <f t="shared" si="35"/>
        <v>268972004.3499999</v>
      </c>
      <c r="S61" s="536">
        <f t="shared" si="7"/>
        <v>737724942.69999981</v>
      </c>
      <c r="T61" s="537">
        <f t="shared" si="6"/>
        <v>10.134001987719271</v>
      </c>
    </row>
    <row r="62" spans="1:21">
      <c r="A62" s="129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0" t="str">
        <f>+VLOOKUP($A63,Master!$D$30:$G$226,4,FALSE)</f>
        <v>Pozajmice i krediti od inostranih izvora</v>
      </c>
      <c r="C63" s="561"/>
      <c r="D63" s="561"/>
      <c r="E63" s="561"/>
      <c r="F63" s="561"/>
      <c r="G63" s="554">
        <v>1570614.04</v>
      </c>
      <c r="H63" s="554">
        <v>1779527.23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5323879.3100000005</v>
      </c>
      <c r="N63" s="554">
        <v>98091.86</v>
      </c>
      <c r="O63" s="554">
        <v>4856753.8</v>
      </c>
      <c r="P63" s="554">
        <v>6239384.3199999994</v>
      </c>
      <c r="Q63" s="554">
        <v>10216784.279999999</v>
      </c>
      <c r="R63" s="196">
        <v>3834470.9</v>
      </c>
      <c r="S63" s="235">
        <f t="shared" si="7"/>
        <v>732900074.75999987</v>
      </c>
      <c r="T63" s="444">
        <f t="shared" si="6"/>
        <v>10.067723597950463</v>
      </c>
    </row>
    <row r="64" spans="1:21">
      <c r="A64" s="129">
        <v>72</v>
      </c>
      <c r="B64" s="560" t="str">
        <f>+VLOOKUP($A64,Master!$D$30:$G$226,4,FALSE)</f>
        <v>Primici od prodaje imovine</v>
      </c>
      <c r="C64" s="561"/>
      <c r="D64" s="561"/>
      <c r="E64" s="561"/>
      <c r="F64" s="561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3.244054645109002E-2</v>
      </c>
    </row>
    <row r="65" spans="1:20">
      <c r="A65" s="129">
        <v>73</v>
      </c>
      <c r="B65" s="594" t="s">
        <v>101</v>
      </c>
      <c r="C65" s="595"/>
      <c r="D65" s="595"/>
      <c r="E65" s="595"/>
      <c r="F65" s="595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482610.40999999992</v>
      </c>
      <c r="P65" s="160">
        <v>672233.76000000013</v>
      </c>
      <c r="Q65" s="160">
        <v>2331030.3800000004</v>
      </c>
      <c r="R65" s="160">
        <v>2884134.7699999996</v>
      </c>
      <c r="S65" s="228">
        <f t="shared" si="7"/>
        <v>20241376.960000001</v>
      </c>
      <c r="T65" s="437">
        <f t="shared" si="6"/>
        <v>0.27805235050894955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17767153.249999993</v>
      </c>
      <c r="H66" s="210">
        <f t="shared" ref="H66:L66" si="36">-H60-SUM(H62:H65)</f>
        <v>38062643.06999997</v>
      </c>
      <c r="I66" s="210">
        <f t="shared" si="36"/>
        <v>-643416237.55000007</v>
      </c>
      <c r="J66" s="210">
        <f t="shared" si="36"/>
        <v>53604360.51000002</v>
      </c>
      <c r="K66" s="210">
        <f t="shared" si="36"/>
        <v>58158936.530000061</v>
      </c>
      <c r="L66" s="210">
        <f t="shared" si="36"/>
        <v>47366948.649999991</v>
      </c>
      <c r="M66" s="210">
        <f t="shared" ref="M66:S66" si="37">-M60-SUM(M62:M65)</f>
        <v>12385279.359999932</v>
      </c>
      <c r="N66" s="210">
        <f t="shared" si="37"/>
        <v>-43872718.970000036</v>
      </c>
      <c r="O66" s="210">
        <f t="shared" si="37"/>
        <v>46512272.519999973</v>
      </c>
      <c r="P66" s="210">
        <f t="shared" si="37"/>
        <v>12830591.559999974</v>
      </c>
      <c r="Q66" s="210">
        <f t="shared" si="37"/>
        <v>121091237.16999999</v>
      </c>
      <c r="R66" s="210">
        <f t="shared" si="37"/>
        <v>261731450.4199999</v>
      </c>
      <c r="S66" s="238">
        <f t="shared" si="37"/>
        <v>-17778083.480000138</v>
      </c>
      <c r="T66" s="448">
        <f t="shared" si="6"/>
        <v>-0.24421450719123231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1" t="str">
        <f>+Master!G253</f>
        <v>Plan ostvarenja budžeta</v>
      </c>
      <c r="C83" s="632"/>
      <c r="D83" s="632"/>
      <c r="E83" s="632"/>
      <c r="F83" s="632"/>
      <c r="G83" s="616">
        <v>2024</v>
      </c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8"/>
      <c r="S83" s="96" t="str">
        <f>+S7</f>
        <v>BDP</v>
      </c>
      <c r="T83" s="97">
        <v>7279700000</v>
      </c>
    </row>
    <row r="84" spans="1:26" ht="15.75" customHeight="1">
      <c r="B84" s="633"/>
      <c r="C84" s="634"/>
      <c r="D84" s="634"/>
      <c r="E84" s="634"/>
      <c r="F84" s="635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6" t="str">
        <f>+Master!G247</f>
        <v>Jan - Dec</v>
      </c>
      <c r="T84" s="618">
        <f>+T8</f>
        <v>0</v>
      </c>
    </row>
    <row r="85" spans="1:26" ht="13.5" thickBot="1">
      <c r="B85" s="636"/>
      <c r="C85" s="637"/>
      <c r="D85" s="637"/>
      <c r="E85" s="637"/>
      <c r="F85" s="638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5" t="str">
        <f>+VLOOKUP(LEFT($A86,LEN(A86)-1)*1,Master!$D$30:$G$226,4,FALSE)</f>
        <v>Prihodi budžeta</v>
      </c>
      <c r="C86" s="626"/>
      <c r="D86" s="626"/>
      <c r="E86" s="626"/>
      <c r="F86" s="626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7" t="str">
        <f>+VLOOKUP(LEFT($A87,LEN(A87)-1)*1,Master!$D$30:$G$226,4,FALSE)</f>
        <v>Porezi</v>
      </c>
      <c r="C87" s="628"/>
      <c r="D87" s="628"/>
      <c r="E87" s="628"/>
      <c r="F87" s="628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9" t="str">
        <f>+VLOOKUP(LEFT($A95,LEN(A95)-1)*1,Master!$D$30:$G$229,4,FALSE)</f>
        <v>Doprinosi</v>
      </c>
      <c r="C95" s="640"/>
      <c r="D95" s="640"/>
      <c r="E95" s="640"/>
      <c r="F95" s="640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9" t="str">
        <f>+VLOOKUP(LEFT($A100,LEN(A100)-1)*1,Master!$D$30:$G$229,4,FALSE)</f>
        <v>Takse</v>
      </c>
      <c r="C100" s="640"/>
      <c r="D100" s="640"/>
      <c r="E100" s="640"/>
      <c r="F100" s="640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9" t="str">
        <f>+VLOOKUP(LEFT($A101,LEN(A101)-1)*1,Master!$D$30:$G$229,4,FALSE)</f>
        <v>Naknade</v>
      </c>
      <c r="C101" s="640"/>
      <c r="D101" s="640"/>
      <c r="E101" s="640"/>
      <c r="F101" s="640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9" t="str">
        <f>+VLOOKUP(LEFT($A102,LEN(A102)-1)*1,Master!$D$30:$G$229,4,FALSE)</f>
        <v>Ostali prihodi</v>
      </c>
      <c r="C102" s="640"/>
      <c r="D102" s="640"/>
      <c r="E102" s="640"/>
      <c r="F102" s="640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9" t="str">
        <f>+VLOOKUP(LEFT($A103,LEN(A103)-1)*1,Master!$D$30:$G$229,4,FALSE)</f>
        <v>Primici od otplate kredita i sredstva prenesena iz prethodne godine</v>
      </c>
      <c r="C103" s="640"/>
      <c r="D103" s="640"/>
      <c r="E103" s="640"/>
      <c r="F103" s="640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1" t="str">
        <f>+VLOOKUP(LEFT($A104,LEN(A104)-1)*1,Master!$D$30:$G$229,4,FALSE)</f>
        <v>Donacije i transferi</v>
      </c>
      <c r="C104" s="642"/>
      <c r="D104" s="642"/>
      <c r="E104" s="642"/>
      <c r="F104" s="642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5" t="str">
        <f>+VLOOKUP(LEFT($A105,LEN(A105)-1)*1,Master!$D$30:$G$229,4,FALSE)</f>
        <v>Izdaci budžeta</v>
      </c>
      <c r="C105" s="626"/>
      <c r="D105" s="626"/>
      <c r="E105" s="626"/>
      <c r="F105" s="626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3" t="str">
        <f>+VLOOKUP(LEFT($A106,LEN(A106)-1)*1,Master!$D$30:$G$229,4,FALSE)</f>
        <v>Tekući izdaci</v>
      </c>
      <c r="C106" s="644"/>
      <c r="D106" s="644"/>
      <c r="E106" s="644"/>
      <c r="F106" s="644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49" t="str">
        <f>+VLOOKUP(LEFT($A116,LEN(A116)-1)*1,Master!$D$30:$G$229,4,FALSE)</f>
        <v>Transferi za socijalnu zaštitu</v>
      </c>
      <c r="C116" s="650"/>
      <c r="D116" s="650"/>
      <c r="E116" s="650"/>
      <c r="F116" s="650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5" t="str">
        <f>+VLOOKUP(LEFT($A122,LEN(A122)-1)*1,Master!$D$30:$G$229,4,FALSE)</f>
        <v xml:space="preserve">Transferi institucijama, pojedincima, nevladinom i javnom sektoru </v>
      </c>
      <c r="C122" s="646"/>
      <c r="D122" s="646"/>
      <c r="E122" s="646"/>
      <c r="F122" s="646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5" t="str">
        <f>+VLOOKUP(LEFT($A123,LEN(A123)-1)*1,Master!$D$30:$G$229,4,FALSE)</f>
        <v>Kapitalni izdaci</v>
      </c>
      <c r="C123" s="646"/>
      <c r="D123" s="646"/>
      <c r="E123" s="646"/>
      <c r="F123" s="646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7" t="str">
        <f>+VLOOKUP(LEFT($A124,LEN(A124)-1)*1,Master!$D$30:$G$229,4,FALSE)</f>
        <v>Pozajmice i krediti</v>
      </c>
      <c r="C124" s="648"/>
      <c r="D124" s="648"/>
      <c r="E124" s="648"/>
      <c r="F124" s="648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7" t="str">
        <f>+VLOOKUP(LEFT($A125,LEN(A125)-1)*1,Master!$D$30:$G$229,4,FALSE)</f>
        <v>Rezerve</v>
      </c>
      <c r="C125" s="648"/>
      <c r="D125" s="648"/>
      <c r="E125" s="648"/>
      <c r="F125" s="648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7" t="str">
        <f>+VLOOKUP(LEFT($A126,LEN(A126)-1)*1,Master!$D$30:$G$229,4,FALSE)</f>
        <v>Otplata garancija</v>
      </c>
      <c r="C126" s="648"/>
      <c r="D126" s="648"/>
      <c r="E126" s="648"/>
      <c r="F126" s="648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7" t="str">
        <f>+VLOOKUP(LEFT($A127,LEN(A127)-1)*1,Master!$D$30:$G$229,4,FALSE)</f>
        <v>Otplata obaveza iz prethodnog perioda</v>
      </c>
      <c r="C127" s="648"/>
      <c r="D127" s="648"/>
      <c r="E127" s="648"/>
      <c r="F127" s="648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7" t="str">
        <f>+VLOOKUP(LEFT($A128,LEN(A128)-1)*1,Master!$D$30:$G$229,4,FALSE)</f>
        <v>Neto povećanje obaveza</v>
      </c>
      <c r="C128" s="648"/>
      <c r="D128" s="648"/>
      <c r="E128" s="648"/>
      <c r="F128" s="648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5" t="str">
        <f>+VLOOKUP(LEFT($A129,LEN(A129)-1)*1,Master!$D$30:$G$226,4,FALSE)</f>
        <v>Suficit / deficit</v>
      </c>
      <c r="C129" s="656"/>
      <c r="D129" s="656"/>
      <c r="E129" s="656"/>
      <c r="F129" s="656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7" t="str">
        <f>+VLOOKUP(LEFT($A130,LEN(A130)-1)*1,Master!$D$30:$G$226,4,FALSE)</f>
        <v>Primarni suficit/deficit</v>
      </c>
      <c r="C130" s="658"/>
      <c r="D130" s="658"/>
      <c r="E130" s="658"/>
      <c r="F130" s="658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49" t="str">
        <f>+VLOOKUP(LEFT($A131,LEN(A131)-1)*1,Master!$D$30:$G$226,4,FALSE)</f>
        <v>Otplata dugova</v>
      </c>
      <c r="C131" s="650"/>
      <c r="D131" s="650"/>
      <c r="E131" s="650"/>
      <c r="F131" s="650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3" t="str">
        <f>+VLOOKUP(LEFT($A132,LEN(A132)-1)*1,Master!$D$30:$G$226,4,FALSE)</f>
        <v>Otplata hartija od vrijednosti i kredita rezidentima</v>
      </c>
      <c r="C132" s="654"/>
      <c r="D132" s="654"/>
      <c r="E132" s="654"/>
      <c r="F132" s="654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7" t="str">
        <f>+VLOOKUP(LEFT($A133,LEN(A133)-1)*1,Master!$D$30:$G$226,4,FALSE)</f>
        <v>Otplata hartija od vrijednosti i kredita nerezidentima</v>
      </c>
      <c r="C133" s="648"/>
      <c r="D133" s="648"/>
      <c r="E133" s="648"/>
      <c r="F133" s="648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5" t="str">
        <f>+VLOOKUP(LEFT($A134,LEN(A134)-1)*1,Master!$D$30:$G$226,4,FALSE)</f>
        <v>Izdaci za kupovinu hartija od vrijednosti</v>
      </c>
      <c r="C134" s="626"/>
      <c r="D134" s="626"/>
      <c r="E134" s="626"/>
      <c r="F134" s="626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5" t="s">
        <v>113</v>
      </c>
      <c r="C135" s="626"/>
      <c r="D135" s="626"/>
      <c r="E135" s="626"/>
      <c r="F135" s="626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1" t="str">
        <f>+VLOOKUP(LEFT($A136,LEN(A136)-1)*1,Master!$D$30:$G$226,4,FALSE)</f>
        <v>Nedostajuća sredstva</v>
      </c>
      <c r="C136" s="652"/>
      <c r="D136" s="652"/>
      <c r="E136" s="652"/>
      <c r="F136" s="652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5" t="str">
        <f>+VLOOKUP(LEFT($A137,LEN(A137)-1)*1,Master!$D$30:$G$226,4,FALSE)</f>
        <v>Finansiranje</v>
      </c>
      <c r="C137" s="626"/>
      <c r="D137" s="626"/>
      <c r="E137" s="626"/>
      <c r="F137" s="626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3" t="str">
        <f>+VLOOKUP(LEFT($A138,LEN(A138)-1)*1,Master!$D$30:$G$226,4,FALSE)</f>
        <v>Pozajmice i krediti od domaćih izvora</v>
      </c>
      <c r="C138" s="654"/>
      <c r="D138" s="654"/>
      <c r="E138" s="654"/>
      <c r="F138" s="654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7" t="str">
        <f>+VLOOKUP(LEFT($A139,LEN(A139)-1)*1,Master!$D$30:$G$226,4,FALSE)</f>
        <v>Pozajmice i krediti od inostranih izvora</v>
      </c>
      <c r="C139" s="648"/>
      <c r="D139" s="648"/>
      <c r="E139" s="648"/>
      <c r="F139" s="648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7" t="str">
        <f>+VLOOKUP(LEFT($A140,LEN(A140)-1)*1,Master!$D$30:$G$226,4,FALSE)</f>
        <v>Primici od prodaje imovine</v>
      </c>
      <c r="C140" s="648"/>
      <c r="D140" s="648"/>
      <c r="E140" s="648"/>
      <c r="F140" s="648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plztdT2utdEcdF/sbUvTbP+9xlFhoXcMI7LIPIXmkSxxQotPbQQF0xVR0mQ/IU5BVAczcOPojvlDw+K/95WfhA==" saltValue="luQqhz3oXJSPnDbCV5Qx1Q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2" t="str">
        <f>+Master!G252</f>
        <v>Ostvarenje budžeta</v>
      </c>
      <c r="C7" s="563"/>
      <c r="D7" s="563"/>
      <c r="E7" s="563"/>
      <c r="F7" s="563"/>
      <c r="G7" s="571">
        <v>2023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tr">
        <f>+Master!G249</f>
        <v>BDP</v>
      </c>
      <c r="T7" s="221">
        <v>6963615000</v>
      </c>
    </row>
    <row r="8" spans="1:24" ht="16.5" customHeight="1">
      <c r="A8" s="129"/>
      <c r="B8" s="564"/>
      <c r="C8" s="565"/>
      <c r="D8" s="565"/>
      <c r="E8" s="565"/>
      <c r="F8" s="56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1" t="str">
        <f>+Master!G247</f>
        <v>Jan - Dec</v>
      </c>
      <c r="T8" s="575"/>
    </row>
    <row r="9" spans="1:24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2" t="str">
        <f>+VLOOKUP($A10,Master!$D$30:$G$226,4,FALSE)</f>
        <v>Prihodi budžeta</v>
      </c>
      <c r="C10" s="583"/>
      <c r="D10" s="583"/>
      <c r="E10" s="583"/>
      <c r="F10" s="583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4" t="str">
        <f>+VLOOKUP($A19,Master!$D$30:$G$226,4,FALSE)</f>
        <v>Doprinosi</v>
      </c>
      <c r="C19" s="595"/>
      <c r="D19" s="595"/>
      <c r="E19" s="595"/>
      <c r="F19" s="595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0" t="str">
        <f>+VLOOKUP($A34,Master!$D$30:$G$226,4,FALSE)</f>
        <v>Rashodi za usluge</v>
      </c>
      <c r="C34" s="611"/>
      <c r="D34" s="611"/>
      <c r="E34" s="611"/>
      <c r="F34" s="611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2" t="str">
        <f>+VLOOKUP($A39,Master!$D$30:$G$226,4,FALSE)</f>
        <v>Ostali izdaci</v>
      </c>
      <c r="C39" s="593"/>
      <c r="D39" s="593"/>
      <c r="E39" s="593"/>
      <c r="F39" s="593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2" t="str">
        <f>+VLOOKUP($A45,Master!$D$30:$G$226,4,FALSE)</f>
        <v>Ostala prava iz zdravstvenog osiguranja</v>
      </c>
      <c r="C45" s="613"/>
      <c r="D45" s="613"/>
      <c r="E45" s="613"/>
      <c r="F45" s="613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4" t="str">
        <f>+VLOOKUP($A48,Master!$D$30:$G$226,4,FALSE)</f>
        <v>Pozajmice i krediti</v>
      </c>
      <c r="C48" s="615"/>
      <c r="D48" s="615"/>
      <c r="E48" s="615"/>
      <c r="F48" s="615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98" t="str">
        <f>+VLOOKUP($A58,Master!$D$30:$G$226,4,FALSE)</f>
        <v>Izdaci za kupovinu hartija od vrijednosti</v>
      </c>
      <c r="C58" s="599"/>
      <c r="D58" s="599"/>
      <c r="E58" s="599"/>
      <c r="F58" s="599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98" t="str">
        <f>+VLOOKUP($A59,Master!$D$30:$G$226,4,FALSE)</f>
        <v>Pozajmice i krediti</v>
      </c>
      <c r="C59" s="599"/>
      <c r="D59" s="599"/>
      <c r="E59" s="599"/>
      <c r="F59" s="599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0" t="str">
        <f>+VLOOKUP($A60,Master!$D$30:$G$226,4,FALSE)</f>
        <v>Nedostajuća sredstva</v>
      </c>
      <c r="C60" s="581"/>
      <c r="D60" s="581"/>
      <c r="E60" s="581"/>
      <c r="F60" s="581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2" t="str">
        <f>+VLOOKUP($A61,Master!$D$30:$G$226,4,FALSE)</f>
        <v>Finansiranje</v>
      </c>
      <c r="C61" s="583"/>
      <c r="D61" s="583"/>
      <c r="E61" s="583"/>
      <c r="F61" s="583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0" t="str">
        <f>+VLOOKUP($A63,Master!$D$30:$G$226,4,FALSE)</f>
        <v>Pozajmice i krediti od inostranih izvora</v>
      </c>
      <c r="C63" s="561"/>
      <c r="D63" s="561"/>
      <c r="E63" s="561"/>
      <c r="F63" s="561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0" t="str">
        <f>+VLOOKUP($A64,Master!$D$30:$G$226,4,FALSE)</f>
        <v>Primici od prodaje imovine</v>
      </c>
      <c r="C64" s="561"/>
      <c r="D64" s="561"/>
      <c r="E64" s="561"/>
      <c r="F64" s="561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0" t="s">
        <v>101</v>
      </c>
      <c r="C65" s="561"/>
      <c r="D65" s="561"/>
      <c r="E65" s="561"/>
      <c r="F65" s="561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1" t="str">
        <f>+Master!G253</f>
        <v>Plan ostvarenja budžeta</v>
      </c>
      <c r="C83" s="632"/>
      <c r="D83" s="632"/>
      <c r="E83" s="632"/>
      <c r="F83" s="632"/>
      <c r="G83" s="616">
        <v>2023</v>
      </c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8"/>
      <c r="S83" s="96" t="str">
        <f>+S7</f>
        <v>BDP</v>
      </c>
      <c r="T83" s="97">
        <v>6624340418</v>
      </c>
    </row>
    <row r="84" spans="1:26" ht="15.75" customHeight="1">
      <c r="B84" s="633"/>
      <c r="C84" s="634"/>
      <c r="D84" s="634"/>
      <c r="E84" s="634"/>
      <c r="F84" s="635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6" t="str">
        <f>+Master!G247</f>
        <v>Jan - Dec</v>
      </c>
      <c r="T84" s="618">
        <f>+T8</f>
        <v>0</v>
      </c>
    </row>
    <row r="85" spans="1:26" ht="13.5" thickBot="1">
      <c r="B85" s="636"/>
      <c r="C85" s="637"/>
      <c r="D85" s="637"/>
      <c r="E85" s="637"/>
      <c r="F85" s="638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5" t="str">
        <f>+VLOOKUP(LEFT($A86,LEN(A86)-1)*1,Master!$D$30:$G$226,4,FALSE)</f>
        <v>Prihodi budžeta</v>
      </c>
      <c r="C86" s="626"/>
      <c r="D86" s="626"/>
      <c r="E86" s="626"/>
      <c r="F86" s="626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7" t="str">
        <f>+VLOOKUP(LEFT($A87,LEN(A87)-1)*1,Master!$D$30:$G$226,4,FALSE)</f>
        <v>Porezi</v>
      </c>
      <c r="C87" s="628"/>
      <c r="D87" s="628"/>
      <c r="E87" s="628"/>
      <c r="F87" s="628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9" t="str">
        <f>+VLOOKUP(LEFT($A95,LEN(A95)-1)*1,Master!$D$30:$G$229,4,FALSE)</f>
        <v>Doprinosi</v>
      </c>
      <c r="C95" s="640"/>
      <c r="D95" s="640"/>
      <c r="E95" s="640"/>
      <c r="F95" s="640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9" t="str">
        <f>+VLOOKUP(LEFT($A100,LEN(A100)-1)*1,Master!$D$30:$G$229,4,FALSE)</f>
        <v>Takse</v>
      </c>
      <c r="C100" s="640"/>
      <c r="D100" s="640"/>
      <c r="E100" s="640"/>
      <c r="F100" s="640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9" t="str">
        <f>+VLOOKUP(LEFT($A101,LEN(A101)-1)*1,Master!$D$30:$G$229,4,FALSE)</f>
        <v>Naknade</v>
      </c>
      <c r="C101" s="640"/>
      <c r="D101" s="640"/>
      <c r="E101" s="640"/>
      <c r="F101" s="640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9" t="str">
        <f>+VLOOKUP(LEFT($A102,LEN(A102)-1)*1,Master!$D$30:$G$229,4,FALSE)</f>
        <v>Ostali prihodi</v>
      </c>
      <c r="C102" s="640"/>
      <c r="D102" s="640"/>
      <c r="E102" s="640"/>
      <c r="F102" s="640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9" t="str">
        <f>+VLOOKUP(LEFT($A103,LEN(A103)-1)*1,Master!$D$30:$G$229,4,FALSE)</f>
        <v>Primici od otplate kredita i sredstva prenesena iz prethodne godine</v>
      </c>
      <c r="C103" s="640"/>
      <c r="D103" s="640"/>
      <c r="E103" s="640"/>
      <c r="F103" s="640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1" t="str">
        <f>+VLOOKUP(LEFT($A104,LEN(A104)-1)*1,Master!$D$30:$G$229,4,FALSE)</f>
        <v>Donacije i transferi</v>
      </c>
      <c r="C104" s="642"/>
      <c r="D104" s="642"/>
      <c r="E104" s="642"/>
      <c r="F104" s="642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5" t="str">
        <f>+VLOOKUP(LEFT($A105,LEN(A105)-1)*1,Master!$D$30:$G$229,4,FALSE)</f>
        <v>Izdaci budžeta</v>
      </c>
      <c r="C105" s="626"/>
      <c r="D105" s="626"/>
      <c r="E105" s="626"/>
      <c r="F105" s="626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3" t="str">
        <f>+VLOOKUP(LEFT($A106,LEN(A106)-1)*1,Master!$D$30:$G$229,4,FALSE)</f>
        <v>Tekući izdaci</v>
      </c>
      <c r="C106" s="644"/>
      <c r="D106" s="644"/>
      <c r="E106" s="644"/>
      <c r="F106" s="644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49" t="str">
        <f>+VLOOKUP(LEFT($A116,LEN(A116)-1)*1,Master!$D$30:$G$229,4,FALSE)</f>
        <v>Transferi za socijalnu zaštitu</v>
      </c>
      <c r="C116" s="650"/>
      <c r="D116" s="650"/>
      <c r="E116" s="650"/>
      <c r="F116" s="650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5" t="str">
        <f>+VLOOKUP(LEFT($A122,LEN(A122)-1)*1,Master!$D$30:$G$229,4,FALSE)</f>
        <v xml:space="preserve">Transferi institucijama, pojedincima, nevladinom i javnom sektoru </v>
      </c>
      <c r="C122" s="646"/>
      <c r="D122" s="646"/>
      <c r="E122" s="646"/>
      <c r="F122" s="646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5" t="str">
        <f>+VLOOKUP(LEFT($A123,LEN(A123)-1)*1,Master!$D$30:$G$229,4,FALSE)</f>
        <v>Kapitalni izdaci</v>
      </c>
      <c r="C123" s="646"/>
      <c r="D123" s="646"/>
      <c r="E123" s="646"/>
      <c r="F123" s="646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7" t="str">
        <f>+VLOOKUP(LEFT($A124,LEN(A124)-1)*1,Master!$D$30:$G$229,4,FALSE)</f>
        <v>Pozajmice i krediti</v>
      </c>
      <c r="C124" s="648"/>
      <c r="D124" s="648"/>
      <c r="E124" s="648"/>
      <c r="F124" s="648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7" t="str">
        <f>+VLOOKUP(LEFT($A125,LEN(A125)-1)*1,Master!$D$30:$G$229,4,FALSE)</f>
        <v>Rezerve</v>
      </c>
      <c r="C125" s="648"/>
      <c r="D125" s="648"/>
      <c r="E125" s="648"/>
      <c r="F125" s="648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7" t="str">
        <f>+VLOOKUP(LEFT($A126,LEN(A126)-1)*1,Master!$D$30:$G$229,4,FALSE)</f>
        <v>Otplata garancija</v>
      </c>
      <c r="C126" s="648"/>
      <c r="D126" s="648"/>
      <c r="E126" s="648"/>
      <c r="F126" s="648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7" t="str">
        <f>+VLOOKUP(LEFT($A127,LEN(A127)-1)*1,Master!$D$30:$G$229,4,FALSE)</f>
        <v>Otplata obaveza iz prethodnog perioda</v>
      </c>
      <c r="C127" s="648"/>
      <c r="D127" s="648"/>
      <c r="E127" s="648"/>
      <c r="F127" s="648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7" t="str">
        <f>+VLOOKUP(LEFT($A128,LEN(A128)-1)*1,Master!$D$30:$G$229,4,FALSE)</f>
        <v>Neto povećanje obaveza</v>
      </c>
      <c r="C128" s="648"/>
      <c r="D128" s="648"/>
      <c r="E128" s="648"/>
      <c r="F128" s="64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5" t="str">
        <f>+VLOOKUP(LEFT($A129,LEN(A129)-1)*1,Master!$D$30:$G$226,4,FALSE)</f>
        <v>Suficit / deficit</v>
      </c>
      <c r="C129" s="656"/>
      <c r="D129" s="656"/>
      <c r="E129" s="656"/>
      <c r="F129" s="656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7" t="str">
        <f>+VLOOKUP(LEFT($A130,LEN(A130)-1)*1,Master!$D$30:$G$226,4,FALSE)</f>
        <v>Primarni suficit/deficit</v>
      </c>
      <c r="C130" s="658"/>
      <c r="D130" s="658"/>
      <c r="E130" s="658"/>
      <c r="F130" s="658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49" t="str">
        <f>+VLOOKUP(LEFT($A131,LEN(A131)-1)*1,Master!$D$30:$G$226,4,FALSE)</f>
        <v>Otplata dugova</v>
      </c>
      <c r="C131" s="650"/>
      <c r="D131" s="650"/>
      <c r="E131" s="650"/>
      <c r="F131" s="650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3" t="str">
        <f>+VLOOKUP(LEFT($A132,LEN(A132)-1)*1,Master!$D$30:$G$226,4,FALSE)</f>
        <v>Otplata hartija od vrijednosti i kredita rezidentima</v>
      </c>
      <c r="C132" s="654"/>
      <c r="D132" s="654"/>
      <c r="E132" s="654"/>
      <c r="F132" s="654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7" t="str">
        <f>+VLOOKUP(LEFT($A133,LEN(A133)-1)*1,Master!$D$30:$G$226,4,FALSE)</f>
        <v>Otplata hartija od vrijednosti i kredita nerezidentima</v>
      </c>
      <c r="C133" s="648"/>
      <c r="D133" s="648"/>
      <c r="E133" s="648"/>
      <c r="F133" s="648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5" t="str">
        <f>+VLOOKUP(LEFT($A134,LEN(A134)-1)*1,Master!$D$30:$G$226,4,FALSE)</f>
        <v>Izdaci za kupovinu hartija od vrijednosti</v>
      </c>
      <c r="C134" s="626"/>
      <c r="D134" s="626"/>
      <c r="E134" s="626"/>
      <c r="F134" s="626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5" t="s">
        <v>113</v>
      </c>
      <c r="C135" s="626"/>
      <c r="D135" s="626"/>
      <c r="E135" s="626"/>
      <c r="F135" s="626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1" t="str">
        <f>+VLOOKUP(LEFT($A136,LEN(A136)-1)*1,Master!$D$30:$G$226,4,FALSE)</f>
        <v>Nedostajuća sredstva</v>
      </c>
      <c r="C136" s="652"/>
      <c r="D136" s="652"/>
      <c r="E136" s="652"/>
      <c r="F136" s="652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5" t="str">
        <f>+VLOOKUP(LEFT($A137,LEN(A137)-1)*1,Master!$D$30:$G$226,4,FALSE)</f>
        <v>Finansiranje</v>
      </c>
      <c r="C137" s="626"/>
      <c r="D137" s="626"/>
      <c r="E137" s="626"/>
      <c r="F137" s="626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3" t="str">
        <f>+VLOOKUP(LEFT($A138,LEN(A138)-1)*1,Master!$D$30:$G$226,4,FALSE)</f>
        <v>Pozajmice i krediti od domaćih izvora</v>
      </c>
      <c r="C138" s="654"/>
      <c r="D138" s="654"/>
      <c r="E138" s="654"/>
      <c r="F138" s="654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7" t="str">
        <f>+VLOOKUP(LEFT($A139,LEN(A139)-1)*1,Master!$D$30:$G$226,4,FALSE)</f>
        <v>Pozajmice i krediti od inostranih izvora</v>
      </c>
      <c r="C139" s="648"/>
      <c r="D139" s="648"/>
      <c r="E139" s="648"/>
      <c r="F139" s="648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7" t="str">
        <f>+VLOOKUP(LEFT($A140,LEN(A140)-1)*1,Master!$D$30:$G$226,4,FALSE)</f>
        <v>Primici od prodaje imovine</v>
      </c>
      <c r="C140" s="648"/>
      <c r="D140" s="648"/>
      <c r="E140" s="648"/>
      <c r="F140" s="648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2" t="str">
        <f>+Master!G252</f>
        <v>Ostvarenje budžeta</v>
      </c>
      <c r="C7" s="563"/>
      <c r="D7" s="563"/>
      <c r="E7" s="563"/>
      <c r="F7" s="563"/>
      <c r="G7" s="571">
        <v>2022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tr">
        <f>+Master!G249</f>
        <v>BDP</v>
      </c>
      <c r="T7" s="221">
        <v>5796761000</v>
      </c>
    </row>
    <row r="8" spans="1:23" ht="16.5" customHeight="1">
      <c r="A8" s="129"/>
      <c r="B8" s="564"/>
      <c r="C8" s="565"/>
      <c r="D8" s="565"/>
      <c r="E8" s="565"/>
      <c r="F8" s="56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1" t="str">
        <f>+Master!G247</f>
        <v>Jan - Dec</v>
      </c>
      <c r="T8" s="575"/>
    </row>
    <row r="9" spans="1:23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2" t="str">
        <f>+VLOOKUP($A10,Master!$D$30:$G$226,4,FALSE)</f>
        <v>Prihodi budžeta</v>
      </c>
      <c r="C10" s="583"/>
      <c r="D10" s="583"/>
      <c r="E10" s="583"/>
      <c r="F10" s="583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4" t="str">
        <f>+VLOOKUP($A19,Master!$D$30:$G$226,4,FALSE)</f>
        <v>Doprinosi</v>
      </c>
      <c r="C19" s="595"/>
      <c r="D19" s="595"/>
      <c r="E19" s="595"/>
      <c r="F19" s="595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4" t="str">
        <f>+VLOOKUP($A28,Master!$D$30:$G$226,4,FALSE)</f>
        <v>Donacije i transferi</v>
      </c>
      <c r="C28" s="595"/>
      <c r="D28" s="595"/>
      <c r="E28" s="595"/>
      <c r="F28" s="595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0" t="str">
        <f>+VLOOKUP($A34,Master!$D$30:$G$226,4,FALSE)</f>
        <v>Rashodi za usluge</v>
      </c>
      <c r="C34" s="611"/>
      <c r="D34" s="611"/>
      <c r="E34" s="611"/>
      <c r="F34" s="611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2" t="str">
        <f>+VLOOKUP($A39,Master!$D$30:$G$226,4,FALSE)</f>
        <v>Ostali izdaci</v>
      </c>
      <c r="C39" s="593"/>
      <c r="D39" s="593"/>
      <c r="E39" s="593"/>
      <c r="F39" s="593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2" t="str">
        <f>+VLOOKUP($A45,Master!$D$30:$G$226,4,FALSE)</f>
        <v>Ostala prava iz zdravstvenog osiguranja</v>
      </c>
      <c r="C45" s="613"/>
      <c r="D45" s="613"/>
      <c r="E45" s="613"/>
      <c r="F45" s="613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4" t="str">
        <f>+VLOOKUP($A48,Master!$D$30:$G$226,4,FALSE)</f>
        <v>Pozajmice i krediti</v>
      </c>
      <c r="C48" s="615"/>
      <c r="D48" s="615"/>
      <c r="E48" s="615"/>
      <c r="F48" s="615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98" t="str">
        <f>+VLOOKUP($A58,Master!$D$30:$G$226,4,FALSE)</f>
        <v>Izdaci za kupovinu hartija od vrijednosti</v>
      </c>
      <c r="C58" s="599"/>
      <c r="D58" s="599"/>
      <c r="E58" s="599"/>
      <c r="F58" s="59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98" t="str">
        <f>+VLOOKUP($A59,Master!$D$30:$G$226,4,FALSE)</f>
        <v>Pozajmice i krediti</v>
      </c>
      <c r="C59" s="599"/>
      <c r="D59" s="599"/>
      <c r="E59" s="599"/>
      <c r="F59" s="599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0" t="str">
        <f>+VLOOKUP($A60,Master!$D$30:$G$226,4,FALSE)</f>
        <v>Nedostajuća sredstva</v>
      </c>
      <c r="C60" s="581"/>
      <c r="D60" s="581"/>
      <c r="E60" s="581"/>
      <c r="F60" s="581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2" t="str">
        <f>+VLOOKUP($A61,Master!$D$30:$G$226,4,FALSE)</f>
        <v>Finansiranje</v>
      </c>
      <c r="C61" s="583"/>
      <c r="D61" s="583"/>
      <c r="E61" s="583"/>
      <c r="F61" s="583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6" t="str">
        <f>+VLOOKUP($A62,Master!$D$30:$G$226,4,FALSE)</f>
        <v>Pozajmice i krediti od domaćih izvora</v>
      </c>
      <c r="C62" s="577"/>
      <c r="D62" s="577"/>
      <c r="E62" s="577"/>
      <c r="F62" s="57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6" t="str">
        <f>+VLOOKUP($A63,Master!$D$30:$G$226,4,FALSE)</f>
        <v>Pozajmice i krediti od inostranih izvora</v>
      </c>
      <c r="C63" s="577"/>
      <c r="D63" s="577"/>
      <c r="E63" s="577"/>
      <c r="F63" s="577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0" t="str">
        <f>+VLOOKUP($A64,Master!$D$30:$G$226,4,FALSE)</f>
        <v>Primici od prodaje imovine</v>
      </c>
      <c r="C64" s="561"/>
      <c r="D64" s="561"/>
      <c r="E64" s="561"/>
      <c r="F64" s="561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0" t="s">
        <v>101</v>
      </c>
      <c r="C65" s="561"/>
      <c r="D65" s="561"/>
      <c r="E65" s="561"/>
      <c r="F65" s="561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1" t="str">
        <f>+Master!G253</f>
        <v>Plan ostvarenja budžeta</v>
      </c>
      <c r="C83" s="632"/>
      <c r="D83" s="632"/>
      <c r="E83" s="632"/>
      <c r="F83" s="632"/>
      <c r="G83" s="616">
        <v>2022</v>
      </c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18"/>
      <c r="S83" s="96" t="str">
        <f>+S7</f>
        <v>BDP</v>
      </c>
      <c r="T83" s="97">
        <v>5700400000</v>
      </c>
    </row>
    <row r="84" spans="1:26" ht="15.75" customHeight="1">
      <c r="B84" s="633"/>
      <c r="C84" s="634"/>
      <c r="D84" s="634"/>
      <c r="E84" s="634"/>
      <c r="F84" s="635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6" t="str">
        <f>+Master!G247</f>
        <v>Jan - Dec</v>
      </c>
      <c r="T84" s="618">
        <f>+T8</f>
        <v>0</v>
      </c>
    </row>
    <row r="85" spans="1:26" ht="13.5" thickBot="1">
      <c r="B85" s="636"/>
      <c r="C85" s="637"/>
      <c r="D85" s="637"/>
      <c r="E85" s="637"/>
      <c r="F85" s="638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5" t="str">
        <f>+VLOOKUP(LEFT($A86,LEN(A86)-1)*1,Master!$D$30:$G$226,4,FALSE)</f>
        <v>Prihodi budžeta</v>
      </c>
      <c r="C86" s="626"/>
      <c r="D86" s="626"/>
      <c r="E86" s="626"/>
      <c r="F86" s="626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7" t="str">
        <f>+VLOOKUP(LEFT($A87,LEN(A87)-1)*1,Master!$D$30:$G$226,4,FALSE)</f>
        <v>Porezi</v>
      </c>
      <c r="C87" s="628"/>
      <c r="D87" s="628"/>
      <c r="E87" s="628"/>
      <c r="F87" s="628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9" t="str">
        <f>+VLOOKUP(LEFT($A88,LEN(A88)-1)*1,Master!$D$30:$G$229,4,FALSE)</f>
        <v>Porez na dohodak fizičkih lica</v>
      </c>
      <c r="C88" s="630"/>
      <c r="D88" s="630"/>
      <c r="E88" s="630"/>
      <c r="F88" s="630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9" t="str">
        <f>+VLOOKUP(LEFT($A89,LEN(A89)-1)*1,Master!$D$30:$G$229,4,FALSE)</f>
        <v>Porez na dobit pravnih lica</v>
      </c>
      <c r="C89" s="630"/>
      <c r="D89" s="630"/>
      <c r="E89" s="630"/>
      <c r="F89" s="630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9" t="str">
        <f>+VLOOKUP(LEFT($A90,LEN(A90)-1)*1,Master!$D$30:$G$229,4,FALSE)</f>
        <v>Porez na promet nepokretnosti</v>
      </c>
      <c r="C90" s="630"/>
      <c r="D90" s="630"/>
      <c r="E90" s="630"/>
      <c r="F90" s="630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9" t="str">
        <f>+VLOOKUP(LEFT($A91,LEN(A91)-1)*1,Master!$D$30:$G$229,4,FALSE)</f>
        <v>Porez na dodatu vrijednost</v>
      </c>
      <c r="C91" s="630"/>
      <c r="D91" s="630"/>
      <c r="E91" s="630"/>
      <c r="F91" s="630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9" t="str">
        <f>+VLOOKUP(LEFT($A92,LEN(A92)-1)*1,Master!$D$30:$G$229,4,FALSE)</f>
        <v>Akcize</v>
      </c>
      <c r="C92" s="630"/>
      <c r="D92" s="630"/>
      <c r="E92" s="630"/>
      <c r="F92" s="630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9" t="str">
        <f>+VLOOKUP(LEFT($A93,LEN(A93)-1)*1,Master!$D$30:$G$229,4,FALSE)</f>
        <v>Porez na međunarodnu trgovinu i transakcije</v>
      </c>
      <c r="C93" s="630"/>
      <c r="D93" s="630"/>
      <c r="E93" s="630"/>
      <c r="F93" s="630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9" t="str">
        <f>+VLOOKUP(LEFT($A94,LEN(A94)-1)*1,Master!$D$30:$G$229,4,FALSE)</f>
        <v>Ostali državni porezi</v>
      </c>
      <c r="C94" s="630"/>
      <c r="D94" s="630"/>
      <c r="E94" s="630"/>
      <c r="F94" s="630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9" t="str">
        <f>+VLOOKUP(LEFT($A95,LEN(A95)-1)*1,Master!$D$30:$G$229,4,FALSE)</f>
        <v>Doprinosi</v>
      </c>
      <c r="C95" s="640"/>
      <c r="D95" s="640"/>
      <c r="E95" s="640"/>
      <c r="F95" s="640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9" t="str">
        <f>+VLOOKUP(LEFT($A96,LEN(A96)-1)*1,Master!$D$30:$G$229,4,FALSE)</f>
        <v>Doprinosi za penzijsko i invalidsko osiguranje</v>
      </c>
      <c r="C96" s="630"/>
      <c r="D96" s="630"/>
      <c r="E96" s="630"/>
      <c r="F96" s="630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9" t="str">
        <f>+VLOOKUP(LEFT($A97,LEN(A97)-1)*1,Master!$D$30:$G$229,4,FALSE)</f>
        <v>Doprinosi za zdravstveno osiguranje</v>
      </c>
      <c r="C97" s="630"/>
      <c r="D97" s="630"/>
      <c r="E97" s="630"/>
      <c r="F97" s="630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9" t="str">
        <f>+VLOOKUP(LEFT($A98,LEN(A98)-1)*1,Master!$D$30:$G$229,4,FALSE)</f>
        <v>Doprinosi za osiguranje od nezaposlenosti</v>
      </c>
      <c r="C98" s="630"/>
      <c r="D98" s="630"/>
      <c r="E98" s="630"/>
      <c r="F98" s="630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9" t="str">
        <f>+VLOOKUP(LEFT($A99,LEN(A99)-1)*1,Master!$D$30:$G$229,4,FALSE)</f>
        <v>Ostali doprinosi</v>
      </c>
      <c r="C99" s="630"/>
      <c r="D99" s="630"/>
      <c r="E99" s="630"/>
      <c r="F99" s="630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9" t="str">
        <f>+VLOOKUP(LEFT($A100,LEN(A100)-1)*1,Master!$D$30:$G$229,4,FALSE)</f>
        <v>Takse</v>
      </c>
      <c r="C100" s="640"/>
      <c r="D100" s="640"/>
      <c r="E100" s="640"/>
      <c r="F100" s="640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9" t="str">
        <f>+VLOOKUP(LEFT($A101,LEN(A101)-1)*1,Master!$D$30:$G$229,4,FALSE)</f>
        <v>Naknade</v>
      </c>
      <c r="C101" s="640"/>
      <c r="D101" s="640"/>
      <c r="E101" s="640"/>
      <c r="F101" s="640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9" t="str">
        <f>+VLOOKUP(LEFT($A102,LEN(A102)-1)*1,Master!$D$30:$G$229,4,FALSE)</f>
        <v>Ostali prihodi</v>
      </c>
      <c r="C102" s="640"/>
      <c r="D102" s="640"/>
      <c r="E102" s="640"/>
      <c r="F102" s="640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9" t="str">
        <f>+VLOOKUP(LEFT($A103,LEN(A103)-1)*1,Master!$D$30:$G$229,4,FALSE)</f>
        <v>Primici od otplate kredita i sredstva prenesena iz prethodne godine</v>
      </c>
      <c r="C103" s="640"/>
      <c r="D103" s="640"/>
      <c r="E103" s="640"/>
      <c r="F103" s="640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1" t="str">
        <f>+VLOOKUP(LEFT($A104,LEN(A104)-1)*1,Master!$D$30:$G$229,4,FALSE)</f>
        <v>Donacije i transferi</v>
      </c>
      <c r="C104" s="642"/>
      <c r="D104" s="642"/>
      <c r="E104" s="642"/>
      <c r="F104" s="642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5" t="str">
        <f>+VLOOKUP(LEFT($A105,LEN(A105)-1)*1,Master!$D$30:$G$229,4,FALSE)</f>
        <v>Izdaci budžeta</v>
      </c>
      <c r="C105" s="626"/>
      <c r="D105" s="626"/>
      <c r="E105" s="626"/>
      <c r="F105" s="626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3" t="str">
        <f>+VLOOKUP(LEFT($A106,LEN(A106)-1)*1,Master!$D$30:$G$229,4,FALSE)</f>
        <v>Tekući izdaci</v>
      </c>
      <c r="C106" s="644"/>
      <c r="D106" s="644"/>
      <c r="E106" s="644"/>
      <c r="F106" s="644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9" t="str">
        <f>+VLOOKUP(LEFT($A107,LEN(A107)-1)*1,Master!$D$30:$G$229,4,FALSE)</f>
        <v>Bruto zarade i doprinosi na teret poslodavca</v>
      </c>
      <c r="C107" s="630"/>
      <c r="D107" s="630"/>
      <c r="E107" s="630"/>
      <c r="F107" s="630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9" t="str">
        <f>+VLOOKUP(LEFT($A108,LEN(A108)-1)*1,Master!$D$30:$G$229,4,FALSE)</f>
        <v>Ostala lična primanja</v>
      </c>
      <c r="C108" s="630"/>
      <c r="D108" s="630"/>
      <c r="E108" s="630"/>
      <c r="F108" s="630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9" t="str">
        <f>+VLOOKUP(LEFT($A109,LEN(A109)-1)*1,Master!$D$30:$G$229,4,FALSE)</f>
        <v>Rashodi za materijal</v>
      </c>
      <c r="C109" s="630"/>
      <c r="D109" s="630"/>
      <c r="E109" s="630"/>
      <c r="F109" s="630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9" t="str">
        <f>+VLOOKUP(LEFT($A110,LEN(A110)-1)*1,Master!$D$30:$G$229,4,FALSE)</f>
        <v>Rashodi za usluge</v>
      </c>
      <c r="C110" s="630"/>
      <c r="D110" s="630"/>
      <c r="E110" s="630"/>
      <c r="F110" s="630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9" t="str">
        <f>+VLOOKUP(LEFT($A111,LEN(A111)-1)*1,Master!$D$30:$G$229,4,FALSE)</f>
        <v>Rashodi za tekuće održavanje</v>
      </c>
      <c r="C111" s="630"/>
      <c r="D111" s="630"/>
      <c r="E111" s="630"/>
      <c r="F111" s="630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9" t="str">
        <f>+VLOOKUP(LEFT($A112,LEN(A112)-1)*1,Master!$D$30:$G$229,4,FALSE)</f>
        <v>Kamate</v>
      </c>
      <c r="C112" s="630"/>
      <c r="D112" s="630"/>
      <c r="E112" s="630"/>
      <c r="F112" s="630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9" t="str">
        <f>+VLOOKUP(LEFT($A113,LEN(A113)-1)*1,Master!$D$30:$G$229,4,FALSE)</f>
        <v>Renta</v>
      </c>
      <c r="C113" s="630"/>
      <c r="D113" s="630"/>
      <c r="E113" s="630"/>
      <c r="F113" s="630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9" t="str">
        <f>+VLOOKUP(LEFT($A114,LEN(A114)-1)*1,Master!$D$30:$G$229,4,FALSE)</f>
        <v>Subvencije</v>
      </c>
      <c r="C114" s="630"/>
      <c r="D114" s="630"/>
      <c r="E114" s="630"/>
      <c r="F114" s="630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9" t="str">
        <f>+VLOOKUP(LEFT($A115,LEN(A115)-1)*1,Master!$D$30:$G$229,4,FALSE)</f>
        <v>Ostali izdaci</v>
      </c>
      <c r="C115" s="630"/>
      <c r="D115" s="630"/>
      <c r="E115" s="630"/>
      <c r="F115" s="630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49" t="str">
        <f>+VLOOKUP(LEFT($A116,LEN(A116)-1)*1,Master!$D$30:$G$229,4,FALSE)</f>
        <v>Transferi za socijalnu zaštitu</v>
      </c>
      <c r="C116" s="650"/>
      <c r="D116" s="650"/>
      <c r="E116" s="650"/>
      <c r="F116" s="650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9" t="str">
        <f>+VLOOKUP(LEFT($A117,LEN(A117)-1)*1,Master!$D$30:$G$229,4,FALSE)</f>
        <v>Prava iz oblasti socijalne zaštite</v>
      </c>
      <c r="C117" s="630"/>
      <c r="D117" s="630"/>
      <c r="E117" s="630"/>
      <c r="F117" s="630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9" t="str">
        <f>+VLOOKUP(LEFT($A118,LEN(A118)-1)*1,Master!$D$30:$G$229,4,FALSE)</f>
        <v>Sredstva za tehnološke viškove</v>
      </c>
      <c r="C118" s="630"/>
      <c r="D118" s="630"/>
      <c r="E118" s="630"/>
      <c r="F118" s="630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9" t="str">
        <f>+VLOOKUP(LEFT($A119,LEN(A119)-1)*1,Master!$D$30:$G$229,4,FALSE)</f>
        <v>Prava iz oblasti penzijskog i invalidskog osiguranja</v>
      </c>
      <c r="C119" s="630"/>
      <c r="D119" s="630"/>
      <c r="E119" s="630"/>
      <c r="F119" s="630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9" t="str">
        <f>+VLOOKUP(LEFT($A120,LEN(A120)-1)*1,Master!$D$30:$G$229,4,FALSE)</f>
        <v>Ostala prava iz oblasti zdravstvene zaštite</v>
      </c>
      <c r="C120" s="630"/>
      <c r="D120" s="630"/>
      <c r="E120" s="630"/>
      <c r="F120" s="630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9" t="str">
        <f>+VLOOKUP(LEFT($A121,LEN(A121)-1)*1,Master!$D$30:$G$229,4,FALSE)</f>
        <v>Ostala prava iz zdravstvenog osiguranja</v>
      </c>
      <c r="C121" s="630"/>
      <c r="D121" s="630"/>
      <c r="E121" s="630"/>
      <c r="F121" s="630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5" t="str">
        <f>+VLOOKUP(LEFT($A122,LEN(A122)-1)*1,Master!$D$30:$G$229,4,FALSE)</f>
        <v xml:space="preserve">Transferi institucijama, pojedincima, nevladinom i javnom sektoru </v>
      </c>
      <c r="C122" s="646"/>
      <c r="D122" s="646"/>
      <c r="E122" s="646"/>
      <c r="F122" s="646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5" t="str">
        <f>+VLOOKUP(LEFT($A123,LEN(A123)-1)*1,Master!$D$30:$G$229,4,FALSE)</f>
        <v>Kapitalni izdaci</v>
      </c>
      <c r="C123" s="646"/>
      <c r="D123" s="646"/>
      <c r="E123" s="646"/>
      <c r="F123" s="646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7" t="str">
        <f>+VLOOKUP(LEFT($A124,LEN(A124)-1)*1,Master!$D$30:$G$229,4,FALSE)</f>
        <v>Pozajmice i krediti</v>
      </c>
      <c r="C124" s="648"/>
      <c r="D124" s="648"/>
      <c r="E124" s="648"/>
      <c r="F124" s="648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7" t="str">
        <f>+VLOOKUP(LEFT($A125,LEN(A125)-1)*1,Master!$D$30:$G$229,4,FALSE)</f>
        <v>Rezerve</v>
      </c>
      <c r="C125" s="648"/>
      <c r="D125" s="648"/>
      <c r="E125" s="648"/>
      <c r="F125" s="648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7" t="str">
        <f>+VLOOKUP(LEFT($A126,LEN(A126)-1)*1,Master!$D$30:$G$229,4,FALSE)</f>
        <v>Otplata garancija</v>
      </c>
      <c r="C126" s="648"/>
      <c r="D126" s="648"/>
      <c r="E126" s="648"/>
      <c r="F126" s="648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7" t="str">
        <f>+VLOOKUP(LEFT($A127,LEN(A127)-1)*1,Master!$D$30:$G$229,4,FALSE)</f>
        <v>Otplata obaveza iz prethodnog perioda</v>
      </c>
      <c r="C127" s="648"/>
      <c r="D127" s="648"/>
      <c r="E127" s="648"/>
      <c r="F127" s="648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7" t="str">
        <f>+VLOOKUP(LEFT($A128,LEN(A128)-1)*1,Master!$D$30:$G$229,4,FALSE)</f>
        <v>Neto povećanje obaveza</v>
      </c>
      <c r="C128" s="648"/>
      <c r="D128" s="648"/>
      <c r="E128" s="648"/>
      <c r="F128" s="648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5" t="str">
        <f>+VLOOKUP(LEFT($A129,LEN(A129)-1)*1,Master!$D$30:$G$226,4,FALSE)</f>
        <v>Suficit / deficit</v>
      </c>
      <c r="C129" s="656"/>
      <c r="D129" s="656"/>
      <c r="E129" s="656"/>
      <c r="F129" s="656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7" t="str">
        <f>+VLOOKUP(LEFT($A130,LEN(A130)-1)*1,Master!$D$30:$G$226,4,FALSE)</f>
        <v>Primarni suficit/deficit</v>
      </c>
      <c r="C130" s="658"/>
      <c r="D130" s="658"/>
      <c r="E130" s="658"/>
      <c r="F130" s="658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49" t="str">
        <f>+VLOOKUP(LEFT($A131,LEN(A131)-1)*1,Master!$D$30:$G$226,4,FALSE)</f>
        <v>Otplata dugova</v>
      </c>
      <c r="C131" s="650"/>
      <c r="D131" s="650"/>
      <c r="E131" s="650"/>
      <c r="F131" s="650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3" t="str">
        <f>+VLOOKUP(LEFT($A132,LEN(A132)-1)*1,Master!$D$30:$G$226,4,FALSE)</f>
        <v>Otplata hartija od vrijednosti i kredita rezidentima</v>
      </c>
      <c r="C132" s="654"/>
      <c r="D132" s="654"/>
      <c r="E132" s="654"/>
      <c r="F132" s="654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7" t="str">
        <f>+VLOOKUP(LEFT($A133,LEN(A133)-1)*1,Master!$D$30:$G$226,4,FALSE)</f>
        <v>Otplata hartija od vrijednosti i kredita nerezidentima</v>
      </c>
      <c r="C133" s="648"/>
      <c r="D133" s="648"/>
      <c r="E133" s="648"/>
      <c r="F133" s="648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5" t="str">
        <f>+VLOOKUP(LEFT($A134,LEN(A134)-1)*1,Master!$D$30:$G$226,4,FALSE)</f>
        <v>Izdaci za kupovinu hartija od vrijednosti</v>
      </c>
      <c r="C134" s="626"/>
      <c r="D134" s="626"/>
      <c r="E134" s="626"/>
      <c r="F134" s="626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1" t="str">
        <f>+VLOOKUP(LEFT($A135,LEN(A135)-1)*1,Master!$D$30:$G$226,4,FALSE)</f>
        <v>Nedostajuća sredstva</v>
      </c>
      <c r="C135" s="652"/>
      <c r="D135" s="652"/>
      <c r="E135" s="652"/>
      <c r="F135" s="652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5" t="str">
        <f>+VLOOKUP(LEFT($A136,LEN(A136)-1)*1,Master!$D$30:$G$226,4,FALSE)</f>
        <v>Finansiranje</v>
      </c>
      <c r="C136" s="626"/>
      <c r="D136" s="626"/>
      <c r="E136" s="626"/>
      <c r="F136" s="626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3" t="str">
        <f>+VLOOKUP(LEFT($A137,LEN(A137)-1)*1,Master!$D$30:$G$226,4,FALSE)</f>
        <v>Pozajmice i krediti od domaćih izvora</v>
      </c>
      <c r="C137" s="654"/>
      <c r="D137" s="654"/>
      <c r="E137" s="654"/>
      <c r="F137" s="654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7" t="str">
        <f>+VLOOKUP(LEFT($A138,LEN(A138)-1)*1,Master!$D$30:$G$226,4,FALSE)</f>
        <v>Pozajmice i krediti od inostranih izvora</v>
      </c>
      <c r="C138" s="648"/>
      <c r="D138" s="648"/>
      <c r="E138" s="648"/>
      <c r="F138" s="648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7" t="str">
        <f>+VLOOKUP(LEFT($A139,LEN(A139)-1)*1,Master!$D$30:$G$226,4,FALSE)</f>
        <v>Primici od prodaje imovine</v>
      </c>
      <c r="C139" s="648"/>
      <c r="D139" s="648"/>
      <c r="E139" s="648"/>
      <c r="F139" s="648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2" t="str">
        <f>+Master!G252</f>
        <v>Ostvarenje budžeta</v>
      </c>
      <c r="C7" s="563"/>
      <c r="D7" s="563"/>
      <c r="E7" s="563"/>
      <c r="F7" s="563"/>
      <c r="G7" s="571">
        <v>2021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tr">
        <f>+Master!G249</f>
        <v>BDP</v>
      </c>
      <c r="T7" s="221">
        <v>4955116000</v>
      </c>
    </row>
    <row r="8" spans="1:22" ht="16.5" customHeight="1">
      <c r="A8" s="129"/>
      <c r="B8" s="564"/>
      <c r="C8" s="565"/>
      <c r="D8" s="565"/>
      <c r="E8" s="565"/>
      <c r="F8" s="56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1" t="str">
        <f>+Master!G247</f>
        <v>Jan - Dec</v>
      </c>
      <c r="T8" s="575"/>
    </row>
    <row r="9" spans="1:22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4" t="str">
        <f>+VLOOKUP($A10,Master!$D$30:$G$226,4,FALSE)</f>
        <v>Prihodi budžeta</v>
      </c>
      <c r="C10" s="605"/>
      <c r="D10" s="605"/>
      <c r="E10" s="605"/>
      <c r="F10" s="605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0" t="str">
        <f>+VLOOKUP($A34,Master!$D$30:$G$226,4,FALSE)</f>
        <v>Rashodi za usluge</v>
      </c>
      <c r="C34" s="611"/>
      <c r="D34" s="611"/>
      <c r="E34" s="611"/>
      <c r="F34" s="611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0" t="str">
        <f>+VLOOKUP($A39,Master!$D$30:$G$226,4,FALSE)</f>
        <v>Ostali izdaci</v>
      </c>
      <c r="C39" s="611"/>
      <c r="D39" s="611"/>
      <c r="E39" s="611"/>
      <c r="F39" s="611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2" t="str">
        <f>+VLOOKUP($A45,Master!$D$30:$G$226,4,FALSE)</f>
        <v>Ostala prava iz zdravstvenog osiguranja</v>
      </c>
      <c r="C45" s="613"/>
      <c r="D45" s="613"/>
      <c r="E45" s="613"/>
      <c r="F45" s="613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4" t="str">
        <f>+VLOOKUP($A48,Master!$D$30:$G$226,4,FALSE)</f>
        <v>Pozajmice i krediti</v>
      </c>
      <c r="C48" s="615"/>
      <c r="D48" s="615"/>
      <c r="E48" s="615"/>
      <c r="F48" s="615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98" t="str">
        <f>+VLOOKUP($A58,Master!$D$30:$G$226,4,FALSE)</f>
        <v>Izdaci za kupovinu hartija od vrijednosti</v>
      </c>
      <c r="C58" s="599"/>
      <c r="D58" s="599"/>
      <c r="E58" s="599"/>
      <c r="F58" s="599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0" t="str">
        <f>+VLOOKUP($A59,Master!$D$30:$G$226,4,FALSE)</f>
        <v>Nedostajuća sredstva</v>
      </c>
      <c r="C59" s="581"/>
      <c r="D59" s="581"/>
      <c r="E59" s="581"/>
      <c r="F59" s="581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2" t="str">
        <f>+VLOOKUP($A60,Master!$D$30:$G$226,4,FALSE)</f>
        <v>Finansiranje</v>
      </c>
      <c r="C60" s="583"/>
      <c r="D60" s="583"/>
      <c r="E60" s="583"/>
      <c r="F60" s="583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6" t="str">
        <f>+VLOOKUP($A61,Master!$D$30:$G$226,4,FALSE)</f>
        <v>Pozajmice i krediti od domaćih izvora</v>
      </c>
      <c r="C61" s="577"/>
      <c r="D61" s="577"/>
      <c r="E61" s="577"/>
      <c r="F61" s="577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0" t="str">
        <f>+VLOOKUP($A62,Master!$D$30:$G$226,4,FALSE)</f>
        <v>Pozajmice i krediti od inostranih izvora</v>
      </c>
      <c r="C62" s="561"/>
      <c r="D62" s="561"/>
      <c r="E62" s="561"/>
      <c r="F62" s="561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0" t="str">
        <f>+VLOOKUP($A63,Master!$D$30:$G$226,4,FALSE)</f>
        <v>Primici od prodaje imovine</v>
      </c>
      <c r="C63" s="561"/>
      <c r="D63" s="561"/>
      <c r="E63" s="561"/>
      <c r="F63" s="561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1" t="str">
        <f>+Master!G253</f>
        <v>Plan ostvarenja budžeta</v>
      </c>
      <c r="C81" s="632"/>
      <c r="D81" s="632"/>
      <c r="E81" s="632"/>
      <c r="F81" s="632"/>
      <c r="G81" s="616">
        <v>2021</v>
      </c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18"/>
      <c r="S81" s="96" t="str">
        <f>+S7</f>
        <v>BDP</v>
      </c>
      <c r="T81" s="97">
        <v>4636600000</v>
      </c>
    </row>
    <row r="82" spans="1:21" ht="15.75" customHeight="1">
      <c r="B82" s="633"/>
      <c r="C82" s="634"/>
      <c r="D82" s="634"/>
      <c r="E82" s="634"/>
      <c r="F82" s="635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6" t="str">
        <f>+Master!G247</f>
        <v>Jan - Dec</v>
      </c>
      <c r="T82" s="618">
        <f>+T8</f>
        <v>0</v>
      </c>
    </row>
    <row r="83" spans="1:21" ht="13.5" thickBot="1">
      <c r="B83" s="636"/>
      <c r="C83" s="637"/>
      <c r="D83" s="637"/>
      <c r="E83" s="637"/>
      <c r="F83" s="638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1" t="str">
        <f>+VLOOKUP(LEFT($A84,LEN(A84)-1)*1,Master!$D$30:$G$226,4,FALSE)</f>
        <v>Prihodi budžeta</v>
      </c>
      <c r="C84" s="662"/>
      <c r="D84" s="662"/>
      <c r="E84" s="662"/>
      <c r="F84" s="662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7" t="str">
        <f>+VLOOKUP(LEFT($A85,LEN(A85)-1)*1,Master!$D$30:$G$226,4,FALSE)</f>
        <v>Porezi</v>
      </c>
      <c r="C85" s="628"/>
      <c r="D85" s="628"/>
      <c r="E85" s="628"/>
      <c r="F85" s="628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9" t="str">
        <f>+VLOOKUP(LEFT($A86,LEN(A86)-1)*1,Master!$D$30:$G$229,4,FALSE)</f>
        <v>Porez na dohodak fizičkih lica</v>
      </c>
      <c r="C86" s="630"/>
      <c r="D86" s="630"/>
      <c r="E86" s="630"/>
      <c r="F86" s="630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9" t="str">
        <f>+VLOOKUP(LEFT($A87,LEN(A87)-1)*1,Master!$D$30:$G$229,4,FALSE)</f>
        <v>Porez na dobit pravnih lica</v>
      </c>
      <c r="C87" s="630"/>
      <c r="D87" s="630"/>
      <c r="E87" s="630"/>
      <c r="F87" s="630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9" t="str">
        <f>+VLOOKUP(LEFT($A88,LEN(A88)-1)*1,Master!$D$30:$G$229,4,FALSE)</f>
        <v>Porez na promet nepokretnosti</v>
      </c>
      <c r="C88" s="630"/>
      <c r="D88" s="630"/>
      <c r="E88" s="630"/>
      <c r="F88" s="630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9" t="str">
        <f>+VLOOKUP(LEFT($A89,LEN(A89)-1)*1,Master!$D$30:$G$229,4,FALSE)</f>
        <v>Porez na dodatu vrijednost</v>
      </c>
      <c r="C89" s="630"/>
      <c r="D89" s="630"/>
      <c r="E89" s="630"/>
      <c r="F89" s="630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9" t="str">
        <f>+VLOOKUP(LEFT($A90,LEN(A90)-1)*1,Master!$D$30:$G$229,4,FALSE)</f>
        <v>Akcize</v>
      </c>
      <c r="C90" s="630"/>
      <c r="D90" s="630"/>
      <c r="E90" s="630"/>
      <c r="F90" s="630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9" t="str">
        <f>+VLOOKUP(LEFT($A91,LEN(A91)-1)*1,Master!$D$30:$G$229,4,FALSE)</f>
        <v>Porez na međunarodnu trgovinu i transakcije</v>
      </c>
      <c r="C91" s="630"/>
      <c r="D91" s="630"/>
      <c r="E91" s="630"/>
      <c r="F91" s="630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9" t="str">
        <f>+VLOOKUP(LEFT($A92,LEN(A92)-1)*1,Master!$D$30:$G$229,4,FALSE)</f>
        <v>Ostali državni porezi</v>
      </c>
      <c r="C92" s="630"/>
      <c r="D92" s="630"/>
      <c r="E92" s="630"/>
      <c r="F92" s="630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9" t="str">
        <f>+VLOOKUP(LEFT($A93,LEN(A93)-1)*1,Master!$D$30:$G$229,4,FALSE)</f>
        <v>Doprinosi</v>
      </c>
      <c r="C93" s="660"/>
      <c r="D93" s="660"/>
      <c r="E93" s="660"/>
      <c r="F93" s="660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9" t="str">
        <f>+VLOOKUP(LEFT($A94,LEN(A94)-1)*1,Master!$D$30:$G$229,4,FALSE)</f>
        <v>Doprinosi za penzijsko i invalidsko osiguranje</v>
      </c>
      <c r="C94" s="630"/>
      <c r="D94" s="630"/>
      <c r="E94" s="630"/>
      <c r="F94" s="630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9" t="str">
        <f>+VLOOKUP(LEFT($A95,LEN(A95)-1)*1,Master!$D$30:$G$229,4,FALSE)</f>
        <v>Doprinosi za zdravstveno osiguranje</v>
      </c>
      <c r="C95" s="630"/>
      <c r="D95" s="630"/>
      <c r="E95" s="630"/>
      <c r="F95" s="630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9" t="str">
        <f>+VLOOKUP(LEFT($A96,LEN(A96)-1)*1,Master!$D$30:$G$229,4,FALSE)</f>
        <v>Doprinosi za osiguranje od nezaposlenosti</v>
      </c>
      <c r="C96" s="630"/>
      <c r="D96" s="630"/>
      <c r="E96" s="630"/>
      <c r="F96" s="630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9" t="str">
        <f>+VLOOKUP(LEFT($A97,LEN(A97)-1)*1,Master!$D$30:$G$229,4,FALSE)</f>
        <v>Ostali doprinosi</v>
      </c>
      <c r="C97" s="630"/>
      <c r="D97" s="630"/>
      <c r="E97" s="630"/>
      <c r="F97" s="630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9" t="str">
        <f>+VLOOKUP(LEFT($A98,LEN(A98)-1)*1,Master!$D$30:$G$229,4,FALSE)</f>
        <v>Takse</v>
      </c>
      <c r="C98" s="640"/>
      <c r="D98" s="640"/>
      <c r="E98" s="640"/>
      <c r="F98" s="640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9" t="str">
        <f>+VLOOKUP(LEFT($A99,LEN(A99)-1)*1,Master!$D$30:$G$229,4,FALSE)</f>
        <v>Naknade</v>
      </c>
      <c r="C99" s="640"/>
      <c r="D99" s="640"/>
      <c r="E99" s="640"/>
      <c r="F99" s="640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9" t="str">
        <f>+VLOOKUP(LEFT($A100,LEN(A100)-1)*1,Master!$D$30:$G$229,4,FALSE)</f>
        <v>Ostali prihodi</v>
      </c>
      <c r="C100" s="640"/>
      <c r="D100" s="640"/>
      <c r="E100" s="640"/>
      <c r="F100" s="640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9" t="str">
        <f>+VLOOKUP(LEFT($A101,LEN(A101)-1)*1,Master!$D$30:$G$229,4,FALSE)</f>
        <v>Primici od otplate kredita i sredstva prenesena iz prethodne godine</v>
      </c>
      <c r="C101" s="640"/>
      <c r="D101" s="640"/>
      <c r="E101" s="640"/>
      <c r="F101" s="640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1" t="str">
        <f>+VLOOKUP(LEFT($A102,LEN(A102)-1)*1,Master!$D$30:$G$229,4,FALSE)</f>
        <v>Donacije i transferi</v>
      </c>
      <c r="C102" s="642"/>
      <c r="D102" s="642"/>
      <c r="E102" s="642"/>
      <c r="F102" s="642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5" t="str">
        <f>+VLOOKUP(LEFT($A103,LEN(A103)-1)*1,Master!$D$30:$G$229,4,FALSE)</f>
        <v>Izdaci budžeta</v>
      </c>
      <c r="C103" s="626"/>
      <c r="D103" s="626"/>
      <c r="E103" s="626"/>
      <c r="F103" s="626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3" t="str">
        <f>+VLOOKUP(LEFT($A104,LEN(A104)-1)*1,Master!$D$30:$G$229,4,FALSE)</f>
        <v>Tekući izdaci</v>
      </c>
      <c r="C104" s="644"/>
      <c r="D104" s="644"/>
      <c r="E104" s="644"/>
      <c r="F104" s="644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9" t="str">
        <f>+VLOOKUP(LEFT($A105,LEN(A105)-1)*1,Master!$D$30:$G$229,4,FALSE)</f>
        <v>Bruto zarade i doprinosi na teret poslodavca</v>
      </c>
      <c r="C105" s="630"/>
      <c r="D105" s="630"/>
      <c r="E105" s="630"/>
      <c r="F105" s="630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9" t="str">
        <f>+VLOOKUP(LEFT($A106,LEN(A106)-1)*1,Master!$D$30:$G$229,4,FALSE)</f>
        <v>Ostala lična primanja</v>
      </c>
      <c r="C106" s="630"/>
      <c r="D106" s="630"/>
      <c r="E106" s="630"/>
      <c r="F106" s="630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9" t="str">
        <f>+VLOOKUP(LEFT($A107,LEN(A107)-1)*1,Master!$D$30:$G$229,4,FALSE)</f>
        <v>Rashodi za materijal</v>
      </c>
      <c r="C107" s="630"/>
      <c r="D107" s="630"/>
      <c r="E107" s="630"/>
      <c r="F107" s="630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9" t="str">
        <f>+VLOOKUP(LEFT($A108,LEN(A108)-1)*1,Master!$D$30:$G$229,4,FALSE)</f>
        <v>Rashodi za usluge</v>
      </c>
      <c r="C108" s="630"/>
      <c r="D108" s="630"/>
      <c r="E108" s="630"/>
      <c r="F108" s="630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9" t="str">
        <f>+VLOOKUP(LEFT($A109,LEN(A109)-1)*1,Master!$D$30:$G$229,4,FALSE)</f>
        <v>Rashodi za tekuće održavanje</v>
      </c>
      <c r="C109" s="630"/>
      <c r="D109" s="630"/>
      <c r="E109" s="630"/>
      <c r="F109" s="630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9" t="str">
        <f>+VLOOKUP(LEFT($A110,LEN(A110)-1)*1,Master!$D$30:$G$229,4,FALSE)</f>
        <v>Kamate</v>
      </c>
      <c r="C110" s="630"/>
      <c r="D110" s="630"/>
      <c r="E110" s="630"/>
      <c r="F110" s="630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9" t="str">
        <f>+VLOOKUP(LEFT($A111,LEN(A111)-1)*1,Master!$D$30:$G$229,4,FALSE)</f>
        <v>Renta</v>
      </c>
      <c r="C111" s="630"/>
      <c r="D111" s="630"/>
      <c r="E111" s="630"/>
      <c r="F111" s="630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9" t="str">
        <f>+VLOOKUP(LEFT($A112,LEN(A112)-1)*1,Master!$D$30:$G$229,4,FALSE)</f>
        <v>Subvencije</v>
      </c>
      <c r="C112" s="630"/>
      <c r="D112" s="630"/>
      <c r="E112" s="630"/>
      <c r="F112" s="630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9" t="str">
        <f>+VLOOKUP(LEFT($A113,LEN(A113)-1)*1,Master!$D$30:$G$229,4,FALSE)</f>
        <v>Ostali izdaci</v>
      </c>
      <c r="C113" s="630"/>
      <c r="D113" s="630"/>
      <c r="E113" s="630"/>
      <c r="F113" s="630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49" t="str">
        <f>+VLOOKUP(LEFT($A114,LEN(A114)-1)*1,Master!$D$30:$G$229,4,FALSE)</f>
        <v>Transferi za socijalnu zaštitu</v>
      </c>
      <c r="C114" s="650"/>
      <c r="D114" s="650"/>
      <c r="E114" s="650"/>
      <c r="F114" s="650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9" t="str">
        <f>+VLOOKUP(LEFT($A115,LEN(A115)-1)*1,Master!$D$30:$G$229,4,FALSE)</f>
        <v>Prava iz oblasti socijalne zaštite</v>
      </c>
      <c r="C115" s="630"/>
      <c r="D115" s="630"/>
      <c r="E115" s="630"/>
      <c r="F115" s="630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9" t="str">
        <f>+VLOOKUP(LEFT($A116,LEN(A116)-1)*1,Master!$D$30:$G$229,4,FALSE)</f>
        <v>Sredstva za tehnološke viškove</v>
      </c>
      <c r="C116" s="630"/>
      <c r="D116" s="630"/>
      <c r="E116" s="630"/>
      <c r="F116" s="630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9" t="str">
        <f>+VLOOKUP(LEFT($A117,LEN(A117)-1)*1,Master!$D$30:$G$229,4,FALSE)</f>
        <v>Prava iz oblasti penzijskog i invalidskog osiguranja</v>
      </c>
      <c r="C117" s="630"/>
      <c r="D117" s="630"/>
      <c r="E117" s="630"/>
      <c r="F117" s="630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9" t="str">
        <f>+VLOOKUP(LEFT($A118,LEN(A118)-1)*1,Master!$D$30:$G$229,4,FALSE)</f>
        <v>Ostala prava iz oblasti zdravstvene zaštite</v>
      </c>
      <c r="C118" s="630"/>
      <c r="D118" s="630"/>
      <c r="E118" s="630"/>
      <c r="F118" s="630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9" t="str">
        <f>+VLOOKUP(LEFT($A119,LEN(A119)-1)*1,Master!$D$30:$G$229,4,FALSE)</f>
        <v>Ostala prava iz zdravstvenog osiguranja</v>
      </c>
      <c r="C119" s="630"/>
      <c r="D119" s="630"/>
      <c r="E119" s="630"/>
      <c r="F119" s="630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5" t="str">
        <f>+VLOOKUP(LEFT($A120,LEN(A120)-1)*1,Master!$D$30:$G$229,4,FALSE)</f>
        <v xml:space="preserve">Transferi institucijama, pojedincima, nevladinom i javnom sektoru </v>
      </c>
      <c r="C120" s="646"/>
      <c r="D120" s="646"/>
      <c r="E120" s="646"/>
      <c r="F120" s="646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5" t="str">
        <f>+VLOOKUP(LEFT($A121,LEN(A121)-1)*1,Master!$D$30:$G$229,4,FALSE)</f>
        <v>Kapitalni izdaci</v>
      </c>
      <c r="C121" s="646"/>
      <c r="D121" s="646"/>
      <c r="E121" s="646"/>
      <c r="F121" s="646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7" t="str">
        <f>+VLOOKUP(LEFT($A122,LEN(A122)-1)*1,Master!$D$30:$G$229,4,FALSE)</f>
        <v>Pozajmice i krediti</v>
      </c>
      <c r="C122" s="648"/>
      <c r="D122" s="648"/>
      <c r="E122" s="648"/>
      <c r="F122" s="648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7" t="str">
        <f>+VLOOKUP(LEFT($A123,LEN(A123)-1)*1,Master!$D$30:$G$229,4,FALSE)</f>
        <v>Rezerve</v>
      </c>
      <c r="C123" s="648"/>
      <c r="D123" s="648"/>
      <c r="E123" s="648"/>
      <c r="F123" s="648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7" t="str">
        <f>+VLOOKUP(LEFT($A124,LEN(A124)-1)*1,Master!$D$30:$G$229,4,FALSE)</f>
        <v>Otplata garancija</v>
      </c>
      <c r="C124" s="648"/>
      <c r="D124" s="648"/>
      <c r="E124" s="648"/>
      <c r="F124" s="648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7" t="str">
        <f>+VLOOKUP(LEFT($A125,LEN(A125)-1)*1,Master!$D$30:$G$229,4,FALSE)</f>
        <v>Otplata obaveza iz prethodnog perioda</v>
      </c>
      <c r="C125" s="648"/>
      <c r="D125" s="648"/>
      <c r="E125" s="648"/>
      <c r="F125" s="648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7" t="str">
        <f>+VLOOKUP(LEFT($A126,LEN(A126)-1)*1,Master!$D$30:$G$229,4,FALSE)</f>
        <v>Neto povećanje obaveza</v>
      </c>
      <c r="C126" s="648"/>
      <c r="D126" s="648"/>
      <c r="E126" s="648"/>
      <c r="F126" s="648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5" t="str">
        <f>+VLOOKUP(LEFT($A127,LEN(A127)-1)*1,Master!$D$30:$G$226,4,FALSE)</f>
        <v>Suficit / deficit</v>
      </c>
      <c r="C127" s="656"/>
      <c r="D127" s="656"/>
      <c r="E127" s="656"/>
      <c r="F127" s="656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7" t="str">
        <f>+VLOOKUP(LEFT($A128,LEN(A128)-1)*1,Master!$D$30:$G$226,4,FALSE)</f>
        <v>Primarni suficit/deficit</v>
      </c>
      <c r="C128" s="658"/>
      <c r="D128" s="658"/>
      <c r="E128" s="658"/>
      <c r="F128" s="658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49" t="str">
        <f>+VLOOKUP(LEFT($A129,LEN(A129)-1)*1,Master!$D$30:$G$226,4,FALSE)</f>
        <v>Otplata dugova</v>
      </c>
      <c r="C129" s="650"/>
      <c r="D129" s="650"/>
      <c r="E129" s="650"/>
      <c r="F129" s="650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3" t="str">
        <f>+VLOOKUP(LEFT($A130,LEN(A130)-1)*1,Master!$D$30:$G$226,4,FALSE)</f>
        <v>Otplata hartija od vrijednosti i kredita rezidentima</v>
      </c>
      <c r="C130" s="654"/>
      <c r="D130" s="654"/>
      <c r="E130" s="654"/>
      <c r="F130" s="654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7" t="str">
        <f>+VLOOKUP(LEFT($A131,LEN(A131)-1)*1,Master!$D$30:$G$226,4,FALSE)</f>
        <v>Otplata hartija od vrijednosti i kredita nerezidentima</v>
      </c>
      <c r="C131" s="648"/>
      <c r="D131" s="648"/>
      <c r="E131" s="648"/>
      <c r="F131" s="648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5" t="str">
        <f>+VLOOKUP(LEFT($A132,LEN(A132)-1)*1,Master!$D$30:$G$226,4,FALSE)</f>
        <v>Izdaci za kupovinu hartija od vrijednosti</v>
      </c>
      <c r="C132" s="626"/>
      <c r="D132" s="626"/>
      <c r="E132" s="626"/>
      <c r="F132" s="626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1" t="str">
        <f>+VLOOKUP(LEFT($A133,LEN(A133)-1)*1,Master!$D$30:$G$226,4,FALSE)</f>
        <v>Nedostajuća sredstva</v>
      </c>
      <c r="C133" s="652"/>
      <c r="D133" s="652"/>
      <c r="E133" s="652"/>
      <c r="F133" s="652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5" t="str">
        <f>+VLOOKUP(LEFT($A134,LEN(A134)-1)*1,Master!$D$30:$G$226,4,FALSE)</f>
        <v>Finansiranje</v>
      </c>
      <c r="C134" s="626"/>
      <c r="D134" s="626"/>
      <c r="E134" s="626"/>
      <c r="F134" s="626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3" t="str">
        <f>+VLOOKUP(LEFT($A135,LEN(A135)-1)*1,Master!$D$30:$G$226,4,FALSE)</f>
        <v>Pozajmice i krediti od domaćih izvora</v>
      </c>
      <c r="C135" s="654"/>
      <c r="D135" s="654"/>
      <c r="E135" s="654"/>
      <c r="F135" s="654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7" t="str">
        <f>+VLOOKUP(LEFT($A136,LEN(A136)-1)*1,Master!$D$30:$G$226,4,FALSE)</f>
        <v>Pozajmice i krediti od inostranih izvora</v>
      </c>
      <c r="C136" s="648"/>
      <c r="D136" s="648"/>
      <c r="E136" s="648"/>
      <c r="F136" s="648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7" t="str">
        <f>+VLOOKUP(LEFT($A137,LEN(A137)-1)*1,Master!$D$30:$G$226,4,FALSE)</f>
        <v>Primici od prodaje imovine</v>
      </c>
      <c r="C137" s="648"/>
      <c r="D137" s="648"/>
      <c r="E137" s="648"/>
      <c r="F137" s="648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2" t="str">
        <f>+Master!G252</f>
        <v>Ostvarenje budžeta</v>
      </c>
      <c r="C7" s="563"/>
      <c r="D7" s="563"/>
      <c r="E7" s="563"/>
      <c r="F7" s="563"/>
      <c r="G7" s="571">
        <v>2020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tr">
        <f>+Master!G249</f>
        <v>BDP</v>
      </c>
      <c r="T7" s="221">
        <v>4185600000</v>
      </c>
    </row>
    <row r="8" spans="1:20" ht="16.5" customHeight="1">
      <c r="A8" s="129"/>
      <c r="B8" s="564"/>
      <c r="C8" s="565"/>
      <c r="D8" s="565"/>
      <c r="E8" s="565"/>
      <c r="F8" s="56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1" t="str">
        <f>+Master!G247</f>
        <v>Jan - Dec</v>
      </c>
      <c r="T8" s="575"/>
    </row>
    <row r="9" spans="1:20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4" t="str">
        <f>+VLOOKUP($A10,Master!$D$30:$G$226,4,FALSE)</f>
        <v>Prihodi budžeta</v>
      </c>
      <c r="C10" s="605"/>
      <c r="D10" s="605"/>
      <c r="E10" s="605"/>
      <c r="F10" s="605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6" t="str">
        <f>+VLOOKUP($A11,Master!$D$30:$G$226,4,FALSE)</f>
        <v>Porezi</v>
      </c>
      <c r="C11" s="607"/>
      <c r="D11" s="607"/>
      <c r="E11" s="607"/>
      <c r="F11" s="607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2" t="str">
        <f>+VLOOKUP($A12,Master!$D$30:$G$226,4,FALSE)</f>
        <v>Porez na dohodak fizičkih lica</v>
      </c>
      <c r="C12" s="593"/>
      <c r="D12" s="593"/>
      <c r="E12" s="593"/>
      <c r="F12" s="593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2" t="str">
        <f>+VLOOKUP($A13,Master!$D$30:$G$226,4,FALSE)</f>
        <v>Porez na dobit pravnih lica</v>
      </c>
      <c r="C13" s="593"/>
      <c r="D13" s="593"/>
      <c r="E13" s="593"/>
      <c r="F13" s="593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2" t="str">
        <f>+VLOOKUP($A14,Master!$D$30:$G$226,4,FALSE)</f>
        <v>Porez na promet nepokretnosti</v>
      </c>
      <c r="C14" s="593"/>
      <c r="D14" s="593"/>
      <c r="E14" s="593"/>
      <c r="F14" s="593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2" t="str">
        <f>+VLOOKUP($A15,Master!$D$30:$G$226,4,FALSE)</f>
        <v>Porez na dodatu vrijednost</v>
      </c>
      <c r="C15" s="593"/>
      <c r="D15" s="593"/>
      <c r="E15" s="593"/>
      <c r="F15" s="593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2" t="str">
        <f>+VLOOKUP($A16,Master!$D$30:$G$226,4,FALSE)</f>
        <v>Akcize</v>
      </c>
      <c r="C16" s="593"/>
      <c r="D16" s="593"/>
      <c r="E16" s="593"/>
      <c r="F16" s="593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2" t="str">
        <f>+VLOOKUP($A17,Master!$D$30:$G$226,4,FALSE)</f>
        <v>Porez na međunarodnu trgovinu i transakcije</v>
      </c>
      <c r="C17" s="593"/>
      <c r="D17" s="593"/>
      <c r="E17" s="593"/>
      <c r="F17" s="593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2" t="str">
        <f>+VLOOKUP($A18,Master!$D$30:$G$226,4,FALSE)</f>
        <v>Ostali državni porezi</v>
      </c>
      <c r="C18" s="593"/>
      <c r="D18" s="593"/>
      <c r="E18" s="593"/>
      <c r="F18" s="593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2" t="str">
        <f>+VLOOKUP($A20,Master!$D$30:$G$226,4,FALSE)</f>
        <v>Doprinosi za penzijsko i invalidsko osiguranje</v>
      </c>
      <c r="C20" s="593"/>
      <c r="D20" s="593"/>
      <c r="E20" s="593"/>
      <c r="F20" s="593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2" t="str">
        <f>+VLOOKUP($A21,Master!$D$30:$G$226,4,FALSE)</f>
        <v>Doprinosi za zdravstveno osiguranje</v>
      </c>
      <c r="C21" s="593"/>
      <c r="D21" s="593"/>
      <c r="E21" s="593"/>
      <c r="F21" s="593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2" t="str">
        <f>+VLOOKUP($A22,Master!$D$30:$G$226,4,FALSE)</f>
        <v>Doprinosi za osiguranje od nezaposlenosti</v>
      </c>
      <c r="C22" s="593"/>
      <c r="D22" s="593"/>
      <c r="E22" s="593"/>
      <c r="F22" s="593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2" t="str">
        <f>+VLOOKUP($A23,Master!$D$30:$G$226,4,FALSE)</f>
        <v>Ostali doprinosi</v>
      </c>
      <c r="C23" s="593"/>
      <c r="D23" s="593"/>
      <c r="E23" s="593"/>
      <c r="F23" s="593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4" t="str">
        <f>+VLOOKUP($A24,Master!$D$30:$G$226,4,FALSE)</f>
        <v>Takse</v>
      </c>
      <c r="C24" s="595"/>
      <c r="D24" s="595"/>
      <c r="E24" s="595"/>
      <c r="F24" s="595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4" t="str">
        <f>+VLOOKUP($A25,Master!$D$30:$G$226,4,FALSE)</f>
        <v>Naknade</v>
      </c>
      <c r="C25" s="595"/>
      <c r="D25" s="595"/>
      <c r="E25" s="595"/>
      <c r="F25" s="595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4" t="str">
        <f>+VLOOKUP($A26,Master!$D$30:$G$226,4,FALSE)</f>
        <v>Ostali prihodi</v>
      </c>
      <c r="C26" s="595"/>
      <c r="D26" s="595"/>
      <c r="E26" s="595"/>
      <c r="F26" s="595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4" t="str">
        <f>+VLOOKUP($A27,Master!$D$30:$G$226,4,FALSE)</f>
        <v>Primici od otplate kredita i sredstva prenesena iz prethodne godine</v>
      </c>
      <c r="C27" s="595"/>
      <c r="D27" s="595"/>
      <c r="E27" s="595"/>
      <c r="F27" s="595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2" t="str">
        <f>+VLOOKUP($A29,Master!$D$30:$G$226,4,FALSE)</f>
        <v>Izdaci budžeta</v>
      </c>
      <c r="C29" s="583"/>
      <c r="D29" s="583"/>
      <c r="E29" s="583"/>
      <c r="F29" s="583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0" t="str">
        <f>+VLOOKUP($A30,Master!$D$30:$G$226,4,FALSE)</f>
        <v>Tekući izdaci</v>
      </c>
      <c r="C30" s="601"/>
      <c r="D30" s="601"/>
      <c r="E30" s="601"/>
      <c r="F30" s="601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2" t="str">
        <f>+VLOOKUP($A31,Master!$D$30:$G$226,4,FALSE)</f>
        <v>Bruto zarade i doprinosi na teret poslodavca</v>
      </c>
      <c r="C31" s="593"/>
      <c r="D31" s="593"/>
      <c r="E31" s="593"/>
      <c r="F31" s="593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2" t="str">
        <f>+VLOOKUP($A32,Master!$D$30:$G$226,4,FALSE)</f>
        <v>Ostala lična primanja</v>
      </c>
      <c r="C32" s="593"/>
      <c r="D32" s="593"/>
      <c r="E32" s="593"/>
      <c r="F32" s="593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2" t="str">
        <f>+VLOOKUP($A33,Master!$D$30:$G$226,4,FALSE)</f>
        <v>Rashodi za materijal</v>
      </c>
      <c r="C33" s="593"/>
      <c r="D33" s="593"/>
      <c r="E33" s="593"/>
      <c r="F33" s="593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0" t="str">
        <f>+VLOOKUP($A34,Master!$D$30:$G$226,4,FALSE)</f>
        <v>Rashodi za usluge</v>
      </c>
      <c r="C34" s="611"/>
      <c r="D34" s="611"/>
      <c r="E34" s="611"/>
      <c r="F34" s="611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2" t="str">
        <f>+VLOOKUP($A35,Master!$D$30:$G$226,4,FALSE)</f>
        <v>Rashodi za tekuće održavanje</v>
      </c>
      <c r="C35" s="593"/>
      <c r="D35" s="593"/>
      <c r="E35" s="593"/>
      <c r="F35" s="593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2" t="str">
        <f>+VLOOKUP($A36,Master!$D$30:$G$226,4,FALSE)</f>
        <v>Kamate</v>
      </c>
      <c r="C36" s="593"/>
      <c r="D36" s="593"/>
      <c r="E36" s="593"/>
      <c r="F36" s="593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2" t="str">
        <f>+VLOOKUP($A37,Master!$D$30:$G$226,4,FALSE)</f>
        <v>Renta</v>
      </c>
      <c r="C37" s="593"/>
      <c r="D37" s="593"/>
      <c r="E37" s="593"/>
      <c r="F37" s="593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2" t="str">
        <f>+VLOOKUP($A38,Master!$D$30:$G$226,4,FALSE)</f>
        <v>Subvencije</v>
      </c>
      <c r="C38" s="593"/>
      <c r="D38" s="593"/>
      <c r="E38" s="593"/>
      <c r="F38" s="593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0" t="str">
        <f>+VLOOKUP($A39,Master!$D$30:$G$226,4,FALSE)</f>
        <v>Ostali izdaci</v>
      </c>
      <c r="C39" s="611"/>
      <c r="D39" s="611"/>
      <c r="E39" s="611"/>
      <c r="F39" s="611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8" t="str">
        <f>+VLOOKUP($A40,Master!$D$30:$G$226,4,FALSE)</f>
        <v>Transferi za socijalnu zaštitu</v>
      </c>
      <c r="C40" s="589"/>
      <c r="D40" s="589"/>
      <c r="E40" s="589"/>
      <c r="F40" s="589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2" t="str">
        <f>+VLOOKUP($A41,Master!$D$30:$G$226,4,FALSE)</f>
        <v>Prava iz oblasti socijalne zaštite</v>
      </c>
      <c r="C41" s="593"/>
      <c r="D41" s="593"/>
      <c r="E41" s="593"/>
      <c r="F41" s="593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2" t="str">
        <f>+VLOOKUP($A42,Master!$D$30:$G$226,4,FALSE)</f>
        <v>Sredstva za tehnološke viškove</v>
      </c>
      <c r="C42" s="593"/>
      <c r="D42" s="593"/>
      <c r="E42" s="593"/>
      <c r="F42" s="593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2" t="str">
        <f>+VLOOKUP($A43,Master!$D$30:$G$226,4,FALSE)</f>
        <v>Prava iz oblasti penzijskog i invalidskog osiguranja</v>
      </c>
      <c r="C43" s="593"/>
      <c r="D43" s="593"/>
      <c r="E43" s="593"/>
      <c r="F43" s="593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2" t="str">
        <f>+VLOOKUP($A44,Master!$D$30:$G$226,4,FALSE)</f>
        <v>Ostala prava iz oblasti zdravstvene zaštite</v>
      </c>
      <c r="C44" s="593"/>
      <c r="D44" s="593"/>
      <c r="E44" s="593"/>
      <c r="F44" s="593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2" t="str">
        <f>+VLOOKUP($A45,Master!$D$30:$G$226,4,FALSE)</f>
        <v>Ostala prava iz zdravstvenog osiguranja</v>
      </c>
      <c r="C45" s="613"/>
      <c r="D45" s="613"/>
      <c r="E45" s="613"/>
      <c r="F45" s="613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0" t="str">
        <f>+VLOOKUP($A46,Master!$D$30:$G$226,4,FALSE)</f>
        <v xml:space="preserve">Transferi institucijama, pojedincima, nevladinom i javnom sektoru </v>
      </c>
      <c r="C46" s="591"/>
      <c r="D46" s="591"/>
      <c r="E46" s="591"/>
      <c r="F46" s="591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0" t="str">
        <f>+VLOOKUP($A47,Master!$D$30:$G$226,4,FALSE)</f>
        <v>Kapitalni izdaci</v>
      </c>
      <c r="C47" s="591"/>
      <c r="D47" s="591"/>
      <c r="E47" s="591"/>
      <c r="F47" s="591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4" t="str">
        <f>+VLOOKUP($A48,Master!$D$30:$G$226,4,FALSE)</f>
        <v>Pozajmice i krediti</v>
      </c>
      <c r="C48" s="615"/>
      <c r="D48" s="615"/>
      <c r="E48" s="615"/>
      <c r="F48" s="615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19" t="str">
        <f>+VLOOKUP($A49,Master!$D$30:$G$226,4,FALSE)</f>
        <v>Rezerve</v>
      </c>
      <c r="C49" s="620"/>
      <c r="D49" s="620"/>
      <c r="E49" s="620"/>
      <c r="F49" s="620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8" t="str">
        <f>+VLOOKUP($A50,Master!$D$30:$G$226,4,FALSE)</f>
        <v>Otplata garancija</v>
      </c>
      <c r="C50" s="579"/>
      <c r="D50" s="579"/>
      <c r="E50" s="579"/>
      <c r="F50" s="579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1" t="str">
        <f>+VLOOKUP($A51,Master!$D$30:$G$226,4,TRUE)</f>
        <v>Otplata obaveza iz prethodnog perioda</v>
      </c>
      <c r="C51" s="622"/>
      <c r="D51" s="622"/>
      <c r="E51" s="622"/>
      <c r="F51" s="622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3" t="str">
        <f>+VLOOKUP($A52,Master!$D$30:$G$228,4,FALSE)</f>
        <v>Neto povećanje obaveza</v>
      </c>
      <c r="C52" s="624"/>
      <c r="D52" s="624"/>
      <c r="E52" s="624"/>
      <c r="F52" s="624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4" t="str">
        <f>+VLOOKUP($A53,Master!$D$30:$G$226,4,FALSE)</f>
        <v>Suficit / deficit</v>
      </c>
      <c r="C53" s="585"/>
      <c r="D53" s="585"/>
      <c r="E53" s="585"/>
      <c r="F53" s="585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6" t="str">
        <f>+VLOOKUP($A54,Master!$D$30:$G$226,4,FALSE)</f>
        <v>Primarni suficit/deficit</v>
      </c>
      <c r="C54" s="587"/>
      <c r="D54" s="587"/>
      <c r="E54" s="587"/>
      <c r="F54" s="587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8" t="str">
        <f>+VLOOKUP($A55,Master!$D$30:$G$226,4,FALSE)</f>
        <v>Otplata dugova</v>
      </c>
      <c r="C55" s="609"/>
      <c r="D55" s="609"/>
      <c r="E55" s="609"/>
      <c r="F55" s="609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6" t="str">
        <f>+VLOOKUP($A56,Master!$D$30:$G$226,4,FALSE)</f>
        <v>Otplata hartija od vrijednosti i kredita rezidentima</v>
      </c>
      <c r="C56" s="577"/>
      <c r="D56" s="577"/>
      <c r="E56" s="577"/>
      <c r="F56" s="577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0" t="str">
        <f>+VLOOKUP($A57,Master!$D$30:$G$226,4,FALSE)</f>
        <v>Otplata hartija od vrijednosti i kredita nerezidentima</v>
      </c>
      <c r="C57" s="561"/>
      <c r="D57" s="561"/>
      <c r="E57" s="561"/>
      <c r="F57" s="561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98" t="str">
        <f>+VLOOKUP($A58,Master!$D$30:$G$226,4,FALSE)</f>
        <v>Izdaci za kupovinu hartija od vrijednosti</v>
      </c>
      <c r="C58" s="599"/>
      <c r="D58" s="599"/>
      <c r="E58" s="599"/>
      <c r="F58" s="599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0" t="str">
        <f>+VLOOKUP($A59,Master!$D$30:$G$226,4,FALSE)</f>
        <v>Nedostajuća sredstva</v>
      </c>
      <c r="C59" s="581"/>
      <c r="D59" s="581"/>
      <c r="E59" s="581"/>
      <c r="F59" s="581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2" t="str">
        <f>+VLOOKUP($A60,Master!$D$30:$G$226,4,FALSE)</f>
        <v>Finansiranje</v>
      </c>
      <c r="C60" s="583"/>
      <c r="D60" s="583"/>
      <c r="E60" s="583"/>
      <c r="F60" s="583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6" t="str">
        <f>+VLOOKUP($A61,Master!$D$30:$G$226,4,FALSE)</f>
        <v>Pozajmice i krediti od domaćih izvora</v>
      </c>
      <c r="C61" s="577"/>
      <c r="D61" s="577"/>
      <c r="E61" s="577"/>
      <c r="F61" s="577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0" t="str">
        <f>+VLOOKUP($A62,Master!$D$30:$G$226,4,FALSE)</f>
        <v>Pozajmice i krediti od inostranih izvora</v>
      </c>
      <c r="C62" s="561"/>
      <c r="D62" s="561"/>
      <c r="E62" s="561"/>
      <c r="F62" s="561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0" t="str">
        <f>+VLOOKUP($A63,Master!$D$30:$G$226,4,FALSE)</f>
        <v>Primici od prodaje imovine</v>
      </c>
      <c r="C63" s="561"/>
      <c r="D63" s="561"/>
      <c r="E63" s="561"/>
      <c r="F63" s="561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1" t="str">
        <f>+Master!G253</f>
        <v>Plan ostvarenja budžeta</v>
      </c>
      <c r="C100" s="632"/>
      <c r="D100" s="632"/>
      <c r="E100" s="632"/>
      <c r="F100" s="632"/>
      <c r="G100" s="616">
        <v>2020</v>
      </c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18"/>
      <c r="S100" s="96" t="str">
        <f>+S7</f>
        <v>BDP</v>
      </c>
      <c r="T100" s="97">
        <v>4607300000</v>
      </c>
    </row>
    <row r="101" spans="1:21" ht="15.75" customHeight="1">
      <c r="B101" s="633"/>
      <c r="C101" s="634"/>
      <c r="D101" s="634"/>
      <c r="E101" s="634"/>
      <c r="F101" s="635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6" t="str">
        <f>+Master!G247</f>
        <v>Jan - Dec</v>
      </c>
      <c r="T101" s="618">
        <f>+T8</f>
        <v>0</v>
      </c>
    </row>
    <row r="102" spans="1:21" ht="13.5" thickBot="1">
      <c r="B102" s="636"/>
      <c r="C102" s="637"/>
      <c r="D102" s="637"/>
      <c r="E102" s="637"/>
      <c r="F102" s="638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1" t="str">
        <f>+VLOOKUP(LEFT($A103,LEN(A103)-1)*1,Master!$D$30:$G$226,4,FALSE)</f>
        <v>Prihodi budžeta</v>
      </c>
      <c r="C103" s="662"/>
      <c r="D103" s="662"/>
      <c r="E103" s="662"/>
      <c r="F103" s="662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7" t="str">
        <f>+VLOOKUP(LEFT($A104,LEN(A104)-1)*1,Master!$D$30:$G$226,4,FALSE)</f>
        <v>Porezi</v>
      </c>
      <c r="C104" s="628"/>
      <c r="D104" s="628"/>
      <c r="E104" s="628"/>
      <c r="F104" s="628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9" t="str">
        <f>+VLOOKUP(LEFT($A105,LEN(A105)-1)*1,Master!$D$30:$G$229,4,FALSE)</f>
        <v>Porez na dohodak fizičkih lica</v>
      </c>
      <c r="C105" s="630"/>
      <c r="D105" s="630"/>
      <c r="E105" s="630"/>
      <c r="F105" s="630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9" t="str">
        <f>+VLOOKUP(LEFT($A106,LEN(A106)-1)*1,Master!$D$30:$G$229,4,FALSE)</f>
        <v>Porez na dobit pravnih lica</v>
      </c>
      <c r="C106" s="630"/>
      <c r="D106" s="630"/>
      <c r="E106" s="630"/>
      <c r="F106" s="630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9" t="str">
        <f>+VLOOKUP(LEFT($A107,LEN(A107)-1)*1,Master!$D$30:$G$229,4,FALSE)</f>
        <v>Porez na promet nepokretnosti</v>
      </c>
      <c r="C107" s="630"/>
      <c r="D107" s="630"/>
      <c r="E107" s="630"/>
      <c r="F107" s="630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9" t="str">
        <f>+VLOOKUP(LEFT($A108,LEN(A108)-1)*1,Master!$D$30:$G$229,4,FALSE)</f>
        <v>Porez na dodatu vrijednost</v>
      </c>
      <c r="C108" s="630"/>
      <c r="D108" s="630"/>
      <c r="E108" s="630"/>
      <c r="F108" s="630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9" t="str">
        <f>+VLOOKUP(LEFT($A109,LEN(A109)-1)*1,Master!$D$30:$G$229,4,FALSE)</f>
        <v>Akcize</v>
      </c>
      <c r="C109" s="630"/>
      <c r="D109" s="630"/>
      <c r="E109" s="630"/>
      <c r="F109" s="630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9" t="str">
        <f>+VLOOKUP(LEFT($A110,LEN(A110)-1)*1,Master!$D$30:$G$229,4,FALSE)</f>
        <v>Porez na međunarodnu trgovinu i transakcije</v>
      </c>
      <c r="C110" s="630"/>
      <c r="D110" s="630"/>
      <c r="E110" s="630"/>
      <c r="F110" s="630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9" t="str">
        <f>+VLOOKUP(LEFT($A111,LEN(A111)-1)*1,Master!$D$30:$G$229,4,FALSE)</f>
        <v>Ostali državni porezi</v>
      </c>
      <c r="C111" s="630"/>
      <c r="D111" s="630"/>
      <c r="E111" s="630"/>
      <c r="F111" s="630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9" t="str">
        <f>+VLOOKUP(LEFT($A112,LEN(A112)-1)*1,Master!$D$30:$G$229,4,FALSE)</f>
        <v>Doprinosi</v>
      </c>
      <c r="C112" s="660"/>
      <c r="D112" s="660"/>
      <c r="E112" s="660"/>
      <c r="F112" s="660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9" t="str">
        <f>+VLOOKUP(LEFT($A113,LEN(A113)-1)*1,Master!$D$30:$G$229,4,FALSE)</f>
        <v>Doprinosi za penzijsko i invalidsko osiguranje</v>
      </c>
      <c r="C113" s="630"/>
      <c r="D113" s="630"/>
      <c r="E113" s="630"/>
      <c r="F113" s="630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9" t="str">
        <f>+VLOOKUP(LEFT($A114,LEN(A114)-1)*1,Master!$D$30:$G$229,4,FALSE)</f>
        <v>Doprinosi za zdravstveno osiguranje</v>
      </c>
      <c r="C114" s="630"/>
      <c r="D114" s="630"/>
      <c r="E114" s="630"/>
      <c r="F114" s="630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9" t="str">
        <f>+VLOOKUP(LEFT($A115,LEN(A115)-1)*1,Master!$D$30:$G$229,4,FALSE)</f>
        <v>Doprinosi za osiguranje od nezaposlenosti</v>
      </c>
      <c r="C115" s="630"/>
      <c r="D115" s="630"/>
      <c r="E115" s="630"/>
      <c r="F115" s="630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9" t="str">
        <f>+VLOOKUP(LEFT($A116,LEN(A116)-1)*1,Master!$D$30:$G$229,4,FALSE)</f>
        <v>Ostali doprinosi</v>
      </c>
      <c r="C116" s="630"/>
      <c r="D116" s="630"/>
      <c r="E116" s="630"/>
      <c r="F116" s="630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9" t="str">
        <f>+VLOOKUP(LEFT($A117,LEN(A117)-1)*1,Master!$D$30:$G$229,4,FALSE)</f>
        <v>Takse</v>
      </c>
      <c r="C117" s="640"/>
      <c r="D117" s="640"/>
      <c r="E117" s="640"/>
      <c r="F117" s="640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9" t="str">
        <f>+VLOOKUP(LEFT($A118,LEN(A118)-1)*1,Master!$D$30:$G$229,4,FALSE)</f>
        <v>Naknade</v>
      </c>
      <c r="C118" s="640"/>
      <c r="D118" s="640"/>
      <c r="E118" s="640"/>
      <c r="F118" s="640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9" t="str">
        <f>+VLOOKUP(LEFT($A119,LEN(A119)-1)*1,Master!$D$30:$G$229,4,FALSE)</f>
        <v>Ostali prihodi</v>
      </c>
      <c r="C119" s="640"/>
      <c r="D119" s="640"/>
      <c r="E119" s="640"/>
      <c r="F119" s="640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9" t="str">
        <f>+VLOOKUP(LEFT($A120,LEN(A120)-1)*1,Master!$D$30:$G$229,4,FALSE)</f>
        <v>Primici od otplate kredita i sredstva prenesena iz prethodne godine</v>
      </c>
      <c r="C120" s="640"/>
      <c r="D120" s="640"/>
      <c r="E120" s="640"/>
      <c r="F120" s="640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1" t="str">
        <f>+VLOOKUP(LEFT($A121,LEN(A121)-1)*1,Master!$D$30:$G$229,4,FALSE)</f>
        <v>Donacije i transferi</v>
      </c>
      <c r="C121" s="642"/>
      <c r="D121" s="642"/>
      <c r="E121" s="642"/>
      <c r="F121" s="642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5" t="str">
        <f>+VLOOKUP(LEFT($A122,LEN(A122)-1)*1,Master!$D$30:$G$229,4,FALSE)</f>
        <v>Izdaci budžeta</v>
      </c>
      <c r="C122" s="626"/>
      <c r="D122" s="626"/>
      <c r="E122" s="626"/>
      <c r="F122" s="626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3" t="str">
        <f>+VLOOKUP(LEFT($A123,LEN(A123)-1)*1,Master!$D$30:$G$229,4,FALSE)</f>
        <v>Tekući izdaci</v>
      </c>
      <c r="C123" s="644"/>
      <c r="D123" s="644"/>
      <c r="E123" s="644"/>
      <c r="F123" s="644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9" t="str">
        <f>+VLOOKUP(LEFT($A124,LEN(A124)-1)*1,Master!$D$30:$G$229,4,FALSE)</f>
        <v>Bruto zarade i doprinosi na teret poslodavca</v>
      </c>
      <c r="C124" s="630"/>
      <c r="D124" s="630"/>
      <c r="E124" s="630"/>
      <c r="F124" s="630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9" t="str">
        <f>+VLOOKUP(LEFT($A125,LEN(A125)-1)*1,Master!$D$30:$G$229,4,FALSE)</f>
        <v>Ostala lična primanja</v>
      </c>
      <c r="C125" s="630"/>
      <c r="D125" s="630"/>
      <c r="E125" s="630"/>
      <c r="F125" s="630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9" t="str">
        <f>+VLOOKUP(LEFT($A126,LEN(A126)-1)*1,Master!$D$30:$G$229,4,FALSE)</f>
        <v>Rashodi za materijal</v>
      </c>
      <c r="C126" s="630"/>
      <c r="D126" s="630"/>
      <c r="E126" s="630"/>
      <c r="F126" s="630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9" t="str">
        <f>+VLOOKUP(LEFT($A127,LEN(A127)-1)*1,Master!$D$30:$G$229,4,FALSE)</f>
        <v>Rashodi za usluge</v>
      </c>
      <c r="C127" s="630"/>
      <c r="D127" s="630"/>
      <c r="E127" s="630"/>
      <c r="F127" s="630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9" t="str">
        <f>+VLOOKUP(LEFT($A128,LEN(A128)-1)*1,Master!$D$30:$G$229,4,FALSE)</f>
        <v>Rashodi za tekuće održavanje</v>
      </c>
      <c r="C128" s="630"/>
      <c r="D128" s="630"/>
      <c r="E128" s="630"/>
      <c r="F128" s="630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9" t="str">
        <f>+VLOOKUP(LEFT($A129,LEN(A129)-1)*1,Master!$D$30:$G$229,4,FALSE)</f>
        <v>Kamate</v>
      </c>
      <c r="C129" s="630"/>
      <c r="D129" s="630"/>
      <c r="E129" s="630"/>
      <c r="F129" s="630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9" t="str">
        <f>+VLOOKUP(LEFT($A130,LEN(A130)-1)*1,Master!$D$30:$G$229,4,FALSE)</f>
        <v>Renta</v>
      </c>
      <c r="C130" s="630"/>
      <c r="D130" s="630"/>
      <c r="E130" s="630"/>
      <c r="F130" s="630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9" t="str">
        <f>+VLOOKUP(LEFT($A131,LEN(A131)-1)*1,Master!$D$30:$G$229,4,FALSE)</f>
        <v>Subvencije</v>
      </c>
      <c r="C131" s="630"/>
      <c r="D131" s="630"/>
      <c r="E131" s="630"/>
      <c r="F131" s="630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9" t="str">
        <f>+VLOOKUP(LEFT($A132,LEN(A132)-1)*1,Master!$D$30:$G$229,4,FALSE)</f>
        <v>Ostali izdaci</v>
      </c>
      <c r="C132" s="630"/>
      <c r="D132" s="630"/>
      <c r="E132" s="630"/>
      <c r="F132" s="630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49" t="str">
        <f>+VLOOKUP(LEFT($A133,LEN(A133)-1)*1,Master!$D$30:$G$229,4,FALSE)</f>
        <v>Transferi za socijalnu zaštitu</v>
      </c>
      <c r="C133" s="650"/>
      <c r="D133" s="650"/>
      <c r="E133" s="650"/>
      <c r="F133" s="650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9" t="str">
        <f>+VLOOKUP(LEFT($A134,LEN(A134)-1)*1,Master!$D$30:$G$229,4,FALSE)</f>
        <v>Prava iz oblasti socijalne zaštite</v>
      </c>
      <c r="C134" s="630"/>
      <c r="D134" s="630"/>
      <c r="E134" s="630"/>
      <c r="F134" s="630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9" t="str">
        <f>+VLOOKUP(LEFT($A135,LEN(A135)-1)*1,Master!$D$30:$G$229,4,FALSE)</f>
        <v>Sredstva za tehnološke viškove</v>
      </c>
      <c r="C135" s="630"/>
      <c r="D135" s="630"/>
      <c r="E135" s="630"/>
      <c r="F135" s="630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9" t="str">
        <f>+VLOOKUP(LEFT($A136,LEN(A136)-1)*1,Master!$D$30:$G$229,4,FALSE)</f>
        <v>Prava iz oblasti penzijskog i invalidskog osiguranja</v>
      </c>
      <c r="C136" s="630"/>
      <c r="D136" s="630"/>
      <c r="E136" s="630"/>
      <c r="F136" s="630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9" t="str">
        <f>+VLOOKUP(LEFT($A137,LEN(A137)-1)*1,Master!$D$30:$G$229,4,FALSE)</f>
        <v>Ostala prava iz oblasti zdravstvene zaštite</v>
      </c>
      <c r="C137" s="630"/>
      <c r="D137" s="630"/>
      <c r="E137" s="630"/>
      <c r="F137" s="630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9" t="str">
        <f>+VLOOKUP(LEFT($A138,LEN(A138)-1)*1,Master!$D$30:$G$229,4,FALSE)</f>
        <v>Ostala prava iz zdravstvenog osiguranja</v>
      </c>
      <c r="C138" s="630"/>
      <c r="D138" s="630"/>
      <c r="E138" s="630"/>
      <c r="F138" s="630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5" t="str">
        <f>+VLOOKUP(LEFT($A139,LEN(A139)-1)*1,Master!$D$30:$G$229,4,FALSE)</f>
        <v xml:space="preserve">Transferi institucijama, pojedincima, nevladinom i javnom sektoru </v>
      </c>
      <c r="C139" s="646"/>
      <c r="D139" s="646"/>
      <c r="E139" s="646"/>
      <c r="F139" s="646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5" t="str">
        <f>+VLOOKUP(LEFT($A140,LEN(A140)-1)*1,Master!$D$30:$G$229,4,FALSE)</f>
        <v>Kapitalni izdaci</v>
      </c>
      <c r="C140" s="646"/>
      <c r="D140" s="646"/>
      <c r="E140" s="646"/>
      <c r="F140" s="646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7" t="str">
        <f>+VLOOKUP(LEFT($A141,LEN(A141)-1)*1,Master!$D$30:$G$229,4,FALSE)</f>
        <v>Pozajmice i krediti</v>
      </c>
      <c r="C141" s="648"/>
      <c r="D141" s="648"/>
      <c r="E141" s="648"/>
      <c r="F141" s="648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7" t="str">
        <f>+VLOOKUP(LEFT($A142,LEN(A142)-1)*1,Master!$D$30:$G$229,4,FALSE)</f>
        <v>Rezerve</v>
      </c>
      <c r="C142" s="648"/>
      <c r="D142" s="648"/>
      <c r="E142" s="648"/>
      <c r="F142" s="648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7" t="str">
        <f>+VLOOKUP(LEFT($A143,LEN(A143)-1)*1,Master!$D$30:$G$229,4,FALSE)</f>
        <v>Otplata garancija</v>
      </c>
      <c r="C143" s="648"/>
      <c r="D143" s="648"/>
      <c r="E143" s="648"/>
      <c r="F143" s="648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7" t="str">
        <f>+VLOOKUP(LEFT($A144,LEN(A144)-1)*1,Master!$D$30:$G$229,4,FALSE)</f>
        <v>Otplata obaveza iz prethodnog perioda</v>
      </c>
      <c r="C144" s="648"/>
      <c r="D144" s="648"/>
      <c r="E144" s="648"/>
      <c r="F144" s="648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7" t="str">
        <f>+VLOOKUP(LEFT($A145,LEN(A145)-1)*1,Master!$D$30:$G$229,4,FALSE)</f>
        <v>Neto povećanje obaveza</v>
      </c>
      <c r="C145" s="648"/>
      <c r="D145" s="648"/>
      <c r="E145" s="648"/>
      <c r="F145" s="648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5" t="str">
        <f>+VLOOKUP(LEFT($A146,LEN(A146)-1)*1,Master!$D$30:$G$226,4,FALSE)</f>
        <v>Suficit / deficit</v>
      </c>
      <c r="C146" s="656"/>
      <c r="D146" s="656"/>
      <c r="E146" s="656"/>
      <c r="F146" s="656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7" t="str">
        <f>+VLOOKUP(LEFT($A147,LEN(A147)-1)*1,Master!$D$30:$G$226,4,FALSE)</f>
        <v>Primarni suficit/deficit</v>
      </c>
      <c r="C147" s="658"/>
      <c r="D147" s="658"/>
      <c r="E147" s="658"/>
      <c r="F147" s="658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49" t="str">
        <f>+VLOOKUP(LEFT($A148,LEN(A148)-1)*1,Master!$D$30:$G$226,4,FALSE)</f>
        <v>Otplata dugova</v>
      </c>
      <c r="C148" s="650"/>
      <c r="D148" s="650"/>
      <c r="E148" s="650"/>
      <c r="F148" s="650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3" t="str">
        <f>+VLOOKUP(LEFT($A149,LEN(A149)-1)*1,Master!$D$30:$G$226,4,FALSE)</f>
        <v>Otplata hartija od vrijednosti i kredita rezidentima</v>
      </c>
      <c r="C149" s="654"/>
      <c r="D149" s="654"/>
      <c r="E149" s="654"/>
      <c r="F149" s="654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7" t="str">
        <f>+VLOOKUP(LEFT($A150,LEN(A150)-1)*1,Master!$D$30:$G$226,4,FALSE)</f>
        <v>Otplata hartija od vrijednosti i kredita nerezidentima</v>
      </c>
      <c r="C150" s="648"/>
      <c r="D150" s="648"/>
      <c r="E150" s="648"/>
      <c r="F150" s="648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5" t="str">
        <f>+VLOOKUP(LEFT($A151,LEN(A151)-1)*1,Master!$D$30:$G$226,4,FALSE)</f>
        <v>Izdaci za kupovinu hartija od vrijednosti</v>
      </c>
      <c r="C151" s="626"/>
      <c r="D151" s="626"/>
      <c r="E151" s="626"/>
      <c r="F151" s="626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1" t="str">
        <f>+VLOOKUP(LEFT($A152,LEN(A152)-1)*1,Master!$D$30:$G$226,4,FALSE)</f>
        <v>Nedostajuća sredstva</v>
      </c>
      <c r="C152" s="652"/>
      <c r="D152" s="652"/>
      <c r="E152" s="652"/>
      <c r="F152" s="652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5" t="str">
        <f>+VLOOKUP(LEFT($A153,LEN(A153)-1)*1,Master!$D$30:$G$226,4,FALSE)</f>
        <v>Finansiranje</v>
      </c>
      <c r="C153" s="626"/>
      <c r="D153" s="626"/>
      <c r="E153" s="626"/>
      <c r="F153" s="626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3" t="str">
        <f>+VLOOKUP(LEFT($A154,LEN(A154)-1)*1,Master!$D$30:$G$226,4,FALSE)</f>
        <v>Pozajmice i krediti od domaćih izvora</v>
      </c>
      <c r="C154" s="654"/>
      <c r="D154" s="654"/>
      <c r="E154" s="654"/>
      <c r="F154" s="654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7" t="str">
        <f>+VLOOKUP(LEFT($A155,LEN(A155)-1)*1,Master!$D$30:$G$226,4,FALSE)</f>
        <v>Pozajmice i krediti od inostranih izvora</v>
      </c>
      <c r="C155" s="648"/>
      <c r="D155" s="648"/>
      <c r="E155" s="648"/>
      <c r="F155" s="648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7" t="str">
        <f>+VLOOKUP(LEFT($A156,LEN(A156)-1)*1,Master!$D$30:$G$226,4,FALSE)</f>
        <v>Primici od prodaje imovine</v>
      </c>
      <c r="C156" s="648"/>
      <c r="D156" s="648"/>
      <c r="E156" s="648"/>
      <c r="F156" s="648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2" t="s">
        <v>553</v>
      </c>
      <c r="C7" s="563"/>
      <c r="D7" s="563"/>
      <c r="E7" s="563"/>
      <c r="F7" s="563"/>
      <c r="G7" s="571">
        <v>2019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5"/>
      <c r="S7" s="220" t="s">
        <v>419</v>
      </c>
      <c r="T7" s="221">
        <v>4951000000</v>
      </c>
    </row>
    <row r="8" spans="1:20" ht="16.5" customHeight="1">
      <c r="A8" s="129"/>
      <c r="B8" s="564"/>
      <c r="C8" s="565"/>
      <c r="D8" s="565"/>
      <c r="E8" s="565"/>
      <c r="F8" s="56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1" t="s">
        <v>806</v>
      </c>
      <c r="T8" s="575"/>
    </row>
    <row r="9" spans="1:20" ht="13.5" thickBot="1">
      <c r="A9" s="129"/>
      <c r="B9" s="567"/>
      <c r="C9" s="568"/>
      <c r="D9" s="568"/>
      <c r="E9" s="568"/>
      <c r="F9" s="56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2" t="s">
        <v>680</v>
      </c>
      <c r="C10" s="583"/>
      <c r="D10" s="583"/>
      <c r="E10" s="583"/>
      <c r="F10" s="583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6" t="s">
        <v>21</v>
      </c>
      <c r="C11" s="607"/>
      <c r="D11" s="607"/>
      <c r="E11" s="607"/>
      <c r="F11" s="607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2" t="s">
        <v>23</v>
      </c>
      <c r="C12" s="593"/>
      <c r="D12" s="593"/>
      <c r="E12" s="593"/>
      <c r="F12" s="593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2" t="s">
        <v>25</v>
      </c>
      <c r="C13" s="593"/>
      <c r="D13" s="593"/>
      <c r="E13" s="593"/>
      <c r="F13" s="593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2" t="s">
        <v>27</v>
      </c>
      <c r="C14" s="593"/>
      <c r="D14" s="593"/>
      <c r="E14" s="593"/>
      <c r="F14" s="593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2" t="s">
        <v>29</v>
      </c>
      <c r="C15" s="593"/>
      <c r="D15" s="593"/>
      <c r="E15" s="593"/>
      <c r="F15" s="593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2" t="s">
        <v>31</v>
      </c>
      <c r="C16" s="593"/>
      <c r="D16" s="593"/>
      <c r="E16" s="593"/>
      <c r="F16" s="593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2" t="s">
        <v>33</v>
      </c>
      <c r="C17" s="593"/>
      <c r="D17" s="593"/>
      <c r="E17" s="593"/>
      <c r="F17" s="593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2" t="s">
        <v>721</v>
      </c>
      <c r="C18" s="593"/>
      <c r="D18" s="593"/>
      <c r="E18" s="593"/>
      <c r="F18" s="593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2" t="s">
        <v>37</v>
      </c>
      <c r="C19" s="603"/>
      <c r="D19" s="603"/>
      <c r="E19" s="603"/>
      <c r="F19" s="603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2" t="s">
        <v>39</v>
      </c>
      <c r="C20" s="593"/>
      <c r="D20" s="593"/>
      <c r="E20" s="593"/>
      <c r="F20" s="593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2" t="s">
        <v>41</v>
      </c>
      <c r="C21" s="593"/>
      <c r="D21" s="593"/>
      <c r="E21" s="593"/>
      <c r="F21" s="593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2" t="s">
        <v>43</v>
      </c>
      <c r="C22" s="593"/>
      <c r="D22" s="593"/>
      <c r="E22" s="593"/>
      <c r="F22" s="593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2" t="s">
        <v>45</v>
      </c>
      <c r="C23" s="593"/>
      <c r="D23" s="593"/>
      <c r="E23" s="593"/>
      <c r="F23" s="593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4" t="s">
        <v>47</v>
      </c>
      <c r="C24" s="595"/>
      <c r="D24" s="595"/>
      <c r="E24" s="595"/>
      <c r="F24" s="595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4" t="s">
        <v>61</v>
      </c>
      <c r="C25" s="595"/>
      <c r="D25" s="595"/>
      <c r="E25" s="595"/>
      <c r="F25" s="595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4" t="s">
        <v>81</v>
      </c>
      <c r="C26" s="595"/>
      <c r="D26" s="595"/>
      <c r="E26" s="595"/>
      <c r="F26" s="595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4" t="s">
        <v>99</v>
      </c>
      <c r="C27" s="595"/>
      <c r="D27" s="595"/>
      <c r="E27" s="595"/>
      <c r="F27" s="595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6" t="s">
        <v>105</v>
      </c>
      <c r="C28" s="597"/>
      <c r="D28" s="597"/>
      <c r="E28" s="597"/>
      <c r="F28" s="597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2" t="s">
        <v>801</v>
      </c>
      <c r="C29" s="583"/>
      <c r="D29" s="583"/>
      <c r="E29" s="583"/>
      <c r="F29" s="583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98" t="s">
        <v>120</v>
      </c>
      <c r="C30" s="599"/>
      <c r="D30" s="599"/>
      <c r="E30" s="599"/>
      <c r="F30" s="599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2" t="s">
        <v>122</v>
      </c>
      <c r="C31" s="593"/>
      <c r="D31" s="593"/>
      <c r="E31" s="593"/>
      <c r="F31" s="593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2" t="s">
        <v>133</v>
      </c>
      <c r="C32" s="593"/>
      <c r="D32" s="593"/>
      <c r="E32" s="593"/>
      <c r="F32" s="593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2" t="s">
        <v>148</v>
      </c>
      <c r="C33" s="593"/>
      <c r="D33" s="593"/>
      <c r="E33" s="593"/>
      <c r="F33" s="593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2" t="s">
        <v>162</v>
      </c>
      <c r="C34" s="593"/>
      <c r="D34" s="593"/>
      <c r="E34" s="593"/>
      <c r="F34" s="593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0" t="s">
        <v>182</v>
      </c>
      <c r="C35" s="611"/>
      <c r="D35" s="611"/>
      <c r="E35" s="611"/>
      <c r="F35" s="611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2" t="s">
        <v>190</v>
      </c>
      <c r="C36" s="593"/>
      <c r="D36" s="593"/>
      <c r="E36" s="593"/>
      <c r="F36" s="593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2" t="s">
        <v>196</v>
      </c>
      <c r="C37" s="593"/>
      <c r="D37" s="593"/>
      <c r="E37" s="593"/>
      <c r="F37" s="593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2" t="s">
        <v>204</v>
      </c>
      <c r="C38" s="593"/>
      <c r="D38" s="593"/>
      <c r="E38" s="593"/>
      <c r="F38" s="593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2" t="s">
        <v>212</v>
      </c>
      <c r="C39" s="593"/>
      <c r="D39" s="593"/>
      <c r="E39" s="593"/>
      <c r="F39" s="593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8" t="s">
        <v>230</v>
      </c>
      <c r="C40" s="589"/>
      <c r="D40" s="589"/>
      <c r="E40" s="589"/>
      <c r="F40" s="589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2" t="s">
        <v>232</v>
      </c>
      <c r="C41" s="593"/>
      <c r="D41" s="593"/>
      <c r="E41" s="593"/>
      <c r="F41" s="593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2" t="s">
        <v>248</v>
      </c>
      <c r="C42" s="593"/>
      <c r="D42" s="593"/>
      <c r="E42" s="593"/>
      <c r="F42" s="593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2" t="s">
        <v>259</v>
      </c>
      <c r="C43" s="593"/>
      <c r="D43" s="593"/>
      <c r="E43" s="593"/>
      <c r="F43" s="593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2" t="s">
        <v>274</v>
      </c>
      <c r="C44" s="593"/>
      <c r="D44" s="593"/>
      <c r="E44" s="593"/>
      <c r="F44" s="593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2" t="s">
        <v>278</v>
      </c>
      <c r="C45" s="593"/>
      <c r="D45" s="593"/>
      <c r="E45" s="593"/>
      <c r="F45" s="593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0" t="s">
        <v>286</v>
      </c>
      <c r="C46" s="591"/>
      <c r="D46" s="591"/>
      <c r="E46" s="591"/>
      <c r="F46" s="591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0" t="s">
        <v>320</v>
      </c>
      <c r="C47" s="591"/>
      <c r="D47" s="591"/>
      <c r="E47" s="591"/>
      <c r="F47" s="591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4" t="s">
        <v>113</v>
      </c>
      <c r="C48" s="615"/>
      <c r="D48" s="615"/>
      <c r="E48" s="615"/>
      <c r="F48" s="615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19" t="s">
        <v>366</v>
      </c>
      <c r="C49" s="620"/>
      <c r="D49" s="620"/>
      <c r="E49" s="620"/>
      <c r="F49" s="620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8" t="s">
        <v>359</v>
      </c>
      <c r="C50" s="579"/>
      <c r="D50" s="579"/>
      <c r="E50" s="579"/>
      <c r="F50" s="579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1" t="s">
        <v>794</v>
      </c>
      <c r="C51" s="622"/>
      <c r="D51" s="622"/>
      <c r="E51" s="622"/>
      <c r="F51" s="622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3" t="s">
        <v>684</v>
      </c>
      <c r="C52" s="624"/>
      <c r="D52" s="624"/>
      <c r="E52" s="624"/>
      <c r="F52" s="624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4" t="s">
        <v>545</v>
      </c>
      <c r="C53" s="585"/>
      <c r="D53" s="585"/>
      <c r="E53" s="585"/>
      <c r="F53" s="585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6" t="s">
        <v>792</v>
      </c>
      <c r="C54" s="587"/>
      <c r="D54" s="587"/>
      <c r="E54" s="587"/>
      <c r="F54" s="587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8" t="s">
        <v>352</v>
      </c>
      <c r="C55" s="609"/>
      <c r="D55" s="609"/>
      <c r="E55" s="609"/>
      <c r="F55" s="609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6" t="s">
        <v>355</v>
      </c>
      <c r="C56" s="577"/>
      <c r="D56" s="577"/>
      <c r="E56" s="577"/>
      <c r="F56" s="577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0" t="s">
        <v>357</v>
      </c>
      <c r="C57" s="561"/>
      <c r="D57" s="561"/>
      <c r="E57" s="561"/>
      <c r="F57" s="561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3" t="s">
        <v>336</v>
      </c>
      <c r="C58" s="664"/>
      <c r="D58" s="664"/>
      <c r="E58" s="664"/>
      <c r="F58" s="664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0" t="s">
        <v>543</v>
      </c>
      <c r="C59" s="581"/>
      <c r="D59" s="581"/>
      <c r="E59" s="581"/>
      <c r="F59" s="581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2" t="s">
        <v>544</v>
      </c>
      <c r="C60" s="583"/>
      <c r="D60" s="583"/>
      <c r="E60" s="583"/>
      <c r="F60" s="583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6" t="s">
        <v>114</v>
      </c>
      <c r="C61" s="577"/>
      <c r="D61" s="577"/>
      <c r="E61" s="577"/>
      <c r="F61" s="577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0" t="s">
        <v>116</v>
      </c>
      <c r="C62" s="561"/>
      <c r="D62" s="561"/>
      <c r="E62" s="561"/>
      <c r="F62" s="561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0" t="s">
        <v>93</v>
      </c>
      <c r="C63" s="561"/>
      <c r="D63" s="561"/>
      <c r="E63" s="561"/>
      <c r="F63" s="561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1" t="s">
        <v>551</v>
      </c>
      <c r="C100" s="632"/>
      <c r="D100" s="632"/>
      <c r="E100" s="632"/>
      <c r="F100" s="632"/>
      <c r="G100" s="616">
        <v>2019</v>
      </c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18"/>
      <c r="S100" s="96" t="str">
        <f>+S7</f>
        <v>BDP</v>
      </c>
      <c r="T100" s="97">
        <f>+T7</f>
        <v>4951000000</v>
      </c>
    </row>
    <row r="101" spans="1:21" ht="15.75" customHeight="1">
      <c r="B101" s="633"/>
      <c r="C101" s="634"/>
      <c r="D101" s="634"/>
      <c r="E101" s="634"/>
      <c r="F101" s="635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6" t="s">
        <v>806</v>
      </c>
      <c r="T101" s="618">
        <f>+T8</f>
        <v>0</v>
      </c>
    </row>
    <row r="102" spans="1:21" ht="13.5" thickBot="1">
      <c r="B102" s="636"/>
      <c r="C102" s="637"/>
      <c r="D102" s="637"/>
      <c r="E102" s="637"/>
      <c r="F102" s="638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1" t="s">
        <v>680</v>
      </c>
      <c r="C103" s="662"/>
      <c r="D103" s="662"/>
      <c r="E103" s="662"/>
      <c r="F103" s="662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7" t="s">
        <v>21</v>
      </c>
      <c r="C104" s="628"/>
      <c r="D104" s="628"/>
      <c r="E104" s="628"/>
      <c r="F104" s="628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9" t="s">
        <v>23</v>
      </c>
      <c r="C105" s="630"/>
      <c r="D105" s="630"/>
      <c r="E105" s="630"/>
      <c r="F105" s="630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9" t="s">
        <v>25</v>
      </c>
      <c r="C106" s="630"/>
      <c r="D106" s="630"/>
      <c r="E106" s="630"/>
      <c r="F106" s="630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9" t="s">
        <v>27</v>
      </c>
      <c r="C107" s="630"/>
      <c r="D107" s="630"/>
      <c r="E107" s="630"/>
      <c r="F107" s="630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9" t="s">
        <v>29</v>
      </c>
      <c r="C108" s="630"/>
      <c r="D108" s="630"/>
      <c r="E108" s="630"/>
      <c r="F108" s="630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9" t="s">
        <v>31</v>
      </c>
      <c r="C109" s="630"/>
      <c r="D109" s="630"/>
      <c r="E109" s="630"/>
      <c r="F109" s="630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9" t="s">
        <v>33</v>
      </c>
      <c r="C110" s="630"/>
      <c r="D110" s="630"/>
      <c r="E110" s="630"/>
      <c r="F110" s="630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9" t="s">
        <v>721</v>
      </c>
      <c r="C111" s="630"/>
      <c r="D111" s="630"/>
      <c r="E111" s="630"/>
      <c r="F111" s="630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9" t="s">
        <v>37</v>
      </c>
      <c r="C112" s="660"/>
      <c r="D112" s="660"/>
      <c r="E112" s="660"/>
      <c r="F112" s="660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9" t="s">
        <v>39</v>
      </c>
      <c r="C113" s="630"/>
      <c r="D113" s="630"/>
      <c r="E113" s="630"/>
      <c r="F113" s="630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9" t="s">
        <v>41</v>
      </c>
      <c r="C114" s="630"/>
      <c r="D114" s="630"/>
      <c r="E114" s="630"/>
      <c r="F114" s="630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9" t="s">
        <v>43</v>
      </c>
      <c r="C115" s="630"/>
      <c r="D115" s="630"/>
      <c r="E115" s="630"/>
      <c r="F115" s="630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9" t="s">
        <v>45</v>
      </c>
      <c r="C116" s="630"/>
      <c r="D116" s="630"/>
      <c r="E116" s="630"/>
      <c r="F116" s="630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9" t="s">
        <v>47</v>
      </c>
      <c r="C117" s="640"/>
      <c r="D117" s="640"/>
      <c r="E117" s="640"/>
      <c r="F117" s="640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9" t="s">
        <v>61</v>
      </c>
      <c r="C118" s="640"/>
      <c r="D118" s="640"/>
      <c r="E118" s="640"/>
      <c r="F118" s="640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9" t="s">
        <v>81</v>
      </c>
      <c r="C119" s="640"/>
      <c r="D119" s="640"/>
      <c r="E119" s="640"/>
      <c r="F119" s="640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9" t="s">
        <v>99</v>
      </c>
      <c r="C120" s="640"/>
      <c r="D120" s="640"/>
      <c r="E120" s="640"/>
      <c r="F120" s="640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1" t="s">
        <v>105</v>
      </c>
      <c r="C121" s="642"/>
      <c r="D121" s="642"/>
      <c r="E121" s="642"/>
      <c r="F121" s="642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5" t="s">
        <v>808</v>
      </c>
      <c r="C122" s="626"/>
      <c r="D122" s="626"/>
      <c r="E122" s="626"/>
      <c r="F122" s="626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7" t="s">
        <v>773</v>
      </c>
      <c r="C123" s="668"/>
      <c r="D123" s="668"/>
      <c r="E123" s="668"/>
      <c r="F123" s="668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3" t="e">
        <v>#REF!</v>
      </c>
      <c r="C124" s="644"/>
      <c r="D124" s="644"/>
      <c r="E124" s="644"/>
      <c r="F124" s="644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9" t="s">
        <v>122</v>
      </c>
      <c r="C125" s="630"/>
      <c r="D125" s="630"/>
      <c r="E125" s="630"/>
      <c r="F125" s="630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9" t="s">
        <v>133</v>
      </c>
      <c r="C126" s="630"/>
      <c r="D126" s="630"/>
      <c r="E126" s="630"/>
      <c r="F126" s="630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9" t="s">
        <v>148</v>
      </c>
      <c r="C127" s="630"/>
      <c r="D127" s="630"/>
      <c r="E127" s="630"/>
      <c r="F127" s="630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9" t="s">
        <v>162</v>
      </c>
      <c r="C128" s="630"/>
      <c r="D128" s="630"/>
      <c r="E128" s="630"/>
      <c r="F128" s="630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9" t="s">
        <v>182</v>
      </c>
      <c r="C129" s="630"/>
      <c r="D129" s="630"/>
      <c r="E129" s="630"/>
      <c r="F129" s="630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9" t="s">
        <v>190</v>
      </c>
      <c r="C130" s="630"/>
      <c r="D130" s="630"/>
      <c r="E130" s="630"/>
      <c r="F130" s="630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9" t="s">
        <v>196</v>
      </c>
      <c r="C131" s="630"/>
      <c r="D131" s="630"/>
      <c r="E131" s="630"/>
      <c r="F131" s="630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9" t="s">
        <v>204</v>
      </c>
      <c r="C132" s="630"/>
      <c r="D132" s="630"/>
      <c r="E132" s="630"/>
      <c r="F132" s="630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9" t="s">
        <v>212</v>
      </c>
      <c r="C133" s="630"/>
      <c r="D133" s="630"/>
      <c r="E133" s="630"/>
      <c r="F133" s="630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9" t="e">
        <v>#REF!</v>
      </c>
      <c r="C134" s="630"/>
      <c r="D134" s="630"/>
      <c r="E134" s="630"/>
      <c r="F134" s="630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49" t="s">
        <v>230</v>
      </c>
      <c r="C135" s="650"/>
      <c r="D135" s="650"/>
      <c r="E135" s="650"/>
      <c r="F135" s="650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9" t="s">
        <v>232</v>
      </c>
      <c r="C136" s="630"/>
      <c r="D136" s="630"/>
      <c r="E136" s="630"/>
      <c r="F136" s="630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9" t="s">
        <v>248</v>
      </c>
      <c r="C137" s="630"/>
      <c r="D137" s="630"/>
      <c r="E137" s="630"/>
      <c r="F137" s="630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9" t="s">
        <v>259</v>
      </c>
      <c r="C138" s="630"/>
      <c r="D138" s="630"/>
      <c r="E138" s="630"/>
      <c r="F138" s="630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9" t="s">
        <v>274</v>
      </c>
      <c r="C139" s="630"/>
      <c r="D139" s="630"/>
      <c r="E139" s="630"/>
      <c r="F139" s="630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9" t="s">
        <v>278</v>
      </c>
      <c r="C140" s="630"/>
      <c r="D140" s="630"/>
      <c r="E140" s="630"/>
      <c r="F140" s="630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5" t="s">
        <v>286</v>
      </c>
      <c r="C141" s="646"/>
      <c r="D141" s="646"/>
      <c r="E141" s="646"/>
      <c r="F141" s="646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5" t="s">
        <v>809</v>
      </c>
      <c r="C142" s="646"/>
      <c r="D142" s="646"/>
      <c r="E142" s="646"/>
      <c r="F142" s="646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7" t="s">
        <v>113</v>
      </c>
      <c r="C143" s="648"/>
      <c r="D143" s="648"/>
      <c r="E143" s="648"/>
      <c r="F143" s="648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7" t="s">
        <v>366</v>
      </c>
      <c r="C144" s="648"/>
      <c r="D144" s="648"/>
      <c r="E144" s="648"/>
      <c r="F144" s="648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7" t="s">
        <v>359</v>
      </c>
      <c r="C145" s="648"/>
      <c r="D145" s="648"/>
      <c r="E145" s="648"/>
      <c r="F145" s="648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7" t="s">
        <v>365</v>
      </c>
      <c r="C146" s="648"/>
      <c r="D146" s="648"/>
      <c r="E146" s="648"/>
      <c r="F146" s="648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5" t="s">
        <v>685</v>
      </c>
      <c r="C147" s="666"/>
      <c r="D147" s="666"/>
      <c r="E147" s="666"/>
      <c r="F147" s="666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5" t="s">
        <v>545</v>
      </c>
      <c r="C148" s="656"/>
      <c r="D148" s="656"/>
      <c r="E148" s="656"/>
      <c r="F148" s="656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7" t="s">
        <v>810</v>
      </c>
      <c r="C149" s="658"/>
      <c r="D149" s="658"/>
      <c r="E149" s="658"/>
      <c r="F149" s="658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49" t="s">
        <v>352</v>
      </c>
      <c r="C150" s="650"/>
      <c r="D150" s="650"/>
      <c r="E150" s="650"/>
      <c r="F150" s="650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3" t="s">
        <v>355</v>
      </c>
      <c r="C151" s="654"/>
      <c r="D151" s="654"/>
      <c r="E151" s="654"/>
      <c r="F151" s="654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7" t="s">
        <v>357</v>
      </c>
      <c r="C152" s="648"/>
      <c r="D152" s="648"/>
      <c r="E152" s="648"/>
      <c r="F152" s="648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3" t="s">
        <v>336</v>
      </c>
      <c r="C153" s="664"/>
      <c r="D153" s="664"/>
      <c r="E153" s="664"/>
      <c r="F153" s="664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1" t="s">
        <v>543</v>
      </c>
      <c r="C154" s="652"/>
      <c r="D154" s="652"/>
      <c r="E154" s="652"/>
      <c r="F154" s="652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5" t="s">
        <v>544</v>
      </c>
      <c r="C155" s="626"/>
      <c r="D155" s="626"/>
      <c r="E155" s="626"/>
      <c r="F155" s="626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3" t="s">
        <v>114</v>
      </c>
      <c r="C156" s="654"/>
      <c r="D156" s="654"/>
      <c r="E156" s="654"/>
      <c r="F156" s="654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7" t="s">
        <v>116</v>
      </c>
      <c r="C157" s="648"/>
      <c r="D157" s="648"/>
      <c r="E157" s="648"/>
      <c r="F157" s="648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7" t="s">
        <v>93</v>
      </c>
      <c r="C158" s="648"/>
      <c r="D158" s="648"/>
      <c r="E158" s="648"/>
      <c r="F158" s="648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2025-01-29T14:10:32Z</dcterms:modified>
</cp:coreProperties>
</file>