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4\GDDS 2024\Mart 2024\"/>
    </mc:Choice>
  </mc:AlternateContent>
  <xr:revisionPtr revIDLastSave="0" documentId="13_ncr:1_{ACE4AE87-15E2-4DD0-9399-97A1AE04C7D5}" xr6:coauthVersionLast="36" xr6:coauthVersionMax="36" xr10:uidLastSave="{00000000-0000-0000-0000-000000000000}"/>
  <workbookProtection workbookAlgorithmName="SHA-512" workbookHashValue="ASZqk1Um0pJSXvjjKqibBS/4YaJ49tVc1wNDWe/13jhawqUgbmqI82CdUMtdyV51Y6+8/i6irwjmegBvAeKDXw==" workbookSaltValue="kyYDKu7qpI1xOzL/vgblgA==" workbookSpinCount="100000" lockStructure="1"/>
  <bookViews>
    <workbookView xWindow="0" yWindow="0" windowWidth="28800" windowHeight="12225" tabRatio="587" firstSheet="1" activeTab="1" xr2:uid="{00000000-000D-0000-FFFF-FFFF00000000}"/>
  </bookViews>
  <sheets>
    <sheet name="Analitika - 2014" sheetId="3" state="hidden" r:id="rId1"/>
    <sheet name="Pregled" sheetId="1" r:id="rId2"/>
    <sheet name="Analitika 2024" sheetId="11" r:id="rId3"/>
    <sheet name="2024" sheetId="26" r:id="rId4"/>
    <sheet name="2023" sheetId="27" state="hidden" r:id="rId5"/>
    <sheet name="2022" sheetId="25" state="hidden" r:id="rId6"/>
    <sheet name="2021" sheetId="22" state="hidden" r:id="rId7"/>
    <sheet name="2020" sheetId="19" state="hidden" r:id="rId8"/>
    <sheet name="2019" sheetId="20" state="hidden" r:id="rId9"/>
    <sheet name="2018" sheetId="21" state="hidden" r:id="rId10"/>
    <sheet name="DataEx" sheetId="6" state="hidden" r:id="rId11"/>
    <sheet name="Master" sheetId="2" state="hidden" r:id="rId12"/>
  </sheets>
  <externalReferences>
    <externalReference r:id="rId13"/>
  </externalReferences>
  <definedNames>
    <definedName name="_2015plan" localSheetId="9">'2018'!$A$103:$A$162</definedName>
    <definedName name="_2015plan" localSheetId="8">'2019'!$A$100:$A$159</definedName>
    <definedName name="_2015plan" localSheetId="7">'2020'!$A$100:$A$157</definedName>
    <definedName name="_2015plan" localSheetId="6">'2021'!$A$81:$A$138</definedName>
    <definedName name="_2015plan" localSheetId="5">'2022'!$A$83:$A$140</definedName>
    <definedName name="_2015plan" localSheetId="4">'2023'!$A$83:$A$142</definedName>
    <definedName name="_2015plan" localSheetId="3">'2024'!$A$83:$A$142</definedName>
  </definedNames>
  <calcPr calcId="191029"/>
</workbook>
</file>

<file path=xl/calcChain.xml><?xml version="1.0" encoding="utf-8"?>
<calcChain xmlns="http://schemas.openxmlformats.org/spreadsheetml/2006/main">
  <c r="B7" i="11" l="1"/>
  <c r="R66" i="11"/>
  <c r="R65" i="11"/>
  <c r="R64" i="11"/>
  <c r="R63" i="11"/>
  <c r="R62" i="11"/>
  <c r="R61" i="11"/>
  <c r="R60" i="11"/>
  <c r="R59" i="11"/>
  <c r="R58" i="11"/>
  <c r="R57" i="11"/>
  <c r="R56" i="11"/>
  <c r="R55" i="11"/>
  <c r="R54" i="11"/>
  <c r="R53" i="11"/>
  <c r="R52" i="11"/>
  <c r="R51" i="11"/>
  <c r="R50" i="11"/>
  <c r="R49" i="11"/>
  <c r="R48" i="11"/>
  <c r="R47" i="11"/>
  <c r="R46" i="11"/>
  <c r="R45" i="11"/>
  <c r="R44" i="11"/>
  <c r="R43" i="11"/>
  <c r="R42" i="11"/>
  <c r="R41" i="11"/>
  <c r="R40" i="11"/>
  <c r="R39" i="11"/>
  <c r="R38" i="11"/>
  <c r="R37" i="11"/>
  <c r="R36" i="11"/>
  <c r="R35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O66" i="11"/>
  <c r="O65" i="11"/>
  <c r="O64" i="1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N65" i="11"/>
  <c r="N64" i="11"/>
  <c r="N63" i="11"/>
  <c r="N62" i="11"/>
  <c r="N59" i="11"/>
  <c r="N58" i="11"/>
  <c r="N57" i="11"/>
  <c r="N56" i="11"/>
  <c r="N52" i="11"/>
  <c r="N51" i="11"/>
  <c r="N48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G19" i="26" l="1"/>
  <c r="H19" i="26"/>
  <c r="G55" i="26" l="1"/>
  <c r="I19" i="26" l="1"/>
  <c r="A142" i="27" l="1"/>
  <c r="S141" i="27"/>
  <c r="T141" i="27" s="1"/>
  <c r="S140" i="27"/>
  <c r="T140" i="27" s="1"/>
  <c r="A140" i="27"/>
  <c r="S139" i="27"/>
  <c r="T139" i="27" s="1"/>
  <c r="A139" i="27"/>
  <c r="S138" i="27"/>
  <c r="T138" i="27" s="1"/>
  <c r="A138" i="27"/>
  <c r="A137" i="27"/>
  <c r="A136" i="27"/>
  <c r="S135" i="27"/>
  <c r="T135" i="27" s="1"/>
  <c r="S134" i="27"/>
  <c r="T134" i="27" s="1"/>
  <c r="A134" i="27"/>
  <c r="S133" i="27"/>
  <c r="T133" i="27" s="1"/>
  <c r="A133" i="27"/>
  <c r="S132" i="27"/>
  <c r="T132" i="27" s="1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A130" i="27"/>
  <c r="A129" i="27"/>
  <c r="S128" i="27"/>
  <c r="T128" i="27" s="1"/>
  <c r="A128" i="27"/>
  <c r="S127" i="27"/>
  <c r="T127" i="27" s="1"/>
  <c r="A127" i="27"/>
  <c r="S126" i="27"/>
  <c r="T126" i="27" s="1"/>
  <c r="A126" i="27"/>
  <c r="R125" i="27"/>
  <c r="S125" i="27" s="1"/>
  <c r="T125" i="27" s="1"/>
  <c r="A125" i="27"/>
  <c r="S124" i="27"/>
  <c r="T124" i="27" s="1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R122" i="27"/>
  <c r="S122" i="27" s="1"/>
  <c r="T122" i="27" s="1"/>
  <c r="A122" i="27"/>
  <c r="S121" i="27"/>
  <c r="T121" i="27" s="1"/>
  <c r="A121" i="27"/>
  <c r="S120" i="27"/>
  <c r="T120" i="27" s="1"/>
  <c r="A120" i="27"/>
  <c r="S119" i="27"/>
  <c r="T119" i="27" s="1"/>
  <c r="A119" i="27"/>
  <c r="S118" i="27"/>
  <c r="T118" i="27" s="1"/>
  <c r="A118" i="27"/>
  <c r="S117" i="27"/>
  <c r="T117" i="27" s="1"/>
  <c r="A117" i="27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A116" i="27"/>
  <c r="S115" i="27"/>
  <c r="T115" i="27" s="1"/>
  <c r="R115" i="27"/>
  <c r="A115" i="27"/>
  <c r="S114" i="27"/>
  <c r="T114" i="27" s="1"/>
  <c r="A114" i="27"/>
  <c r="R113" i="27"/>
  <c r="S113" i="27" s="1"/>
  <c r="T113" i="27" s="1"/>
  <c r="A113" i="27"/>
  <c r="S112" i="27"/>
  <c r="T112" i="27" s="1"/>
  <c r="A112" i="27"/>
  <c r="S111" i="27"/>
  <c r="T111" i="27" s="1"/>
  <c r="A111" i="27"/>
  <c r="R110" i="27"/>
  <c r="S110" i="27" s="1"/>
  <c r="T110" i="27" s="1"/>
  <c r="A110" i="27"/>
  <c r="R109" i="27"/>
  <c r="A109" i="27"/>
  <c r="S108" i="27"/>
  <c r="T108" i="27" s="1"/>
  <c r="A108" i="27"/>
  <c r="R107" i="27"/>
  <c r="S107" i="27" s="1"/>
  <c r="T107" i="27" s="1"/>
  <c r="A107" i="27"/>
  <c r="Q106" i="27"/>
  <c r="P106" i="27"/>
  <c r="O106" i="27"/>
  <c r="N106" i="27"/>
  <c r="M106" i="27"/>
  <c r="L106" i="27"/>
  <c r="K106" i="27"/>
  <c r="J106" i="27"/>
  <c r="J105" i="27" s="1"/>
  <c r="I106" i="27"/>
  <c r="H106" i="27"/>
  <c r="G106" i="27"/>
  <c r="A106" i="27"/>
  <c r="N105" i="27"/>
  <c r="A105" i="27"/>
  <c r="S104" i="27"/>
  <c r="T104" i="27" s="1"/>
  <c r="A104" i="27"/>
  <c r="S103" i="27"/>
  <c r="T103" i="27" s="1"/>
  <c r="A103" i="27"/>
  <c r="S102" i="27"/>
  <c r="T102" i="27" s="1"/>
  <c r="A102" i="27"/>
  <c r="S101" i="27"/>
  <c r="T101" i="27" s="1"/>
  <c r="A101" i="27"/>
  <c r="S100" i="27"/>
  <c r="T100" i="27" s="1"/>
  <c r="A100" i="27"/>
  <c r="S99" i="27"/>
  <c r="T99" i="27" s="1"/>
  <c r="A99" i="27"/>
  <c r="S98" i="27"/>
  <c r="T98" i="27" s="1"/>
  <c r="A98" i="27"/>
  <c r="S97" i="27"/>
  <c r="T97" i="27" s="1"/>
  <c r="A97" i="27"/>
  <c r="S96" i="27"/>
  <c r="T96" i="27" s="1"/>
  <c r="A96" i="27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S94" i="27"/>
  <c r="T94" i="27" s="1"/>
  <c r="A94" i="27"/>
  <c r="S93" i="27"/>
  <c r="T93" i="27" s="1"/>
  <c r="A93" i="27"/>
  <c r="S92" i="27"/>
  <c r="T92" i="27" s="1"/>
  <c r="A92" i="27"/>
  <c r="S91" i="27"/>
  <c r="T91" i="27" s="1"/>
  <c r="A91" i="27"/>
  <c r="S90" i="27"/>
  <c r="T90" i="27" s="1"/>
  <c r="A90" i="27"/>
  <c r="S89" i="27"/>
  <c r="T89" i="27" s="1"/>
  <c r="A89" i="27"/>
  <c r="S88" i="27"/>
  <c r="T88" i="27" s="1"/>
  <c r="A88" i="27"/>
  <c r="R87" i="27"/>
  <c r="Q87" i="27"/>
  <c r="Q86" i="27" s="1"/>
  <c r="P87" i="27"/>
  <c r="O87" i="27"/>
  <c r="N87" i="27"/>
  <c r="M87" i="27"/>
  <c r="M86" i="27" s="1"/>
  <c r="L87" i="27"/>
  <c r="K87" i="27"/>
  <c r="J87" i="27"/>
  <c r="I87" i="27"/>
  <c r="I86" i="27" s="1"/>
  <c r="H87" i="27"/>
  <c r="H86" i="27" s="1"/>
  <c r="G87" i="27"/>
  <c r="A87" i="27"/>
  <c r="P86" i="27"/>
  <c r="L86" i="27"/>
  <c r="A86" i="27"/>
  <c r="T84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S65" i="27"/>
  <c r="T65" i="27" s="1"/>
  <c r="S64" i="27"/>
  <c r="T64" i="27" s="1"/>
  <c r="S63" i="27"/>
  <c r="T63" i="27" s="1"/>
  <c r="S62" i="27"/>
  <c r="T62" i="27" s="1"/>
  <c r="S59" i="27"/>
  <c r="T59" i="27" s="1"/>
  <c r="S58" i="27"/>
  <c r="T58" i="27" s="1"/>
  <c r="S57" i="27"/>
  <c r="T57" i="27" s="1"/>
  <c r="S56" i="27"/>
  <c r="T56" i="27" s="1"/>
  <c r="R55" i="27"/>
  <c r="Q55" i="27"/>
  <c r="P55" i="27"/>
  <c r="O55" i="27"/>
  <c r="N55" i="27"/>
  <c r="M55" i="27"/>
  <c r="L55" i="27"/>
  <c r="K55" i="27"/>
  <c r="J55" i="27"/>
  <c r="I55" i="27"/>
  <c r="H55" i="27"/>
  <c r="G55" i="27"/>
  <c r="S52" i="27"/>
  <c r="T52" i="27" s="1"/>
  <c r="S51" i="27"/>
  <c r="T51" i="27" s="1"/>
  <c r="S50" i="27"/>
  <c r="T50" i="27" s="1"/>
  <c r="S49" i="27"/>
  <c r="T49" i="27" s="1"/>
  <c r="S48" i="27"/>
  <c r="T48" i="27" s="1"/>
  <c r="S47" i="27"/>
  <c r="T47" i="27" s="1"/>
  <c r="S46" i="27"/>
  <c r="T46" i="27" s="1"/>
  <c r="S45" i="27"/>
  <c r="T45" i="27" s="1"/>
  <c r="S44" i="27"/>
  <c r="T44" i="27" s="1"/>
  <c r="S43" i="27"/>
  <c r="T43" i="27" s="1"/>
  <c r="S42" i="27"/>
  <c r="T42" i="27" s="1"/>
  <c r="S41" i="27"/>
  <c r="T41" i="27" s="1"/>
  <c r="R40" i="27"/>
  <c r="Q40" i="27"/>
  <c r="P40" i="27"/>
  <c r="O40" i="27"/>
  <c r="N40" i="27"/>
  <c r="M40" i="27"/>
  <c r="L40" i="27"/>
  <c r="K40" i="27"/>
  <c r="J40" i="27"/>
  <c r="I40" i="27"/>
  <c r="H40" i="27"/>
  <c r="G40" i="27"/>
  <c r="S39" i="27"/>
  <c r="T39" i="27" s="1"/>
  <c r="S38" i="27"/>
  <c r="T38" i="27" s="1"/>
  <c r="S37" i="27"/>
  <c r="T37" i="27" s="1"/>
  <c r="S36" i="27"/>
  <c r="T36" i="27" s="1"/>
  <c r="S35" i="27"/>
  <c r="T35" i="27" s="1"/>
  <c r="S34" i="27"/>
  <c r="T34" i="27" s="1"/>
  <c r="S33" i="27"/>
  <c r="T33" i="27" s="1"/>
  <c r="S32" i="27"/>
  <c r="T32" i="27" s="1"/>
  <c r="S31" i="27"/>
  <c r="T31" i="27" s="1"/>
  <c r="R30" i="27"/>
  <c r="Q30" i="27"/>
  <c r="P30" i="27"/>
  <c r="O30" i="27"/>
  <c r="N30" i="27"/>
  <c r="M30" i="27"/>
  <c r="M29" i="27" s="1"/>
  <c r="L30" i="27"/>
  <c r="L29" i="27" s="1"/>
  <c r="K30" i="27"/>
  <c r="J30" i="27"/>
  <c r="I30" i="27"/>
  <c r="I29" i="27" s="1"/>
  <c r="H30" i="27"/>
  <c r="G30" i="27"/>
  <c r="S28" i="27"/>
  <c r="T28" i="27" s="1"/>
  <c r="S27" i="27"/>
  <c r="T27" i="27" s="1"/>
  <c r="S26" i="27"/>
  <c r="T26" i="27" s="1"/>
  <c r="S25" i="27"/>
  <c r="T25" i="27" s="1"/>
  <c r="S24" i="27"/>
  <c r="T24" i="27" s="1"/>
  <c r="S23" i="27"/>
  <c r="T23" i="27" s="1"/>
  <c r="S22" i="27"/>
  <c r="T22" i="27" s="1"/>
  <c r="S21" i="27"/>
  <c r="T21" i="27" s="1"/>
  <c r="S20" i="27"/>
  <c r="T20" i="27" s="1"/>
  <c r="R19" i="27"/>
  <c r="Q19" i="27"/>
  <c r="P19" i="27"/>
  <c r="O19" i="27"/>
  <c r="N19" i="27"/>
  <c r="M19" i="27"/>
  <c r="L19" i="27"/>
  <c r="K19" i="27"/>
  <c r="J19" i="27"/>
  <c r="S18" i="27"/>
  <c r="T18" i="27" s="1"/>
  <c r="S17" i="27"/>
  <c r="T17" i="27" s="1"/>
  <c r="S16" i="27"/>
  <c r="T16" i="27" s="1"/>
  <c r="S15" i="27"/>
  <c r="T15" i="27" s="1"/>
  <c r="S14" i="27"/>
  <c r="T14" i="27" s="1"/>
  <c r="S13" i="27"/>
  <c r="T13" i="27" s="1"/>
  <c r="S12" i="27"/>
  <c r="T12" i="27" s="1"/>
  <c r="R11" i="27"/>
  <c r="Q11" i="27"/>
  <c r="Q10" i="27" s="1"/>
  <c r="P11" i="27"/>
  <c r="O11" i="27"/>
  <c r="O10" i="27" s="1"/>
  <c r="N11" i="27"/>
  <c r="N10" i="27" s="1"/>
  <c r="M11" i="27"/>
  <c r="M10" i="27" s="1"/>
  <c r="L11" i="27"/>
  <c r="K11" i="27"/>
  <c r="K10" i="27" s="1"/>
  <c r="J11" i="27"/>
  <c r="J10" i="27" s="1"/>
  <c r="I11" i="27"/>
  <c r="I10" i="27" s="1"/>
  <c r="H11" i="27"/>
  <c r="G11" i="27"/>
  <c r="R10" i="27"/>
  <c r="P10" i="27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R5" i="27"/>
  <c r="Q5" i="27"/>
  <c r="P5" i="27"/>
  <c r="O5" i="27"/>
  <c r="N5" i="27"/>
  <c r="M5" i="27"/>
  <c r="L5" i="27"/>
  <c r="K5" i="27"/>
  <c r="J5" i="27"/>
  <c r="I5" i="27"/>
  <c r="H5" i="27"/>
  <c r="G5" i="27"/>
  <c r="J86" i="27" l="1"/>
  <c r="N86" i="27"/>
  <c r="R86" i="27"/>
  <c r="H10" i="27"/>
  <c r="H105" i="27"/>
  <c r="L105" i="27"/>
  <c r="P105" i="27"/>
  <c r="P129" i="27" s="1"/>
  <c r="H29" i="27"/>
  <c r="K29" i="27"/>
  <c r="P29" i="27"/>
  <c r="J29" i="27"/>
  <c r="J129" i="27"/>
  <c r="N129" i="27"/>
  <c r="H129" i="27"/>
  <c r="H130" i="27" s="1"/>
  <c r="G86" i="27"/>
  <c r="K86" i="27"/>
  <c r="O86" i="27"/>
  <c r="S123" i="27"/>
  <c r="T123" i="27" s="1"/>
  <c r="I105" i="27"/>
  <c r="M105" i="27"/>
  <c r="M129" i="27" s="1"/>
  <c r="Q105" i="27"/>
  <c r="Q129" i="27" s="1"/>
  <c r="L10" i="27"/>
  <c r="R106" i="27"/>
  <c r="R105" i="27" s="1"/>
  <c r="R129" i="27" s="1"/>
  <c r="G105" i="27"/>
  <c r="G129" i="27" s="1"/>
  <c r="K105" i="27"/>
  <c r="K129" i="27" s="1"/>
  <c r="K130" i="27" s="1"/>
  <c r="O105" i="27"/>
  <c r="L129" i="27"/>
  <c r="L130" i="27" s="1"/>
  <c r="G29" i="27"/>
  <c r="G53" i="27" s="1"/>
  <c r="O29" i="27"/>
  <c r="O53" i="27" s="1"/>
  <c r="O60" i="27" s="1"/>
  <c r="O66" i="27" s="1"/>
  <c r="O61" i="27" s="1"/>
  <c r="G10" i="27"/>
  <c r="S95" i="27"/>
  <c r="T95" i="27" s="1"/>
  <c r="S87" i="27"/>
  <c r="T87" i="27" s="1"/>
  <c r="S131" i="27"/>
  <c r="T131" i="27" s="1"/>
  <c r="S55" i="27"/>
  <c r="T55" i="27" s="1"/>
  <c r="K53" i="27"/>
  <c r="K60" i="27" s="1"/>
  <c r="K66" i="27" s="1"/>
  <c r="K61" i="27" s="1"/>
  <c r="I53" i="27"/>
  <c r="I60" i="27" s="1"/>
  <c r="I66" i="27" s="1"/>
  <c r="I61" i="27" s="1"/>
  <c r="P53" i="27"/>
  <c r="P54" i="27" s="1"/>
  <c r="L53" i="27"/>
  <c r="L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J53" i="27"/>
  <c r="J54" i="27" s="1"/>
  <c r="N136" i="27"/>
  <c r="N142" i="27" s="1"/>
  <c r="N137" i="27" s="1"/>
  <c r="N130" i="27"/>
  <c r="S40" i="27"/>
  <c r="T40" i="27" s="1"/>
  <c r="J136" i="27"/>
  <c r="J142" i="27" s="1"/>
  <c r="J137" i="27" s="1"/>
  <c r="J130" i="27"/>
  <c r="L136" i="27"/>
  <c r="L142" i="27" s="1"/>
  <c r="L137" i="27" s="1"/>
  <c r="S11" i="27"/>
  <c r="T11" i="27" s="1"/>
  <c r="I129" i="27"/>
  <c r="S116" i="27"/>
  <c r="T116" i="27" s="1"/>
  <c r="S109" i="27"/>
  <c r="T109" i="27" s="1"/>
  <c r="P130" i="27" l="1"/>
  <c r="P136" i="27"/>
  <c r="P142" i="27" s="1"/>
  <c r="P137" i="27" s="1"/>
  <c r="S10" i="27"/>
  <c r="T10" i="27" s="1"/>
  <c r="S86" i="27"/>
  <c r="T86" i="27" s="1"/>
  <c r="H53" i="27"/>
  <c r="K54" i="27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S106" i="27"/>
  <c r="T106" i="27" s="1"/>
  <c r="H60" i="27"/>
  <c r="N54" i="27"/>
  <c r="N60" i="27"/>
  <c r="N66" i="27" s="1"/>
  <c r="N61" i="27" s="1"/>
  <c r="R54" i="27"/>
  <c r="R60" i="27"/>
  <c r="R66" i="27" s="1"/>
  <c r="R61" i="27" s="1"/>
  <c r="O54" i="27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G60" i="27"/>
  <c r="S53" i="27"/>
  <c r="G54" i="27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G136" i="27"/>
  <c r="M136" i="27"/>
  <c r="M142" i="27" s="1"/>
  <c r="M137" i="27" s="1"/>
  <c r="M130" i="27"/>
  <c r="Q59" i="11"/>
  <c r="T59" i="11"/>
  <c r="S135" i="26"/>
  <c r="T135" i="26" s="1"/>
  <c r="H66" i="27" l="1"/>
  <c r="H54" i="27"/>
  <c r="O130" i="27"/>
  <c r="O136" i="27"/>
  <c r="O142" i="27" s="1"/>
  <c r="O137" i="27" s="1"/>
  <c r="G66" i="27"/>
  <c r="S130" i="27"/>
  <c r="T130" i="27" s="1"/>
  <c r="G142" i="27"/>
  <c r="S136" i="27"/>
  <c r="T136" i="27" s="1"/>
  <c r="S60" i="27"/>
  <c r="T53" i="27"/>
  <c r="S59" i="11"/>
  <c r="P59" i="11"/>
  <c r="S54" i="27" l="1"/>
  <c r="T54" i="27" s="1"/>
  <c r="H61" i="27"/>
  <c r="G61" i="27"/>
  <c r="S142" i="27"/>
  <c r="T142" i="27" s="1"/>
  <c r="G137" i="27"/>
  <c r="S137" i="27" s="1"/>
  <c r="T137" i="27" s="1"/>
  <c r="T60" i="27"/>
  <c r="S66" i="27"/>
  <c r="T66" i="27" s="1"/>
  <c r="S141" i="26"/>
  <c r="T141" i="26" l="1"/>
  <c r="S61" i="27"/>
  <c r="T61" i="27" s="1"/>
  <c r="L131" i="26"/>
  <c r="L116" i="26"/>
  <c r="L106" i="26"/>
  <c r="L95" i="26"/>
  <c r="L87" i="26"/>
  <c r="L82" i="26"/>
  <c r="L55" i="26"/>
  <c r="L40" i="26"/>
  <c r="L30" i="26"/>
  <c r="L19" i="26"/>
  <c r="L11" i="26"/>
  <c r="L8" i="26"/>
  <c r="L84" i="26" s="1"/>
  <c r="L5" i="26"/>
  <c r="K131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16" i="26"/>
  <c r="I106" i="26"/>
  <c r="I95" i="26"/>
  <c r="I87" i="26"/>
  <c r="I82" i="26"/>
  <c r="I55" i="26"/>
  <c r="N55" i="11" s="1"/>
  <c r="I11" i="26"/>
  <c r="I10" i="26" s="1"/>
  <c r="N10" i="11" s="1"/>
  <c r="I8" i="26"/>
  <c r="I84" i="26" s="1"/>
  <c r="I5" i="26"/>
  <c r="H131" i="26"/>
  <c r="H116" i="26"/>
  <c r="H106" i="26"/>
  <c r="H95" i="26"/>
  <c r="H87" i="26"/>
  <c r="H82" i="26"/>
  <c r="H55" i="26"/>
  <c r="H11" i="26"/>
  <c r="H8" i="26"/>
  <c r="H84" i="26" s="1"/>
  <c r="H5" i="26"/>
  <c r="G131" i="26"/>
  <c r="G116" i="26"/>
  <c r="G106" i="26"/>
  <c r="G95" i="26"/>
  <c r="G87" i="26"/>
  <c r="G82" i="26"/>
  <c r="G11" i="26"/>
  <c r="G8" i="26"/>
  <c r="G84" i="26" s="1"/>
  <c r="G5" i="26"/>
  <c r="H10" i="26" l="1"/>
  <c r="G10" i="26"/>
  <c r="L86" i="26"/>
  <c r="L29" i="26"/>
  <c r="J10" i="26"/>
  <c r="J29" i="26"/>
  <c r="J86" i="26"/>
  <c r="H86" i="26"/>
  <c r="K29" i="26"/>
  <c r="L10" i="26"/>
  <c r="L105" i="26"/>
  <c r="I86" i="26"/>
  <c r="G105" i="26"/>
  <c r="H105" i="26"/>
  <c r="K10" i="26"/>
  <c r="I105" i="26"/>
  <c r="K86" i="26"/>
  <c r="G86" i="26"/>
  <c r="J105" i="26"/>
  <c r="K105" i="26"/>
  <c r="L129" i="26" l="1"/>
  <c r="L136" i="26" s="1"/>
  <c r="L142" i="26" s="1"/>
  <c r="I129" i="26"/>
  <c r="H129" i="26"/>
  <c r="L53" i="26"/>
  <c r="L54" i="26" s="1"/>
  <c r="J129" i="26"/>
  <c r="J53" i="26"/>
  <c r="J54" i="26" s="1"/>
  <c r="K53" i="26"/>
  <c r="K54" i="26" s="1"/>
  <c r="G129" i="26"/>
  <c r="G136" i="26" s="1"/>
  <c r="G142" i="26" s="1"/>
  <c r="K129" i="26"/>
  <c r="K136" i="26" s="1"/>
  <c r="K142" i="26" s="1"/>
  <c r="L130" i="26"/>
  <c r="L137" i="26"/>
  <c r="I130" i="26"/>
  <c r="H130" i="26" l="1"/>
  <c r="H136" i="26"/>
  <c r="I136" i="26"/>
  <c r="I142" i="26" s="1"/>
  <c r="I137" i="26" s="1"/>
  <c r="J130" i="26"/>
  <c r="J136" i="26"/>
  <c r="J142" i="26" s="1"/>
  <c r="J137" i="26" s="1"/>
  <c r="J60" i="26"/>
  <c r="J66" i="26" s="1"/>
  <c r="J61" i="26" s="1"/>
  <c r="L60" i="26"/>
  <c r="L66" i="26" s="1"/>
  <c r="L61" i="26" s="1"/>
  <c r="K60" i="26"/>
  <c r="K66" i="26" s="1"/>
  <c r="K61" i="26" s="1"/>
  <c r="G130" i="26"/>
  <c r="K130" i="26"/>
  <c r="T65" i="11"/>
  <c r="S65" i="11"/>
  <c r="H142" i="26" l="1"/>
  <c r="K137" i="26"/>
  <c r="S59" i="26"/>
  <c r="S65" i="26"/>
  <c r="S59" i="25"/>
  <c r="S65" i="25"/>
  <c r="H137" i="26" l="1"/>
  <c r="G137" i="26"/>
  <c r="T59" i="26"/>
  <c r="G59" i="11"/>
  <c r="T65" i="26"/>
  <c r="G65" i="11"/>
  <c r="T65" i="25"/>
  <c r="L59" i="11" l="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P55" i="26"/>
  <c r="O55" i="26"/>
  <c r="N55" i="26"/>
  <c r="M55" i="26"/>
  <c r="S52" i="26"/>
  <c r="S51" i="26"/>
  <c r="S48" i="26"/>
  <c r="Q40" i="26"/>
  <c r="P40" i="26"/>
  <c r="O40" i="26"/>
  <c r="N40" i="26"/>
  <c r="M40" i="26"/>
  <c r="R30" i="26"/>
  <c r="Q30" i="26"/>
  <c r="P30" i="26"/>
  <c r="O30" i="26"/>
  <c r="N30" i="26"/>
  <c r="M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M19" i="26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R5" i="26"/>
  <c r="Q5" i="26"/>
  <c r="P5" i="26"/>
  <c r="O5" i="26"/>
  <c r="N5" i="26"/>
  <c r="M5" i="26"/>
  <c r="Q29" i="26" l="1"/>
  <c r="N29" i="26"/>
  <c r="M29" i="26"/>
  <c r="Q10" i="26"/>
  <c r="N105" i="26"/>
  <c r="T58" i="26"/>
  <c r="G58" i="11"/>
  <c r="T52" i="26"/>
  <c r="G52" i="11"/>
  <c r="T64" i="26"/>
  <c r="G64" i="11"/>
  <c r="T63" i="26"/>
  <c r="G63" i="11"/>
  <c r="T62" i="26"/>
  <c r="G62" i="11"/>
  <c r="T57" i="26"/>
  <c r="G57" i="11"/>
  <c r="T56" i="26"/>
  <c r="G56" i="11"/>
  <c r="T51" i="26"/>
  <c r="G51" i="11"/>
  <c r="T48" i="26"/>
  <c r="G48" i="11"/>
  <c r="T28" i="26"/>
  <c r="G28" i="11"/>
  <c r="T27" i="26"/>
  <c r="G27" i="11"/>
  <c r="T26" i="26"/>
  <c r="G26" i="11"/>
  <c r="T25" i="26"/>
  <c r="G25" i="11"/>
  <c r="T24" i="26"/>
  <c r="G24" i="11"/>
  <c r="T20" i="26"/>
  <c r="G20" i="11"/>
  <c r="T21" i="26"/>
  <c r="G21" i="11"/>
  <c r="T23" i="26"/>
  <c r="G23" i="11"/>
  <c r="T22" i="26"/>
  <c r="G22" i="11"/>
  <c r="T18" i="26"/>
  <c r="G18" i="11"/>
  <c r="T15" i="26"/>
  <c r="G15" i="11"/>
  <c r="T14" i="26"/>
  <c r="G14" i="11"/>
  <c r="T12" i="26"/>
  <c r="G12" i="11"/>
  <c r="L12" i="11" s="1"/>
  <c r="T16" i="26"/>
  <c r="G16" i="11"/>
  <c r="T13" i="26"/>
  <c r="G13" i="11"/>
  <c r="T17" i="26"/>
  <c r="G17" i="11"/>
  <c r="O29" i="26"/>
  <c r="R105" i="26"/>
  <c r="N10" i="26"/>
  <c r="R10" i="26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O10" i="26"/>
  <c r="P10" i="26"/>
  <c r="M10" i="26"/>
  <c r="S11" i="26"/>
  <c r="S87" i="26"/>
  <c r="T87" i="26" s="1"/>
  <c r="N53" i="26" l="1"/>
  <c r="N54" i="26" s="1"/>
  <c r="D12" i="1"/>
  <c r="E12" i="1" s="1"/>
  <c r="Q53" i="26"/>
  <c r="Q60" i="26" s="1"/>
  <c r="O129" i="26"/>
  <c r="O136" i="26" s="1"/>
  <c r="O142" i="26" s="1"/>
  <c r="M53" i="26"/>
  <c r="M60" i="26" s="1"/>
  <c r="N129" i="26"/>
  <c r="N136" i="26" s="1"/>
  <c r="N142" i="26" s="1"/>
  <c r="R53" i="26"/>
  <c r="R129" i="26"/>
  <c r="P53" i="26"/>
  <c r="T55" i="26"/>
  <c r="G55" i="11"/>
  <c r="T19" i="26"/>
  <c r="G19" i="11"/>
  <c r="T11" i="26"/>
  <c r="G11" i="11"/>
  <c r="O53" i="26"/>
  <c r="P129" i="26"/>
  <c r="P136" i="26" s="1"/>
  <c r="P142" i="26" s="1"/>
  <c r="T106" i="26"/>
  <c r="Q129" i="26"/>
  <c r="M129" i="26"/>
  <c r="M136" i="26" s="1"/>
  <c r="M142" i="26" s="1"/>
  <c r="S105" i="26"/>
  <c r="S86" i="26"/>
  <c r="T86" i="26" s="1"/>
  <c r="S10" i="26"/>
  <c r="R130" i="26" l="1"/>
  <c r="R136" i="26"/>
  <c r="R142" i="26" s="1"/>
  <c r="R137" i="26" s="1"/>
  <c r="Q136" i="26"/>
  <c r="Q142" i="26" s="1"/>
  <c r="Q137" i="26" s="1"/>
  <c r="P130" i="26"/>
  <c r="P60" i="26"/>
  <c r="O130" i="26"/>
  <c r="O60" i="26"/>
  <c r="N130" i="26"/>
  <c r="Q54" i="26"/>
  <c r="N60" i="26"/>
  <c r="M54" i="26"/>
  <c r="R54" i="26"/>
  <c r="R60" i="26"/>
  <c r="R66" i="26" s="1"/>
  <c r="R61" i="26" s="1"/>
  <c r="P54" i="26"/>
  <c r="M66" i="26"/>
  <c r="O54" i="26"/>
  <c r="Q66" i="26"/>
  <c r="Q61" i="26" s="1"/>
  <c r="T10" i="26"/>
  <c r="G10" i="11"/>
  <c r="G12" i="1" s="1"/>
  <c r="H12" i="1" s="1"/>
  <c r="T105" i="26"/>
  <c r="Q130" i="26"/>
  <c r="M130" i="26"/>
  <c r="S129" i="26"/>
  <c r="T129" i="26" s="1"/>
  <c r="G11" i="2"/>
  <c r="P66" i="26" l="1"/>
  <c r="P61" i="26" s="1"/>
  <c r="O66" i="26"/>
  <c r="O61" i="26" s="1"/>
  <c r="N66" i="26"/>
  <c r="N61" i="26" s="1"/>
  <c r="M61" i="26"/>
  <c r="I10" i="11"/>
  <c r="S130" i="26"/>
  <c r="T130" i="26" s="1"/>
  <c r="S136" i="26"/>
  <c r="T136" i="26" s="1"/>
  <c r="P137" i="26" l="1"/>
  <c r="O137" i="26"/>
  <c r="N137" i="26"/>
  <c r="M137" i="26"/>
  <c r="Q65" i="11"/>
  <c r="J65" i="11"/>
  <c r="I65" i="11"/>
  <c r="P65" i="11"/>
  <c r="S142" i="26"/>
  <c r="T142" i="26" s="1"/>
  <c r="J19" i="25"/>
  <c r="J11" i="25"/>
  <c r="J10" i="25" l="1"/>
  <c r="S137" i="26"/>
  <c r="T137" i="26" s="1"/>
  <c r="S86" i="22" l="1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O61" i="25" l="1"/>
  <c r="M66" i="25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M61" i="25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G12" i="2" l="1"/>
  <c r="Q28" i="11" l="1"/>
  <c r="Q26" i="11"/>
  <c r="Q24" i="11"/>
  <c r="Q22" i="11"/>
  <c r="Q20" i="11"/>
  <c r="Q64" i="11"/>
  <c r="Q62" i="11"/>
  <c r="Q57" i="11"/>
  <c r="Q51" i="11"/>
  <c r="Q15" i="11"/>
  <c r="Q13" i="11"/>
  <c r="Q63" i="11"/>
  <c r="Q58" i="11"/>
  <c r="Q56" i="11"/>
  <c r="Q52" i="11"/>
  <c r="Q48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58" i="11"/>
  <c r="I58" i="11"/>
  <c r="J57" i="11"/>
  <c r="I57" i="11"/>
  <c r="J56" i="11"/>
  <c r="I56" i="11"/>
  <c r="Q55" i="11"/>
  <c r="J52" i="11"/>
  <c r="I52" i="11"/>
  <c r="J51" i="11"/>
  <c r="I51" i="11"/>
  <c r="J48" i="11"/>
  <c r="I48" i="11"/>
  <c r="S29" i="22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L30" i="20" l="1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P29" i="20" s="1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I29" i="20" l="1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11" i="11" l="1"/>
  <c r="T55" i="11"/>
  <c r="L13" i="11"/>
  <c r="M13" i="11"/>
  <c r="L64" i="11"/>
  <c r="M64" i="11"/>
  <c r="M63" i="11"/>
  <c r="L63" i="11"/>
  <c r="L62" i="11"/>
  <c r="M62" i="11"/>
  <c r="M58" i="11"/>
  <c r="L58" i="11"/>
  <c r="M57" i="11"/>
  <c r="L57" i="11"/>
  <c r="M56" i="11"/>
  <c r="L56" i="11"/>
  <c r="M52" i="11"/>
  <c r="L52" i="11"/>
  <c r="M51" i="11"/>
  <c r="L5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T10" i="11"/>
  <c r="L55" i="11"/>
  <c r="M55" i="11"/>
  <c r="L11" i="11"/>
  <c r="M11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M10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R153" i="19" l="1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R60" i="19" l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S153" i="19" l="1"/>
  <c r="T153" i="19" s="1"/>
  <c r="S60" i="19"/>
  <c r="T60" i="19" s="1"/>
  <c r="G14" i="2"/>
  <c r="G15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M217" i="6" l="1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B83" i="27" s="1"/>
  <c r="G252" i="2"/>
  <c r="G249" i="2"/>
  <c r="S7" i="27" s="1"/>
  <c r="S83" i="27" s="1"/>
  <c r="G243" i="2"/>
  <c r="G242" i="2"/>
  <c r="G241" i="2"/>
  <c r="P8" i="27" s="1"/>
  <c r="P84" i="27" s="1"/>
  <c r="G240" i="2"/>
  <c r="G239" i="2"/>
  <c r="G238" i="2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G7" i="2"/>
  <c r="G6" i="2"/>
  <c r="E2" i="27" s="1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DA49" i="6" s="1"/>
  <c r="CZ50" i="6"/>
  <c r="CY50" i="6"/>
  <c r="CY49" i="6" s="1"/>
  <c r="CX50" i="6"/>
  <c r="DI49" i="6"/>
  <c r="DH49" i="6"/>
  <c r="DG49" i="6"/>
  <c r="DF49" i="6"/>
  <c r="DE49" i="6"/>
  <c r="DD49" i="6"/>
  <c r="DC49" i="6"/>
  <c r="CZ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DE350" i="6"/>
  <c r="DP385" i="6"/>
  <c r="CS350" i="6" l="1"/>
  <c r="E4" i="26"/>
  <c r="E4" i="27"/>
  <c r="B19" i="27"/>
  <c r="B95" i="27"/>
  <c r="B23" i="27"/>
  <c r="B99" i="27"/>
  <c r="B25" i="27"/>
  <c r="B101" i="27"/>
  <c r="B64" i="27"/>
  <c r="B140" i="27"/>
  <c r="B63" i="27"/>
  <c r="B139" i="27"/>
  <c r="B49" i="27"/>
  <c r="B125" i="27"/>
  <c r="B61" i="27"/>
  <c r="B137" i="27"/>
  <c r="M8" i="26"/>
  <c r="M84" i="26" s="1"/>
  <c r="M8" i="27"/>
  <c r="M84" i="27" s="1"/>
  <c r="Q8" i="26"/>
  <c r="Q84" i="26" s="1"/>
  <c r="Q8" i="27"/>
  <c r="Q84" i="27" s="1"/>
  <c r="B12" i="27"/>
  <c r="B88" i="27"/>
  <c r="B16" i="27"/>
  <c r="B92" i="27"/>
  <c r="B20" i="27"/>
  <c r="B96" i="27"/>
  <c r="B24" i="27"/>
  <c r="B100" i="27"/>
  <c r="B29" i="27"/>
  <c r="B105" i="27"/>
  <c r="B34" i="27"/>
  <c r="B110" i="27"/>
  <c r="B41" i="27"/>
  <c r="B117" i="27"/>
  <c r="B42" i="27"/>
  <c r="B118" i="27"/>
  <c r="B45" i="27"/>
  <c r="B121" i="27"/>
  <c r="B46" i="27"/>
  <c r="B122" i="27"/>
  <c r="B54" i="27"/>
  <c r="B130" i="27"/>
  <c r="N8" i="26"/>
  <c r="N84" i="26" s="1"/>
  <c r="N8" i="27"/>
  <c r="N84" i="27" s="1"/>
  <c r="R8" i="26"/>
  <c r="R84" i="26" s="1"/>
  <c r="R8" i="27"/>
  <c r="R84" i="27" s="1"/>
  <c r="B10" i="27"/>
  <c r="B86" i="27"/>
  <c r="B13" i="27"/>
  <c r="B89" i="27"/>
  <c r="B17" i="27"/>
  <c r="B93" i="27"/>
  <c r="B21" i="27"/>
  <c r="B97" i="27"/>
  <c r="B26" i="27"/>
  <c r="B102" i="27"/>
  <c r="B28" i="27"/>
  <c r="B104" i="27"/>
  <c r="B32" i="27"/>
  <c r="B108" i="27"/>
  <c r="B33" i="27"/>
  <c r="B109" i="27"/>
  <c r="B37" i="27"/>
  <c r="B113" i="27"/>
  <c r="B38" i="27"/>
  <c r="B114" i="27"/>
  <c r="B39" i="27"/>
  <c r="B115" i="27"/>
  <c r="B59" i="11"/>
  <c r="B59" i="27"/>
  <c r="B48" i="27"/>
  <c r="B124" i="27"/>
  <c r="B56" i="27"/>
  <c r="B132" i="27"/>
  <c r="B66" i="27"/>
  <c r="B142" i="27"/>
  <c r="O8" i="26"/>
  <c r="O84" i="26" s="1"/>
  <c r="O8" i="27"/>
  <c r="O84" i="27" s="1"/>
  <c r="B11" i="27"/>
  <c r="B87" i="27"/>
  <c r="B15" i="27"/>
  <c r="B91" i="27"/>
  <c r="B31" i="27"/>
  <c r="B107" i="27"/>
  <c r="B40" i="27"/>
  <c r="B116" i="27"/>
  <c r="B55" i="27"/>
  <c r="B131" i="27"/>
  <c r="B50" i="27"/>
  <c r="B126" i="27"/>
  <c r="B53" i="27"/>
  <c r="B129" i="27"/>
  <c r="E4" i="3"/>
  <c r="E3" i="26"/>
  <c r="E3" i="27"/>
  <c r="B14" i="27"/>
  <c r="B90" i="27"/>
  <c r="B18" i="27"/>
  <c r="B94" i="27"/>
  <c r="B22" i="27"/>
  <c r="B98" i="27"/>
  <c r="B65" i="11"/>
  <c r="B27" i="27"/>
  <c r="B103" i="27"/>
  <c r="B62" i="27"/>
  <c r="B138" i="27"/>
  <c r="B30" i="27"/>
  <c r="B106" i="27"/>
  <c r="B35" i="27"/>
  <c r="B111" i="27"/>
  <c r="B36" i="27"/>
  <c r="B112" i="27"/>
  <c r="B43" i="27"/>
  <c r="B119" i="27"/>
  <c r="B44" i="27"/>
  <c r="B120" i="27"/>
  <c r="B47" i="27"/>
  <c r="B123" i="27"/>
  <c r="B58" i="27"/>
  <c r="B134" i="27"/>
  <c r="B57" i="27"/>
  <c r="B133" i="27"/>
  <c r="B51" i="27"/>
  <c r="B127" i="27"/>
  <c r="B60" i="27"/>
  <c r="B136" i="27"/>
  <c r="B52" i="27"/>
  <c r="B128" i="27"/>
  <c r="B7" i="26"/>
  <c r="B7" i="27"/>
  <c r="ED217" i="6"/>
  <c r="ED216" i="6" s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T9" i="27" s="1"/>
  <c r="T85" i="27" s="1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4" i="27" l="1"/>
  <c r="S8" i="27"/>
  <c r="T9" i="26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23" i="11"/>
  <c r="P17" i="11"/>
  <c r="P48" i="11"/>
  <c r="P20" i="11"/>
  <c r="P21" i="11"/>
  <c r="P22" i="11"/>
  <c r="P51" i="11"/>
  <c r="P15" i="11"/>
  <c r="P26" i="11"/>
  <c r="P25" i="11"/>
  <c r="P19" i="11"/>
  <c r="P28" i="11"/>
  <c r="P52" i="11"/>
  <c r="S64" i="11"/>
  <c r="S63" i="11"/>
  <c r="S58" i="11"/>
  <c r="S48" i="11" s="1"/>
  <c r="S62" i="11"/>
  <c r="CU190" i="6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15" i="11"/>
  <c r="S28" i="11"/>
  <c r="S26" i="11"/>
  <c r="S16" i="11"/>
  <c r="S19" i="11"/>
  <c r="S52" i="11"/>
  <c r="S13" i="11"/>
  <c r="S22" i="11"/>
  <c r="S20" i="11"/>
  <c r="S11" i="11"/>
  <c r="S57" i="11"/>
  <c r="CR190" i="6"/>
  <c r="S27" i="11"/>
  <c r="S23" i="11"/>
  <c r="S56" i="11"/>
  <c r="S17" i="11"/>
  <c r="S24" i="11"/>
  <c r="S51" i="11"/>
  <c r="S21" i="11"/>
  <c r="S14" i="11"/>
  <c r="S12" i="11"/>
  <c r="S25" i="11"/>
  <c r="K8" i="3"/>
  <c r="G254" i="2" l="1"/>
  <c r="P16" i="11"/>
  <c r="P56" i="11"/>
  <c r="P62" i="11"/>
  <c r="P63" i="11"/>
  <c r="P64" i="11"/>
  <c r="P24" i="11"/>
  <c r="P13" i="11"/>
  <c r="P12" i="11"/>
  <c r="P14" i="11"/>
  <c r="P18" i="11"/>
  <c r="P27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G255" i="2"/>
  <c r="CO190" i="6"/>
  <c r="CU192" i="6" l="1"/>
  <c r="CT192" i="6"/>
  <c r="CN192" i="6"/>
  <c r="CW192" i="6"/>
  <c r="CR192" i="6"/>
  <c r="CO192" i="6"/>
  <c r="CL190" i="6"/>
  <c r="CL192" i="6" l="1"/>
  <c r="Q105" i="25" l="1"/>
  <c r="Q129" i="25" s="1"/>
  <c r="R105" i="25"/>
  <c r="S122" i="25"/>
  <c r="T122" i="25" s="1"/>
  <c r="P105" i="25"/>
  <c r="S105" i="25" s="1"/>
  <c r="T105" i="25" s="1"/>
  <c r="R129" i="25" l="1"/>
  <c r="R135" i="25" s="1"/>
  <c r="Q135" i="25"/>
  <c r="Q140" i="25" s="1"/>
  <c r="Q130" i="25"/>
  <c r="P129" i="25"/>
  <c r="R130" i="25" l="1"/>
  <c r="R140" i="25"/>
  <c r="R136" i="25" s="1"/>
  <c r="Q136" i="25"/>
  <c r="P135" i="25"/>
  <c r="P140" i="25" s="1"/>
  <c r="S129" i="25"/>
  <c r="T129" i="25" s="1"/>
  <c r="P130" i="25"/>
  <c r="S140" i="25" l="1"/>
  <c r="S135" i="25"/>
  <c r="T135" i="25" s="1"/>
  <c r="S130" i="25"/>
  <c r="T130" i="25" s="1"/>
  <c r="P136" i="25" l="1"/>
  <c r="T140" i="25" l="1"/>
  <c r="S136" i="25"/>
  <c r="T136" i="25" s="1"/>
  <c r="N43" i="11" l="1"/>
  <c r="Q43" i="11" l="1"/>
  <c r="T43" i="11"/>
  <c r="P43" i="11"/>
  <c r="S43" i="11"/>
  <c r="S31" i="26"/>
  <c r="S43" i="26"/>
  <c r="N31" i="11"/>
  <c r="G43" i="11" l="1"/>
  <c r="T43" i="26"/>
  <c r="T31" i="26"/>
  <c r="G31" i="11"/>
  <c r="P31" i="11"/>
  <c r="Q31" i="11"/>
  <c r="T31" i="11"/>
  <c r="S31" i="11"/>
  <c r="M31" i="11" l="1"/>
  <c r="J31" i="11"/>
  <c r="I31" i="11"/>
  <c r="L31" i="11"/>
  <c r="J43" i="11"/>
  <c r="I43" i="11"/>
  <c r="L43" i="11"/>
  <c r="M43" i="11"/>
  <c r="G30" i="26" l="1"/>
  <c r="G40" i="26"/>
  <c r="G29" i="26" l="1"/>
  <c r="G53" i="26" l="1"/>
  <c r="G60" i="26" l="1"/>
  <c r="G66" i="26" s="1"/>
  <c r="G61" i="26" s="1"/>
  <c r="G54" i="26"/>
  <c r="N36" i="11"/>
  <c r="N37" i="11"/>
  <c r="N38" i="11"/>
  <c r="N45" i="11"/>
  <c r="Q37" i="11" l="1"/>
  <c r="T37" i="11"/>
  <c r="S37" i="11"/>
  <c r="P37" i="11"/>
  <c r="Q36" i="11"/>
  <c r="T36" i="11"/>
  <c r="S36" i="11"/>
  <c r="P36" i="11"/>
  <c r="Q38" i="11"/>
  <c r="T38" i="11"/>
  <c r="S38" i="11"/>
  <c r="P38" i="11"/>
  <c r="Q45" i="11"/>
  <c r="T45" i="11"/>
  <c r="S45" i="11"/>
  <c r="P45" i="11"/>
  <c r="N50" i="11"/>
  <c r="N44" i="11"/>
  <c r="N47" i="11"/>
  <c r="N42" i="11"/>
  <c r="N34" i="11"/>
  <c r="N46" i="11"/>
  <c r="N33" i="11" l="1"/>
  <c r="T46" i="11"/>
  <c r="S46" i="11"/>
  <c r="P46" i="11"/>
  <c r="Q46" i="11"/>
  <c r="N35" i="11"/>
  <c r="Q34" i="11"/>
  <c r="T34" i="11"/>
  <c r="P34" i="11"/>
  <c r="S34" i="11"/>
  <c r="Q44" i="11"/>
  <c r="T44" i="11"/>
  <c r="P44" i="11"/>
  <c r="S44" i="11"/>
  <c r="Q42" i="11"/>
  <c r="T42" i="11"/>
  <c r="S42" i="11"/>
  <c r="P42" i="11"/>
  <c r="Q47" i="11"/>
  <c r="T47" i="11"/>
  <c r="S47" i="11"/>
  <c r="P47" i="11"/>
  <c r="N49" i="11"/>
  <c r="N39" i="11"/>
  <c r="Q50" i="11"/>
  <c r="T50" i="11"/>
  <c r="S50" i="11"/>
  <c r="P50" i="11"/>
  <c r="Q39" i="11" l="1"/>
  <c r="T39" i="11"/>
  <c r="S39" i="11"/>
  <c r="P39" i="11"/>
  <c r="N41" i="11"/>
  <c r="I40" i="26"/>
  <c r="N40" i="11" s="1"/>
  <c r="N32" i="11"/>
  <c r="I30" i="26"/>
  <c r="Q49" i="11"/>
  <c r="T49" i="11"/>
  <c r="S49" i="11"/>
  <c r="P49" i="11"/>
  <c r="Q35" i="11"/>
  <c r="T35" i="11"/>
  <c r="P35" i="11"/>
  <c r="S35" i="11"/>
  <c r="Q33" i="11"/>
  <c r="T33" i="11"/>
  <c r="S33" i="11"/>
  <c r="P33" i="11"/>
  <c r="N30" i="11" l="1"/>
  <c r="I29" i="26"/>
  <c r="Q32" i="11"/>
  <c r="T32" i="11"/>
  <c r="S32" i="11"/>
  <c r="P32" i="11"/>
  <c r="Q40" i="11"/>
  <c r="T40" i="11"/>
  <c r="S40" i="11"/>
  <c r="P40" i="11"/>
  <c r="Q41" i="11"/>
  <c r="T41" i="11"/>
  <c r="P41" i="11"/>
  <c r="S41" i="11"/>
  <c r="S42" i="26" l="1"/>
  <c r="S36" i="26"/>
  <c r="S35" i="26"/>
  <c r="S49" i="26"/>
  <c r="S34" i="26"/>
  <c r="S33" i="26"/>
  <c r="S41" i="26"/>
  <c r="S47" i="26"/>
  <c r="S44" i="26"/>
  <c r="S39" i="26"/>
  <c r="I53" i="26"/>
  <c r="N29" i="11"/>
  <c r="S45" i="26"/>
  <c r="S50" i="26"/>
  <c r="S38" i="26"/>
  <c r="S37" i="26"/>
  <c r="Q30" i="11"/>
  <c r="T30" i="11"/>
  <c r="S30" i="11"/>
  <c r="P30" i="11"/>
  <c r="T37" i="26" l="1"/>
  <c r="G37" i="11"/>
  <c r="T50" i="26"/>
  <c r="G50" i="11"/>
  <c r="D16" i="1"/>
  <c r="E16" i="1" s="1"/>
  <c r="T29" i="11"/>
  <c r="S29" i="11"/>
  <c r="P29" i="11"/>
  <c r="Q29" i="11"/>
  <c r="T44" i="26"/>
  <c r="G44" i="11"/>
  <c r="T41" i="26"/>
  <c r="G41" i="11"/>
  <c r="G34" i="11"/>
  <c r="T34" i="26"/>
  <c r="H30" i="26"/>
  <c r="S32" i="26"/>
  <c r="T36" i="26"/>
  <c r="G36" i="11"/>
  <c r="S46" i="26"/>
  <c r="I60" i="26"/>
  <c r="N53" i="11"/>
  <c r="I54" i="26"/>
  <c r="N54" i="11" s="1"/>
  <c r="H40" i="26"/>
  <c r="S40" i="26" s="1"/>
  <c r="G38" i="11"/>
  <c r="T38" i="26"/>
  <c r="T45" i="26"/>
  <c r="G45" i="11"/>
  <c r="T39" i="26"/>
  <c r="G39" i="11"/>
  <c r="T47" i="26"/>
  <c r="G47" i="11"/>
  <c r="T33" i="26"/>
  <c r="G33" i="11"/>
  <c r="G49" i="11"/>
  <c r="T49" i="26"/>
  <c r="T35" i="26"/>
  <c r="G35" i="11"/>
  <c r="T42" i="26"/>
  <c r="G42" i="11"/>
  <c r="I49" i="11" l="1"/>
  <c r="J49" i="11"/>
  <c r="M49" i="11"/>
  <c r="L49" i="11"/>
  <c r="T54" i="11"/>
  <c r="S54" i="11"/>
  <c r="P54" i="11"/>
  <c r="Q54" i="11"/>
  <c r="H29" i="26"/>
  <c r="S30" i="26"/>
  <c r="I50" i="11"/>
  <c r="J50" i="11"/>
  <c r="M50" i="11"/>
  <c r="L50" i="11"/>
  <c r="I35" i="11"/>
  <c r="J35" i="11"/>
  <c r="M35" i="11"/>
  <c r="L35" i="11"/>
  <c r="J33" i="11"/>
  <c r="I33" i="11"/>
  <c r="M33" i="11"/>
  <c r="L33" i="11"/>
  <c r="I39" i="11"/>
  <c r="J39" i="11"/>
  <c r="M39" i="11"/>
  <c r="L39" i="11"/>
  <c r="D20" i="1"/>
  <c r="E20" i="1" s="1"/>
  <c r="T53" i="11"/>
  <c r="S53" i="11"/>
  <c r="Q53" i="11"/>
  <c r="P53" i="11"/>
  <c r="I36" i="11"/>
  <c r="J36" i="11"/>
  <c r="M36" i="11"/>
  <c r="L36" i="11"/>
  <c r="I44" i="11"/>
  <c r="J44" i="11"/>
  <c r="M44" i="11"/>
  <c r="L44" i="11"/>
  <c r="I38" i="11"/>
  <c r="J38" i="11"/>
  <c r="L38" i="11"/>
  <c r="M38" i="11"/>
  <c r="I66" i="26"/>
  <c r="N60" i="11"/>
  <c r="I34" i="11"/>
  <c r="J34" i="11"/>
  <c r="L34" i="11"/>
  <c r="M34" i="11"/>
  <c r="J37" i="11"/>
  <c r="I37" i="11"/>
  <c r="M37" i="11"/>
  <c r="L37" i="11"/>
  <c r="J42" i="11"/>
  <c r="I42" i="11"/>
  <c r="M42" i="11"/>
  <c r="L42" i="11"/>
  <c r="I47" i="11"/>
  <c r="J47" i="11"/>
  <c r="M47" i="11"/>
  <c r="L47" i="11"/>
  <c r="I45" i="11"/>
  <c r="J45" i="11"/>
  <c r="M45" i="11"/>
  <c r="L45" i="11"/>
  <c r="G40" i="11"/>
  <c r="T40" i="26"/>
  <c r="T46" i="26"/>
  <c r="G46" i="11"/>
  <c r="G32" i="11"/>
  <c r="T32" i="26"/>
  <c r="I41" i="11"/>
  <c r="J41" i="11"/>
  <c r="M41" i="11"/>
  <c r="L41" i="11"/>
  <c r="I61" i="26" l="1"/>
  <c r="N61" i="11" s="1"/>
  <c r="N66" i="11"/>
  <c r="I32" i="11"/>
  <c r="J32" i="11"/>
  <c r="M32" i="11"/>
  <c r="L32" i="11"/>
  <c r="J40" i="11"/>
  <c r="I40" i="11"/>
  <c r="M40" i="11"/>
  <c r="L40" i="11"/>
  <c r="T30" i="26"/>
  <c r="G30" i="11"/>
  <c r="M46" i="11"/>
  <c r="L46" i="11"/>
  <c r="I46" i="11"/>
  <c r="J46" i="11"/>
  <c r="P60" i="11"/>
  <c r="T60" i="11"/>
  <c r="S60" i="11"/>
  <c r="Q60" i="11"/>
  <c r="H53" i="26"/>
  <c r="S29" i="26"/>
  <c r="J30" i="11" l="1"/>
  <c r="I30" i="11"/>
  <c r="L30" i="11"/>
  <c r="M30" i="11"/>
  <c r="G29" i="11"/>
  <c r="T29" i="26"/>
  <c r="T66" i="11"/>
  <c r="S66" i="11"/>
  <c r="Q66" i="11"/>
  <c r="P66" i="11"/>
  <c r="H54" i="26"/>
  <c r="S54" i="26" s="1"/>
  <c r="H60" i="26"/>
  <c r="H66" i="26" s="1"/>
  <c r="H61" i="26" s="1"/>
  <c r="S61" i="26" s="1"/>
  <c r="S53" i="26"/>
  <c r="P61" i="11"/>
  <c r="T61" i="11"/>
  <c r="S61" i="11"/>
  <c r="Q61" i="11"/>
  <c r="T61" i="26" l="1"/>
  <c r="G61" i="11"/>
  <c r="T54" i="26"/>
  <c r="G54" i="11"/>
  <c r="S60" i="26"/>
  <c r="T53" i="26"/>
  <c r="G53" i="11"/>
  <c r="G16" i="1"/>
  <c r="H16" i="1" s="1"/>
  <c r="M29" i="11"/>
  <c r="L29" i="11"/>
  <c r="J29" i="11"/>
  <c r="I29" i="11"/>
  <c r="M54" i="11" l="1"/>
  <c r="L54" i="11"/>
  <c r="J54" i="11"/>
  <c r="I54" i="11"/>
  <c r="G20" i="1"/>
  <c r="H20" i="1" s="1"/>
  <c r="L53" i="11"/>
  <c r="M53" i="11"/>
  <c r="I53" i="11"/>
  <c r="J53" i="11"/>
  <c r="L61" i="11"/>
  <c r="M61" i="11"/>
  <c r="J61" i="11"/>
  <c r="I61" i="11"/>
  <c r="S66" i="26"/>
  <c r="T60" i="26"/>
  <c r="G60" i="11"/>
  <c r="L60" i="11" l="1"/>
  <c r="M60" i="11"/>
  <c r="J60" i="11"/>
  <c r="I60" i="11"/>
  <c r="G66" i="11"/>
  <c r="T66" i="26"/>
  <c r="L66" i="11" l="1"/>
  <c r="M66" i="11"/>
  <c r="J66" i="11"/>
  <c r="I6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<sst xmlns="http://schemas.openxmlformats.org/spreadsheetml/2006/main" count="1865" uniqueCount="869">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</sst>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86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673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0" borderId="0" xfId="0" applyNumberFormat="1" applyFont="1" applyFill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7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61" fillId="2" borderId="0" xfId="0" applyNumberFormat="1" applyFont="1" applyFill="1" applyBorder="1" applyAlignment="1">
      <alignment horizontal="center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78" fontId="6" fillId="9" borderId="15" xfId="0" applyNumberFormat="1" applyFont="1" applyFill="1" applyBorder="1" applyAlignment="1">
      <alignment horizontal="center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6">
    <cellStyle name="1 indent" xfId="42" xr:uid="{00000000-0005-0000-0000-000000000000}"/>
    <cellStyle name="1 indent 2" xfId="111" xr:uid="{00000000-0005-0000-0000-000001000000}"/>
    <cellStyle name="2 indents" xfId="43" xr:uid="{00000000-0005-0000-0000-000002000000}"/>
    <cellStyle name="2 indents 2" xfId="112" xr:uid="{00000000-0005-0000-0000-000003000000}"/>
    <cellStyle name="20% - Accent1" xfId="19" builtinId="30" customBuiltin="1"/>
    <cellStyle name="20% - Accent1 2" xfId="99" xr:uid="{00000000-0005-0000-0000-000005000000}"/>
    <cellStyle name="20% - Accent1 2 2" xfId="170" xr:uid="{00000000-0005-0000-0000-000006000000}"/>
    <cellStyle name="20% - Accent1 3" xfId="136" xr:uid="{00000000-0005-0000-0000-000007000000}"/>
    <cellStyle name="20% - Accent2" xfId="23" builtinId="34" customBuiltin="1"/>
    <cellStyle name="20% - Accent2 2" xfId="101" xr:uid="{00000000-0005-0000-0000-000009000000}"/>
    <cellStyle name="20% - Accent2 2 2" xfId="172" xr:uid="{00000000-0005-0000-0000-00000A000000}"/>
    <cellStyle name="20% - Accent2 3" xfId="138" xr:uid="{00000000-0005-0000-0000-00000B000000}"/>
    <cellStyle name="20% - Accent3" xfId="27" builtinId="38" customBuiltin="1"/>
    <cellStyle name="20% - Accent3 2" xfId="103" xr:uid="{00000000-0005-0000-0000-00000D000000}"/>
    <cellStyle name="20% - Accent3 2 2" xfId="174" xr:uid="{00000000-0005-0000-0000-00000E000000}"/>
    <cellStyle name="20% - Accent3 3" xfId="140" xr:uid="{00000000-0005-0000-0000-00000F000000}"/>
    <cellStyle name="20% - Accent4" xfId="31" builtinId="42" customBuiltin="1"/>
    <cellStyle name="20% - Accent4 2" xfId="105" xr:uid="{00000000-0005-0000-0000-000011000000}"/>
    <cellStyle name="20% - Accent4 2 2" xfId="176" xr:uid="{00000000-0005-0000-0000-000012000000}"/>
    <cellStyle name="20% - Accent4 3" xfId="142" xr:uid="{00000000-0005-0000-0000-000013000000}"/>
    <cellStyle name="20% - Accent5" xfId="35" builtinId="46" customBuiltin="1"/>
    <cellStyle name="20% - Accent5 2" xfId="107" xr:uid="{00000000-0005-0000-0000-000015000000}"/>
    <cellStyle name="20% - Accent5 2 2" xfId="178" xr:uid="{00000000-0005-0000-0000-000016000000}"/>
    <cellStyle name="20% - Accent5 3" xfId="144" xr:uid="{00000000-0005-0000-0000-000017000000}"/>
    <cellStyle name="20% - Accent6" xfId="39" builtinId="50" customBuiltin="1"/>
    <cellStyle name="20% - Accent6 2" xfId="109" xr:uid="{00000000-0005-0000-0000-000019000000}"/>
    <cellStyle name="20% - Accent6 2 2" xfId="180" xr:uid="{00000000-0005-0000-0000-00001A000000}"/>
    <cellStyle name="20% - Accent6 3" xfId="146" xr:uid="{00000000-0005-0000-0000-00001B000000}"/>
    <cellStyle name="3 indents" xfId="44" xr:uid="{00000000-0005-0000-0000-00001C000000}"/>
    <cellStyle name="3 indents 2" xfId="113" xr:uid="{00000000-0005-0000-0000-00001D000000}"/>
    <cellStyle name="4 indents" xfId="45" xr:uid="{00000000-0005-0000-0000-00001E000000}"/>
    <cellStyle name="4 indents 2" xfId="122" xr:uid="{00000000-0005-0000-0000-00001F000000}"/>
    <cellStyle name="40% - Accent1" xfId="20" builtinId="31" customBuiltin="1"/>
    <cellStyle name="40% - Accent1 2" xfId="100" xr:uid="{00000000-0005-0000-0000-000021000000}"/>
    <cellStyle name="40% - Accent1 2 2" xfId="171" xr:uid="{00000000-0005-0000-0000-000022000000}"/>
    <cellStyle name="40% - Accent1 3" xfId="137" xr:uid="{00000000-0005-0000-0000-000023000000}"/>
    <cellStyle name="40% - Accent2" xfId="24" builtinId="35" customBuiltin="1"/>
    <cellStyle name="40% - Accent2 2" xfId="102" xr:uid="{00000000-0005-0000-0000-000025000000}"/>
    <cellStyle name="40% - Accent2 2 2" xfId="173" xr:uid="{00000000-0005-0000-0000-000026000000}"/>
    <cellStyle name="40% - Accent2 3" xfId="139" xr:uid="{00000000-0005-0000-0000-000027000000}"/>
    <cellStyle name="40% - Accent3" xfId="28" builtinId="39" customBuiltin="1"/>
    <cellStyle name="40% - Accent3 2" xfId="104" xr:uid="{00000000-0005-0000-0000-000029000000}"/>
    <cellStyle name="40% - Accent3 2 2" xfId="175" xr:uid="{00000000-0005-0000-0000-00002A000000}"/>
    <cellStyle name="40% - Accent3 3" xfId="141" xr:uid="{00000000-0005-0000-0000-00002B000000}"/>
    <cellStyle name="40% - Accent4" xfId="32" builtinId="43" customBuiltin="1"/>
    <cellStyle name="40% - Accent4 2" xfId="106" xr:uid="{00000000-0005-0000-0000-00002D000000}"/>
    <cellStyle name="40% - Accent4 2 2" xfId="177" xr:uid="{00000000-0005-0000-0000-00002E000000}"/>
    <cellStyle name="40% - Accent4 3" xfId="143" xr:uid="{00000000-0005-0000-0000-00002F000000}"/>
    <cellStyle name="40% - Accent5" xfId="36" builtinId="47" customBuiltin="1"/>
    <cellStyle name="40% - Accent5 2" xfId="108" xr:uid="{00000000-0005-0000-0000-000031000000}"/>
    <cellStyle name="40% - Accent5 2 2" xfId="179" xr:uid="{00000000-0005-0000-0000-000032000000}"/>
    <cellStyle name="40% - Accent5 3" xfId="145" xr:uid="{00000000-0005-0000-0000-000033000000}"/>
    <cellStyle name="40% - Accent6" xfId="40" builtinId="51" customBuiltin="1"/>
    <cellStyle name="40% - Accent6 2" xfId="110" xr:uid="{00000000-0005-0000-0000-000035000000}"/>
    <cellStyle name="40% - Accent6 2 2" xfId="181" xr:uid="{00000000-0005-0000-0000-000036000000}"/>
    <cellStyle name="40% - Accent6 3" xfId="147" xr:uid="{00000000-0005-0000-0000-000037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 xr:uid="{00000000-0005-0000-0000-000045000000}"/>
    <cellStyle name="Calculation" xfId="12" builtinId="22" customBuiltin="1"/>
    <cellStyle name="Check Cell" xfId="14" builtinId="23" customBuiltin="1"/>
    <cellStyle name="Comma" xfId="130" builtinId="3"/>
    <cellStyle name="Comma 2" xfId="185" xr:uid="{00000000-0005-0000-0000-000049000000}"/>
    <cellStyle name="Currency" xfId="131" builtinId="4"/>
    <cellStyle name="Date" xfId="46" xr:uid="{00000000-0005-0000-0000-00004B000000}"/>
    <cellStyle name="Explanatory Text" xfId="16" builtinId="53" customBuiltin="1"/>
    <cellStyle name="F2" xfId="47" xr:uid="{00000000-0005-0000-0000-00004D000000}"/>
    <cellStyle name="F3" xfId="48" xr:uid="{00000000-0005-0000-0000-00004E000000}"/>
    <cellStyle name="F4" xfId="49" xr:uid="{00000000-0005-0000-0000-00004F000000}"/>
    <cellStyle name="F5" xfId="50" xr:uid="{00000000-0005-0000-0000-000050000000}"/>
    <cellStyle name="F6" xfId="51" xr:uid="{00000000-0005-0000-0000-000051000000}"/>
    <cellStyle name="F7" xfId="52" xr:uid="{00000000-0005-0000-0000-000052000000}"/>
    <cellStyle name="F8" xfId="53" xr:uid="{00000000-0005-0000-0000-000053000000}"/>
    <cellStyle name="Fixed" xfId="54" xr:uid="{00000000-0005-0000-0000-000054000000}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 xr:uid="{00000000-0005-0000-0000-00005A000000}"/>
    <cellStyle name="HEADING2" xfId="56" xr:uid="{00000000-0005-0000-0000-00005B000000}"/>
    <cellStyle name="imf-one decimal" xfId="57" xr:uid="{00000000-0005-0000-0000-00005C000000}"/>
    <cellStyle name="imf-one decimal 2" xfId="114" xr:uid="{00000000-0005-0000-0000-00005D000000}"/>
    <cellStyle name="imf-zero decimal" xfId="58" xr:uid="{00000000-0005-0000-0000-00005E000000}"/>
    <cellStyle name="imf-zero decimal 2" xfId="115" xr:uid="{00000000-0005-0000-0000-00005F000000}"/>
    <cellStyle name="Input" xfId="10" builtinId="20" customBuiltin="1"/>
    <cellStyle name="Label" xfId="59" xr:uid="{00000000-0005-0000-0000-000061000000}"/>
    <cellStyle name="Linked Cell" xfId="13" builtinId="24" customBuiltin="1"/>
    <cellStyle name="Neutral" xfId="9" builtinId="28" customBuiltin="1"/>
    <cellStyle name="Normal" xfId="0" builtinId="0"/>
    <cellStyle name="Normal - Style1" xfId="60" xr:uid="{00000000-0005-0000-0000-000065000000}"/>
    <cellStyle name="Normal - Style2" xfId="61" xr:uid="{00000000-0005-0000-0000-000066000000}"/>
    <cellStyle name="Normal - Style3" xfId="62" xr:uid="{00000000-0005-0000-0000-000067000000}"/>
    <cellStyle name="Normal 10" xfId="74" xr:uid="{00000000-0005-0000-0000-000068000000}"/>
    <cellStyle name="Normal 10 2" xfId="154" xr:uid="{00000000-0005-0000-0000-000069000000}"/>
    <cellStyle name="Normal 11" xfId="75" xr:uid="{00000000-0005-0000-0000-00006A000000}"/>
    <cellStyle name="Normal 11 2" xfId="155" xr:uid="{00000000-0005-0000-0000-00006B000000}"/>
    <cellStyle name="Normal 12" xfId="76" xr:uid="{00000000-0005-0000-0000-00006C000000}"/>
    <cellStyle name="Normal 12 2" xfId="156" xr:uid="{00000000-0005-0000-0000-00006D000000}"/>
    <cellStyle name="Normal 13" xfId="77" xr:uid="{00000000-0005-0000-0000-00006E000000}"/>
    <cellStyle name="Normal 14" xfId="86" xr:uid="{00000000-0005-0000-0000-00006F000000}"/>
    <cellStyle name="Normal 14 2" xfId="157" xr:uid="{00000000-0005-0000-0000-000070000000}"/>
    <cellStyle name="Normal 15" xfId="88" xr:uid="{00000000-0005-0000-0000-000071000000}"/>
    <cellStyle name="Normal 15 2" xfId="159" xr:uid="{00000000-0005-0000-0000-000072000000}"/>
    <cellStyle name="Normal 16" xfId="92" xr:uid="{00000000-0005-0000-0000-000073000000}"/>
    <cellStyle name="Normal 16 2" xfId="116" xr:uid="{00000000-0005-0000-0000-000074000000}"/>
    <cellStyle name="Normal 16 2 2" xfId="182" xr:uid="{00000000-0005-0000-0000-000075000000}"/>
    <cellStyle name="Normal 16 3" xfId="163" xr:uid="{00000000-0005-0000-0000-000076000000}"/>
    <cellStyle name="Normal 17" xfId="94" xr:uid="{00000000-0005-0000-0000-000077000000}"/>
    <cellStyle name="Normal 17 2" xfId="117" xr:uid="{00000000-0005-0000-0000-000078000000}"/>
    <cellStyle name="Normal 17 2 2" xfId="183" xr:uid="{00000000-0005-0000-0000-000079000000}"/>
    <cellStyle name="Normal 17 3" xfId="165" xr:uid="{00000000-0005-0000-0000-00007A000000}"/>
    <cellStyle name="Normal 18" xfId="95" xr:uid="{00000000-0005-0000-0000-00007B000000}"/>
    <cellStyle name="Normal 18 2" xfId="166" xr:uid="{00000000-0005-0000-0000-00007C000000}"/>
    <cellStyle name="Normal 19" xfId="90" xr:uid="{00000000-0005-0000-0000-00007D000000}"/>
    <cellStyle name="Normal 19 2" xfId="118" xr:uid="{00000000-0005-0000-0000-00007E000000}"/>
    <cellStyle name="Normal 19 2 2" xfId="184" xr:uid="{00000000-0005-0000-0000-00007F000000}"/>
    <cellStyle name="Normal 19 3" xfId="161" xr:uid="{00000000-0005-0000-0000-000080000000}"/>
    <cellStyle name="Normal 2" xfId="63" xr:uid="{00000000-0005-0000-0000-000081000000}"/>
    <cellStyle name="Normal 2 2" xfId="2" xr:uid="{00000000-0005-0000-0000-000082000000}"/>
    <cellStyle name="Normal 2 3" xfId="133" xr:uid="{00000000-0005-0000-0000-000083000000}"/>
    <cellStyle name="Normal 20" xfId="89" xr:uid="{00000000-0005-0000-0000-000084000000}"/>
    <cellStyle name="Normal 20 2" xfId="160" xr:uid="{00000000-0005-0000-0000-000085000000}"/>
    <cellStyle name="Normal 21" xfId="91" xr:uid="{00000000-0005-0000-0000-000086000000}"/>
    <cellStyle name="Normal 21 2" xfId="162" xr:uid="{00000000-0005-0000-0000-000087000000}"/>
    <cellStyle name="Normal 22" xfId="93" xr:uid="{00000000-0005-0000-0000-000088000000}"/>
    <cellStyle name="Normal 22 2" xfId="164" xr:uid="{00000000-0005-0000-0000-000089000000}"/>
    <cellStyle name="Normal 23" xfId="96" xr:uid="{00000000-0005-0000-0000-00008A000000}"/>
    <cellStyle name="Normal 23 2" xfId="167" xr:uid="{00000000-0005-0000-0000-00008B000000}"/>
    <cellStyle name="Normal 24" xfId="97" xr:uid="{00000000-0005-0000-0000-00008C000000}"/>
    <cellStyle name="Normal 24 2" xfId="168" xr:uid="{00000000-0005-0000-0000-00008D000000}"/>
    <cellStyle name="Normal 25" xfId="82" xr:uid="{00000000-0005-0000-0000-00008E000000}"/>
    <cellStyle name="Normal 26" xfId="124" xr:uid="{00000000-0005-0000-0000-00008F000000}"/>
    <cellStyle name="Normal 27" xfId="81" xr:uid="{00000000-0005-0000-0000-000090000000}"/>
    <cellStyle name="Normal 28" xfId="85" xr:uid="{00000000-0005-0000-0000-000091000000}"/>
    <cellStyle name="Normal 29" xfId="129" xr:uid="{00000000-0005-0000-0000-000092000000}"/>
    <cellStyle name="Normal 3" xfId="67" xr:uid="{00000000-0005-0000-0000-000093000000}"/>
    <cellStyle name="Normal 30" xfId="125" xr:uid="{00000000-0005-0000-0000-000094000000}"/>
    <cellStyle name="Normal 31" xfId="80" xr:uid="{00000000-0005-0000-0000-000095000000}"/>
    <cellStyle name="Normal 32" xfId="128" xr:uid="{00000000-0005-0000-0000-000096000000}"/>
    <cellStyle name="Normal 33" xfId="127" xr:uid="{00000000-0005-0000-0000-000097000000}"/>
    <cellStyle name="Normal 34" xfId="126" xr:uid="{00000000-0005-0000-0000-000098000000}"/>
    <cellStyle name="Normal 35" xfId="83" xr:uid="{00000000-0005-0000-0000-000099000000}"/>
    <cellStyle name="Normal 36" xfId="84" xr:uid="{00000000-0005-0000-0000-00009A000000}"/>
    <cellStyle name="Normal 37" xfId="132" xr:uid="{00000000-0005-0000-0000-00009B000000}"/>
    <cellStyle name="Normal 38" xfId="134" xr:uid="{00000000-0005-0000-0000-00009C000000}"/>
    <cellStyle name="Normal 39" xfId="135" xr:uid="{00000000-0005-0000-0000-00009D000000}"/>
    <cellStyle name="Normal 4" xfId="68" xr:uid="{00000000-0005-0000-0000-00009E000000}"/>
    <cellStyle name="Normal 4 2" xfId="119" xr:uid="{00000000-0005-0000-0000-00009F000000}"/>
    <cellStyle name="Normal 4 3" xfId="148" xr:uid="{00000000-0005-0000-0000-0000A0000000}"/>
    <cellStyle name="Normal 5" xfId="69" xr:uid="{00000000-0005-0000-0000-0000A1000000}"/>
    <cellStyle name="Normal 5 2" xfId="123" xr:uid="{00000000-0005-0000-0000-0000A2000000}"/>
    <cellStyle name="Normal 5 3" xfId="149" xr:uid="{00000000-0005-0000-0000-0000A3000000}"/>
    <cellStyle name="Normal 6" xfId="70" xr:uid="{00000000-0005-0000-0000-0000A4000000}"/>
    <cellStyle name="Normal 6 2" xfId="150" xr:uid="{00000000-0005-0000-0000-0000A5000000}"/>
    <cellStyle name="Normal 7" xfId="71" xr:uid="{00000000-0005-0000-0000-0000A6000000}"/>
    <cellStyle name="Normal 7 2" xfId="151" xr:uid="{00000000-0005-0000-0000-0000A7000000}"/>
    <cellStyle name="Normal 8" xfId="72" xr:uid="{00000000-0005-0000-0000-0000A8000000}"/>
    <cellStyle name="Normal 8 2" xfId="152" xr:uid="{00000000-0005-0000-0000-0000A9000000}"/>
    <cellStyle name="Normal 9" xfId="73" xr:uid="{00000000-0005-0000-0000-0000AA000000}"/>
    <cellStyle name="Normal 9 2" xfId="153" xr:uid="{00000000-0005-0000-0000-0000AB000000}"/>
    <cellStyle name="Note 2" xfId="87" xr:uid="{00000000-0005-0000-0000-0000AC000000}"/>
    <cellStyle name="Note 2 2" xfId="158" xr:uid="{00000000-0005-0000-0000-0000AD000000}"/>
    <cellStyle name="Note 3" xfId="98" xr:uid="{00000000-0005-0000-0000-0000AE000000}"/>
    <cellStyle name="Note 3 2" xfId="169" xr:uid="{00000000-0005-0000-0000-0000AF000000}"/>
    <cellStyle name="Obično_KnjigaZIKS i Min pomorstva i saobracaja" xfId="64" xr:uid="{00000000-0005-0000-0000-0000B0000000}"/>
    <cellStyle name="Output" xfId="11" builtinId="21" customBuiltin="1"/>
    <cellStyle name="Percent" xfId="1" builtinId="5"/>
    <cellStyle name="percentage difference" xfId="65" xr:uid="{00000000-0005-0000-0000-0000B3000000}"/>
    <cellStyle name="percentage difference 2" xfId="120" xr:uid="{00000000-0005-0000-0000-0000B4000000}"/>
    <cellStyle name="Publication" xfId="66" xr:uid="{00000000-0005-0000-0000-0000B5000000}"/>
    <cellStyle name="Standard_Tabellenteil in EURO" xfId="121" xr:uid="{00000000-0005-0000-0000-0000B6000000}"/>
    <cellStyle name="Title 2" xfId="79" xr:uid="{00000000-0005-0000-0000-0000B7000000}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9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9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-februar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 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333,9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4,7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 i veći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27,0 mil. € ili 8,8%.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veći za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23,9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7,7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 eaLnBrk="1" fontAlgn="auto" latinLnBrk="0" hangingPunct="1"/>
          <a:endParaRPr lang="en-US">
            <a:effectLst/>
          </a:endParaRPr>
        </a:p>
        <a:p>
          <a:pPr algn="just"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istom periodu iznosili su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583,4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8,3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72,1 mil. € ili 11% dok su u odnosu na isti period 2023. godine veći za  104,2 mil. € ili 21,7%.</a:t>
          </a:r>
        </a:p>
        <a:p>
          <a:pPr algn="just" eaLnBrk="1" fontAlgn="auto" latinLnBrk="0" hangingPunct="1"/>
          <a:endParaRPr lang="en-US"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januar-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februar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2024. godine zabilježen je deficit budžeta u iznosu od 4,9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0,1% procijenjenog BDP-a.</a:t>
          </a:r>
          <a:endParaRPr lang="en-US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359833</xdr:colOff>
      <xdr:row>22</xdr:row>
      <xdr:rowOff>52916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742767" y="1323976"/>
          <a:ext cx="4946649" cy="2941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2024.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Napomena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U obračunu deficita došlo je do metodološke promjene definicije deficita. Naime, izmjena Zakona o budžetu i fiskalnoj dogovornosti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("Sl list CG"</a:t>
          </a:r>
          <a:r>
            <a:rPr lang="sr-Latn-ME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027/23 od 08.03.2023)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izvršena je primjena međunarodnog računovodstvenog standarda IPSAS 2 – Izvještaja o novčanim tokovima, kojim se utvrđuje da date pozajmice i primici od povraćaja datih pozajmica pripadaju akt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vnostima finansiranja i ne ulaze u obračun finansijskog rezultata. I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plikacija ove korekcije je imala negativan uticaj na iznos deficita, imajući u vidu da su projektovani primici od datih pozajmica i kredita veći od planiranih izdataka po osnovu pozajmica i kredita.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833" y="69850"/>
          <a:ext cx="894614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4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4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5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5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6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6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7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7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8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8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2024-03</v>
      </c>
      <c r="O6" s="128" t="str">
        <f>+CONCATENATE(N6,"p")</f>
        <v>2024-03p</v>
      </c>
      <c r="P6" s="116"/>
      <c r="Q6" s="116"/>
      <c r="R6" s="128" t="str">
        <f>+IF(Master!B3-10&gt;=0,CONCATENATE(Master!B4-1,"-",Master!B3),CONCATENATE(Master!B4-1,"-0",Master!B3))</f>
        <v>2023-03</v>
      </c>
      <c r="S6" s="116"/>
      <c r="T6" s="116"/>
    </row>
    <row r="7" spans="1:20">
      <c r="A7" s="129"/>
      <c r="B7" s="586" t="s">
        <v>691</v>
      </c>
      <c r="C7" s="587"/>
      <c r="D7" s="587"/>
      <c r="E7" s="587"/>
      <c r="F7" s="587"/>
      <c r="G7" s="595" t="s">
        <v>690</v>
      </c>
      <c r="H7" s="596"/>
      <c r="I7" s="596"/>
      <c r="J7" s="596"/>
      <c r="K7" s="596"/>
      <c r="L7" s="596"/>
      <c r="M7" s="597"/>
      <c r="N7" s="598" t="str">
        <f>+Master!G243</f>
        <v>Decembar</v>
      </c>
      <c r="O7" s="596"/>
      <c r="P7" s="596"/>
      <c r="Q7" s="596"/>
      <c r="R7" s="596"/>
      <c r="S7" s="596"/>
      <c r="T7" s="599"/>
    </row>
    <row r="8" spans="1:20">
      <c r="A8" s="129"/>
      <c r="B8" s="588"/>
      <c r="C8" s="589"/>
      <c r="D8" s="589"/>
      <c r="E8" s="589"/>
      <c r="F8" s="590"/>
      <c r="G8" s="130" t="str">
        <f>+Master!G26</f>
        <v>Ostvarenje</v>
      </c>
      <c r="H8" s="130" t="str">
        <f>+Master!G25</f>
        <v>Plan</v>
      </c>
      <c r="I8" s="584" t="str">
        <f>+Master!G261</f>
        <v>Odstupanje</v>
      </c>
      <c r="J8" s="584"/>
      <c r="K8" s="130" t="str">
        <f>+CONCATENATE(Master!G246," ",Master!B4-1)</f>
        <v>Jan - Mar 2023</v>
      </c>
      <c r="L8" s="584" t="str">
        <f>+I8</f>
        <v>Odstupanje</v>
      </c>
      <c r="M8" s="594"/>
      <c r="N8" s="131" t="str">
        <f>+G8</f>
        <v>Ostvarenje</v>
      </c>
      <c r="O8" s="130" t="str">
        <f>+H8</f>
        <v>Plan</v>
      </c>
      <c r="P8" s="584" t="str">
        <f>+I8</f>
        <v>Odstupanje</v>
      </c>
      <c r="Q8" s="584"/>
      <c r="R8" s="130" t="str">
        <f>+CONCATENATE(Master!G245," ",Master!B4-1)</f>
        <v>Mart 2023</v>
      </c>
      <c r="S8" s="584" t="str">
        <f>+P8</f>
        <v>Odstupanje</v>
      </c>
      <c r="T8" s="585"/>
    </row>
    <row r="9" spans="1:20" ht="15.75" thickBot="1">
      <c r="A9" s="129"/>
      <c r="B9" s="591"/>
      <c r="C9" s="592"/>
      <c r="D9" s="592"/>
      <c r="E9" s="592"/>
      <c r="F9" s="593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554" t="str">
        <f>+VLOOKUP($A10,Master!$D$30:$G$226,4,FALSE)</f>
        <v>Prihodi budžeta</v>
      </c>
      <c r="C10" s="555"/>
      <c r="D10" s="555"/>
      <c r="E10" s="555"/>
      <c r="F10" s="555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556" t="str">
        <f>+VLOOKUP($A11,Master!$D$30:$G$226,4,FALSE)</f>
        <v>Porezi</v>
      </c>
      <c r="C11" s="557"/>
      <c r="D11" s="557"/>
      <c r="E11" s="557"/>
      <c r="F11" s="557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58" t="str">
        <f>+VLOOKUP($A12,Master!$D$30:$G$226,4,FALSE)</f>
        <v>Porez na dohodak fizičkih lica</v>
      </c>
      <c r="C12" s="559"/>
      <c r="D12" s="559"/>
      <c r="E12" s="559"/>
      <c r="F12" s="559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58" t="str">
        <f>+VLOOKUP($A13,Master!$D$30:$G$226,4,FALSE)</f>
        <v>Porez na dobit pravnih lica</v>
      </c>
      <c r="C13" s="559"/>
      <c r="D13" s="559"/>
      <c r="E13" s="559"/>
      <c r="F13" s="559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58" t="str">
        <f>+VLOOKUP($A14,Master!$D$30:$G$226,4,FALSE)</f>
        <v>Porez na promet nepokretnosti</v>
      </c>
      <c r="C14" s="559"/>
      <c r="D14" s="559"/>
      <c r="E14" s="559"/>
      <c r="F14" s="559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58" t="str">
        <f>+VLOOKUP($A15,Master!$D$30:$G$226,4,FALSE)</f>
        <v>Porez na dodatu vrijednost</v>
      </c>
      <c r="C15" s="559"/>
      <c r="D15" s="559"/>
      <c r="E15" s="559"/>
      <c r="F15" s="559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58" t="str">
        <f>+VLOOKUP($A16,Master!$D$30:$G$226,4,FALSE)</f>
        <v>Akcize</v>
      </c>
      <c r="C16" s="559"/>
      <c r="D16" s="559"/>
      <c r="E16" s="559"/>
      <c r="F16" s="559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58" t="str">
        <f>+VLOOKUP($A17,Master!$D$30:$G$226,4,FALSE)</f>
        <v>Porez na međunarodnu trgovinu i transakcije</v>
      </c>
      <c r="C17" s="559"/>
      <c r="D17" s="559"/>
      <c r="E17" s="559"/>
      <c r="F17" s="559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58" t="e">
        <f>+VLOOKUP($A18,Master!$D$30:$G$226,4,FALSE)</f>
        <v>#N/A</v>
      </c>
      <c r="C18" s="559"/>
      <c r="D18" s="559"/>
      <c r="E18" s="559"/>
      <c r="F18" s="559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58" t="str">
        <f>+VLOOKUP($A19,Master!$D$30:$G$226,4,FALSE)</f>
        <v>Ostali državni porezi</v>
      </c>
      <c r="C19" s="559"/>
      <c r="D19" s="559"/>
      <c r="E19" s="559"/>
      <c r="F19" s="559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562" t="str">
        <f>+VLOOKUP($A20,Master!$D$30:$G$226,4,FALSE)</f>
        <v>Doprinosi</v>
      </c>
      <c r="C20" s="563"/>
      <c r="D20" s="563"/>
      <c r="E20" s="563"/>
      <c r="F20" s="563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58" t="str">
        <f>+VLOOKUP($A21,Master!$D$30:$G$226,4,FALSE)</f>
        <v>Doprinosi za penzijsko i invalidsko osiguranje</v>
      </c>
      <c r="C21" s="559"/>
      <c r="D21" s="559"/>
      <c r="E21" s="559"/>
      <c r="F21" s="559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58" t="str">
        <f>+VLOOKUP($A22,Master!$D$30:$G$226,4,FALSE)</f>
        <v>Doprinosi za zdravstveno osiguranje</v>
      </c>
      <c r="C22" s="559"/>
      <c r="D22" s="559"/>
      <c r="E22" s="559"/>
      <c r="F22" s="559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58" t="str">
        <f>+VLOOKUP($A23,Master!$D$30:$G$226,4,FALSE)</f>
        <v>Doprinosi za osiguranje od nezaposlenosti</v>
      </c>
      <c r="C23" s="559"/>
      <c r="D23" s="559"/>
      <c r="E23" s="559"/>
      <c r="F23" s="559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58" t="str">
        <f>+VLOOKUP($A24,Master!$D$30:$G$226,4,FALSE)</f>
        <v>Ostali doprinosi</v>
      </c>
      <c r="C24" s="559"/>
      <c r="D24" s="559"/>
      <c r="E24" s="559"/>
      <c r="F24" s="559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60" t="str">
        <f>+VLOOKUP($A25,Master!$D$30:$G$226,4,FALSE)</f>
        <v>Takse</v>
      </c>
      <c r="C25" s="561"/>
      <c r="D25" s="561"/>
      <c r="E25" s="561"/>
      <c r="F25" s="561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60" t="str">
        <f>+VLOOKUP($A26,Master!$D$30:$G$226,4,FALSE)</f>
        <v>Naknade</v>
      </c>
      <c r="C26" s="561"/>
      <c r="D26" s="561"/>
      <c r="E26" s="561"/>
      <c r="F26" s="561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60" t="str">
        <f>+VLOOKUP($A27,Master!$D$30:$G$226,4,FALSE)</f>
        <v>Ostali prihodi</v>
      </c>
      <c r="C27" s="561"/>
      <c r="D27" s="561"/>
      <c r="E27" s="561"/>
      <c r="F27" s="561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60" t="str">
        <f>+VLOOKUP($A28,Master!$D$30:$G$226,4,FALSE)</f>
        <v>Primici od otplate kredita i sredstva prenesena iz prethodne godine</v>
      </c>
      <c r="C28" s="561"/>
      <c r="D28" s="561"/>
      <c r="E28" s="561"/>
      <c r="F28" s="561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564" t="str">
        <f>+VLOOKUP($A29,Master!$D$30:$G$226,4,FALSE)</f>
        <v>Donacije i transferi</v>
      </c>
      <c r="C29" s="565"/>
      <c r="D29" s="565"/>
      <c r="E29" s="565"/>
      <c r="F29" s="565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66" t="str">
        <f>+VLOOKUP($A30,Master!$D$30:$G$226,4,FALSE)</f>
        <v>Izdaci budžeta</v>
      </c>
      <c r="C30" s="567"/>
      <c r="D30" s="567"/>
      <c r="E30" s="567"/>
      <c r="F30" s="567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568" t="str">
        <f>+VLOOKUP($A31,Master!$D$30:$G$226,4,FALSE)</f>
        <v>Tekući izdaci</v>
      </c>
      <c r="C31" s="569"/>
      <c r="D31" s="569"/>
      <c r="E31" s="569"/>
      <c r="F31" s="569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570" t="str">
        <f>+VLOOKUP($A32,Master!$D$30:$G$226,4,FALSE)</f>
        <v>Tekuća budžetska potrošnja</v>
      </c>
      <c r="C32" s="571"/>
      <c r="D32" s="571"/>
      <c r="E32" s="571"/>
      <c r="F32" s="571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58" t="str">
        <f>+VLOOKUP($A33,Master!$D$30:$G$226,4,FALSE)</f>
        <v>Bruto zarade i doprinosi na teret poslodavca</v>
      </c>
      <c r="C33" s="559"/>
      <c r="D33" s="559"/>
      <c r="E33" s="559"/>
      <c r="F33" s="559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58" t="str">
        <f>+VLOOKUP($A34,Master!$D$30:$G$226,4,FALSE)</f>
        <v>Ostala lična primanja</v>
      </c>
      <c r="C34" s="559"/>
      <c r="D34" s="559"/>
      <c r="E34" s="559"/>
      <c r="F34" s="559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58" t="str">
        <f>+VLOOKUP($A35,Master!$D$30:$G$226,4,FALSE)</f>
        <v>Rashodi za materijal</v>
      </c>
      <c r="C35" s="559"/>
      <c r="D35" s="559"/>
      <c r="E35" s="559"/>
      <c r="F35" s="559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58" t="str">
        <f>+VLOOKUP($A36,Master!$D$30:$G$226,4,FALSE)</f>
        <v>Rashodi za usluge</v>
      </c>
      <c r="C36" s="559"/>
      <c r="D36" s="559"/>
      <c r="E36" s="559"/>
      <c r="F36" s="559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58" t="str">
        <f>+VLOOKUP($A37,Master!$D$30:$G$226,4,FALSE)</f>
        <v>Rashodi za tekuće održavanje</v>
      </c>
      <c r="C37" s="559"/>
      <c r="D37" s="559"/>
      <c r="E37" s="559"/>
      <c r="F37" s="559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58" t="str">
        <f>+VLOOKUP($A38,Master!$D$30:$G$226,4,FALSE)</f>
        <v>Kamate</v>
      </c>
      <c r="C38" s="559"/>
      <c r="D38" s="559"/>
      <c r="E38" s="559"/>
      <c r="F38" s="559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58" t="str">
        <f>+VLOOKUP($A39,Master!$D$30:$G$226,4,FALSE)</f>
        <v>Renta</v>
      </c>
      <c r="C39" s="559"/>
      <c r="D39" s="559"/>
      <c r="E39" s="559"/>
      <c r="F39" s="559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58" t="str">
        <f>+VLOOKUP($A40,Master!$D$30:$G$226,4,FALSE)</f>
        <v>Subvencije</v>
      </c>
      <c r="C40" s="559"/>
      <c r="D40" s="559"/>
      <c r="E40" s="559"/>
      <c r="F40" s="559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58" t="str">
        <f>+VLOOKUP($A41,Master!$D$30:$G$226,4,FALSE)</f>
        <v>Ostali izdaci</v>
      </c>
      <c r="C41" s="559"/>
      <c r="D41" s="559"/>
      <c r="E41" s="559"/>
      <c r="F41" s="559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58" t="e">
        <f>+VLOOKUP($A42,Master!$D$30:$G$226,4,FALSE)</f>
        <v>#N/A</v>
      </c>
      <c r="C42" s="559"/>
      <c r="D42" s="559"/>
      <c r="E42" s="559"/>
      <c r="F42" s="559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74" t="str">
        <f>+VLOOKUP($A43,Master!$D$30:$G$226,4,FALSE)</f>
        <v>Transferi za socijalnu zaštitu</v>
      </c>
      <c r="C43" s="575"/>
      <c r="D43" s="575"/>
      <c r="E43" s="575"/>
      <c r="F43" s="575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58" t="str">
        <f>+VLOOKUP($A44,Master!$D$30:$G$226,4,FALSE)</f>
        <v>Prava iz oblasti socijalne zaštite</v>
      </c>
      <c r="C44" s="559"/>
      <c r="D44" s="559"/>
      <c r="E44" s="559"/>
      <c r="F44" s="559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58" t="str">
        <f>+VLOOKUP($A45,Master!$D$30:$G$226,4,FALSE)</f>
        <v>Sredstva za tehnološke viškove</v>
      </c>
      <c r="C45" s="559"/>
      <c r="D45" s="559"/>
      <c r="E45" s="559"/>
      <c r="F45" s="559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58" t="str">
        <f>+VLOOKUP($A46,Master!$D$30:$G$226,4,FALSE)</f>
        <v>Prava iz oblasti penzijskog i invalidskog osiguranja</v>
      </c>
      <c r="C46" s="559"/>
      <c r="D46" s="559"/>
      <c r="E46" s="559"/>
      <c r="F46" s="559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58" t="str">
        <f>+VLOOKUP($A47,Master!$D$30:$G$226,4,FALSE)</f>
        <v>Ostala prava iz oblasti zdravstvene zaštite</v>
      </c>
      <c r="C47" s="559"/>
      <c r="D47" s="559"/>
      <c r="E47" s="559"/>
      <c r="F47" s="559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58" t="str">
        <f>+VLOOKUP($A48,Master!$D$30:$G$226,4,FALSE)</f>
        <v>Ostala prava iz zdravstvenog osiguranja</v>
      </c>
      <c r="C48" s="559"/>
      <c r="D48" s="559"/>
      <c r="E48" s="559"/>
      <c r="F48" s="559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72" t="str">
        <f>+VLOOKUP($A49,Master!$D$30:$G$226,4,FALSE)</f>
        <v xml:space="preserve">Transferi institucijama, pojedincima, nevladinom i javnom sektoru </v>
      </c>
      <c r="C49" s="573"/>
      <c r="D49" s="573"/>
      <c r="E49" s="573"/>
      <c r="F49" s="573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72" t="str">
        <f>+VLOOKUP($A50,Master!$D$30:$G$226,4,FALSE)</f>
        <v>Kapitalni izdaci</v>
      </c>
      <c r="C50" s="573"/>
      <c r="D50" s="573"/>
      <c r="E50" s="573"/>
      <c r="F50" s="573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76" t="str">
        <f>+VLOOKUP($A51,Master!$D$30:$G$226,4,FALSE)</f>
        <v>Pozajmice i krediti</v>
      </c>
      <c r="C51" s="577"/>
      <c r="D51" s="577"/>
      <c r="E51" s="577"/>
      <c r="F51" s="577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76" t="str">
        <f>+VLOOKUP($A52,Master!$D$30:$G$226,4,FALSE)</f>
        <v>Rezerve</v>
      </c>
      <c r="C52" s="577"/>
      <c r="D52" s="577"/>
      <c r="E52" s="577"/>
      <c r="F52" s="577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78" t="str">
        <f>+VLOOKUP($A53,Master!$D$30:$G$226,4,FALSE)</f>
        <v>Otplata garancija</v>
      </c>
      <c r="C53" s="579"/>
      <c r="D53" s="579"/>
      <c r="E53" s="579"/>
      <c r="F53" s="579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78" t="str">
        <f>+VLOOKUP($A54,Master!$D$30:$G$226,4,FALSE)</f>
        <v>Otplata obaveza iz prethodnog perioda</v>
      </c>
      <c r="C54" s="579"/>
      <c r="D54" s="579"/>
      <c r="E54" s="579"/>
      <c r="F54" s="579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78" t="str">
        <f>+VLOOKUP($A55,Master!$D$30:$G$228,4,FALSE)</f>
        <v>Neto povećanje obaveza</v>
      </c>
      <c r="C55" s="579"/>
      <c r="D55" s="579"/>
      <c r="E55" s="579"/>
      <c r="F55" s="579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80" t="str">
        <f>+VLOOKUP($A56,Master!$D$30:$G$226,4,FALSE)</f>
        <v>Suficit / deficit</v>
      </c>
      <c r="C56" s="581"/>
      <c r="D56" s="581"/>
      <c r="E56" s="581"/>
      <c r="F56" s="581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82" t="str">
        <f>+VLOOKUP($A57,Master!$D$30:$G$226,4,FALSE)</f>
        <v>Primarni suficit/deficit</v>
      </c>
      <c r="C57" s="583"/>
      <c r="D57" s="583"/>
      <c r="E57" s="583"/>
      <c r="F57" s="583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74" t="str">
        <f>+VLOOKUP($A58,Master!$D$30:$G$226,4,FALSE)</f>
        <v>Otplata dugova</v>
      </c>
      <c r="C58" s="575"/>
      <c r="D58" s="575"/>
      <c r="E58" s="575"/>
      <c r="F58" s="575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600" t="str">
        <f>+VLOOKUP($A59,Master!$D$30:$G$226,4,FALSE)</f>
        <v>Otplata hartija od vrijednosti i kredita rezidentima</v>
      </c>
      <c r="C59" s="601"/>
      <c r="D59" s="601"/>
      <c r="E59" s="601"/>
      <c r="F59" s="601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76" t="str">
        <f>+VLOOKUP($A60,Master!$D$30:$G$226,4,FALSE)</f>
        <v>Otplata hartija od vrijednosti i kredita nerezidentima</v>
      </c>
      <c r="C60" s="577"/>
      <c r="D60" s="577"/>
      <c r="E60" s="577"/>
      <c r="F60" s="577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602" t="str">
        <f>+VLOOKUP($A62,Master!$D$30:$G$226,4,FALSE)</f>
        <v>Nedostajuća sredstva</v>
      </c>
      <c r="C62" s="603"/>
      <c r="D62" s="603"/>
      <c r="E62" s="603"/>
      <c r="F62" s="603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66" t="str">
        <f>+VLOOKUP($A63,Master!$D$30:$G$226,4,FALSE)</f>
        <v>Finansiranje</v>
      </c>
      <c r="C63" s="567"/>
      <c r="D63" s="567"/>
      <c r="E63" s="567"/>
      <c r="F63" s="567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600" t="str">
        <f>+VLOOKUP($A64,Master!$D$30:$G$226,4,FALSE)</f>
        <v>Pozajmice i krediti od domaćih izvora</v>
      </c>
      <c r="C64" s="601"/>
      <c r="D64" s="601"/>
      <c r="E64" s="601"/>
      <c r="F64" s="601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76" t="str">
        <f>+VLOOKUP($A65,Master!$D$30:$G$226,4,FALSE)</f>
        <v>Pozajmice i krediti od inostranih izvora</v>
      </c>
      <c r="C65" s="577"/>
      <c r="D65" s="577"/>
      <c r="E65" s="577"/>
      <c r="F65" s="577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76" t="str">
        <f>+VLOOKUP($A66,Master!$D$30:$G$226,4,FALSE)</f>
        <v>Primici od prodaje imovine</v>
      </c>
      <c r="C66" s="577"/>
      <c r="D66" s="577"/>
      <c r="E66" s="577"/>
      <c r="F66" s="577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86" t="s">
        <v>553</v>
      </c>
      <c r="C7" s="587"/>
      <c r="D7" s="587"/>
      <c r="E7" s="587"/>
      <c r="F7" s="587"/>
      <c r="G7" s="595">
        <v>2018</v>
      </c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9"/>
      <c r="S7" s="220" t="s">
        <v>419</v>
      </c>
      <c r="T7" s="221">
        <v>4663130000</v>
      </c>
    </row>
    <row r="8" spans="1:20" ht="16.5" customHeight="1">
      <c r="A8" s="129"/>
      <c r="B8" s="588"/>
      <c r="C8" s="589"/>
      <c r="D8" s="589"/>
      <c r="E8" s="589"/>
      <c r="F8" s="590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95" t="s">
        <v>806</v>
      </c>
      <c r="T8" s="599"/>
    </row>
    <row r="9" spans="1:20" ht="13.5" thickBot="1">
      <c r="A9" s="129"/>
      <c r="B9" s="591"/>
      <c r="C9" s="592"/>
      <c r="D9" s="592"/>
      <c r="E9" s="592"/>
      <c r="F9" s="59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54" t="s">
        <v>680</v>
      </c>
      <c r="C10" s="555"/>
      <c r="D10" s="555"/>
      <c r="E10" s="555"/>
      <c r="F10" s="555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556" t="s">
        <v>21</v>
      </c>
      <c r="C11" s="557"/>
      <c r="D11" s="557"/>
      <c r="E11" s="557"/>
      <c r="F11" s="557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58" t="s">
        <v>23</v>
      </c>
      <c r="C12" s="559"/>
      <c r="D12" s="559"/>
      <c r="E12" s="559"/>
      <c r="F12" s="559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58" t="s">
        <v>25</v>
      </c>
      <c r="C13" s="559"/>
      <c r="D13" s="559"/>
      <c r="E13" s="559"/>
      <c r="F13" s="559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58" t="s">
        <v>27</v>
      </c>
      <c r="C14" s="559"/>
      <c r="D14" s="559"/>
      <c r="E14" s="559"/>
      <c r="F14" s="559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58" t="s">
        <v>29</v>
      </c>
      <c r="C15" s="559"/>
      <c r="D15" s="559"/>
      <c r="E15" s="559"/>
      <c r="F15" s="559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58" t="s">
        <v>31</v>
      </c>
      <c r="C16" s="559"/>
      <c r="D16" s="559"/>
      <c r="E16" s="559"/>
      <c r="F16" s="559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58" t="s">
        <v>33</v>
      </c>
      <c r="C17" s="559"/>
      <c r="D17" s="559"/>
      <c r="E17" s="559"/>
      <c r="F17" s="559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58" t="s">
        <v>721</v>
      </c>
      <c r="C18" s="559"/>
      <c r="D18" s="559"/>
      <c r="E18" s="559"/>
      <c r="F18" s="559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562" t="s">
        <v>37</v>
      </c>
      <c r="C19" s="563"/>
      <c r="D19" s="563"/>
      <c r="E19" s="563"/>
      <c r="F19" s="563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58" t="s">
        <v>39</v>
      </c>
      <c r="C20" s="559"/>
      <c r="D20" s="559"/>
      <c r="E20" s="559"/>
      <c r="F20" s="559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58" t="s">
        <v>41</v>
      </c>
      <c r="C21" s="559"/>
      <c r="D21" s="559"/>
      <c r="E21" s="559"/>
      <c r="F21" s="559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58" t="s">
        <v>43</v>
      </c>
      <c r="C22" s="559"/>
      <c r="D22" s="559"/>
      <c r="E22" s="559"/>
      <c r="F22" s="559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58" t="s">
        <v>45</v>
      </c>
      <c r="C23" s="559"/>
      <c r="D23" s="559"/>
      <c r="E23" s="559"/>
      <c r="F23" s="559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60" t="s">
        <v>47</v>
      </c>
      <c r="C24" s="561"/>
      <c r="D24" s="561"/>
      <c r="E24" s="561"/>
      <c r="F24" s="561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60" t="s">
        <v>61</v>
      </c>
      <c r="C25" s="561"/>
      <c r="D25" s="561"/>
      <c r="E25" s="561"/>
      <c r="F25" s="561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60" t="s">
        <v>81</v>
      </c>
      <c r="C26" s="561"/>
      <c r="D26" s="561"/>
      <c r="E26" s="561"/>
      <c r="F26" s="561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60" t="s">
        <v>99</v>
      </c>
      <c r="C27" s="561"/>
      <c r="D27" s="561"/>
      <c r="E27" s="561"/>
      <c r="F27" s="561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564" t="s">
        <v>105</v>
      </c>
      <c r="C28" s="565"/>
      <c r="D28" s="565"/>
      <c r="E28" s="565"/>
      <c r="F28" s="565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66" t="s">
        <v>801</v>
      </c>
      <c r="C29" s="567"/>
      <c r="D29" s="567"/>
      <c r="E29" s="567"/>
      <c r="F29" s="567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568" t="s">
        <v>773</v>
      </c>
      <c r="C30" s="569"/>
      <c r="D30" s="569"/>
      <c r="E30" s="569"/>
      <c r="F30" s="569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570" t="s">
        <v>120</v>
      </c>
      <c r="C31" s="571"/>
      <c r="D31" s="571"/>
      <c r="E31" s="571"/>
      <c r="F31" s="571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58" t="s">
        <v>122</v>
      </c>
      <c r="C32" s="559"/>
      <c r="D32" s="559"/>
      <c r="E32" s="559"/>
      <c r="F32" s="559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58" t="s">
        <v>133</v>
      </c>
      <c r="C33" s="559"/>
      <c r="D33" s="559"/>
      <c r="E33" s="559"/>
      <c r="F33" s="559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58" t="s">
        <v>148</v>
      </c>
      <c r="C34" s="559"/>
      <c r="D34" s="559"/>
      <c r="E34" s="559"/>
      <c r="F34" s="559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58" t="s">
        <v>162</v>
      </c>
      <c r="C35" s="559"/>
      <c r="D35" s="559"/>
      <c r="E35" s="559"/>
      <c r="F35" s="559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58" t="s">
        <v>182</v>
      </c>
      <c r="C36" s="559"/>
      <c r="D36" s="559"/>
      <c r="E36" s="559"/>
      <c r="F36" s="559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58" t="s">
        <v>190</v>
      </c>
      <c r="C37" s="559"/>
      <c r="D37" s="559"/>
      <c r="E37" s="559"/>
      <c r="F37" s="559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58" t="s">
        <v>196</v>
      </c>
      <c r="C38" s="559"/>
      <c r="D38" s="559"/>
      <c r="E38" s="559"/>
      <c r="F38" s="559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58" t="s">
        <v>204</v>
      </c>
      <c r="C39" s="559"/>
      <c r="D39" s="559"/>
      <c r="E39" s="559"/>
      <c r="F39" s="559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58" t="s">
        <v>212</v>
      </c>
      <c r="C40" s="559"/>
      <c r="D40" s="559"/>
      <c r="E40" s="559"/>
      <c r="F40" s="559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58" t="s">
        <v>802</v>
      </c>
      <c r="C41" s="559"/>
      <c r="D41" s="559"/>
      <c r="E41" s="559"/>
      <c r="F41" s="559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74" t="s">
        <v>230</v>
      </c>
      <c r="C42" s="575"/>
      <c r="D42" s="575"/>
      <c r="E42" s="575"/>
      <c r="F42" s="575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58" t="s">
        <v>232</v>
      </c>
      <c r="C43" s="559"/>
      <c r="D43" s="559"/>
      <c r="E43" s="559"/>
      <c r="F43" s="559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58" t="s">
        <v>248</v>
      </c>
      <c r="C44" s="559"/>
      <c r="D44" s="559"/>
      <c r="E44" s="559"/>
      <c r="F44" s="559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58" t="s">
        <v>259</v>
      </c>
      <c r="C45" s="559"/>
      <c r="D45" s="559"/>
      <c r="E45" s="559"/>
      <c r="F45" s="559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58" t="s">
        <v>274</v>
      </c>
      <c r="C46" s="559"/>
      <c r="D46" s="559"/>
      <c r="E46" s="559"/>
      <c r="F46" s="559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65" t="s">
        <v>278</v>
      </c>
      <c r="C47" s="666"/>
      <c r="D47" s="666"/>
      <c r="E47" s="666"/>
      <c r="F47" s="666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72" t="s">
        <v>286</v>
      </c>
      <c r="C48" s="573"/>
      <c r="D48" s="573"/>
      <c r="E48" s="573"/>
      <c r="F48" s="573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72" t="s">
        <v>320</v>
      </c>
      <c r="C49" s="573"/>
      <c r="D49" s="573"/>
      <c r="E49" s="573"/>
      <c r="F49" s="573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51" t="s">
        <v>113</v>
      </c>
      <c r="C50" s="652"/>
      <c r="D50" s="652"/>
      <c r="E50" s="652"/>
      <c r="F50" s="652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76" t="s">
        <v>366</v>
      </c>
      <c r="C51" s="577"/>
      <c r="D51" s="577"/>
      <c r="E51" s="577"/>
      <c r="F51" s="577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78" t="s">
        <v>359</v>
      </c>
      <c r="C52" s="579"/>
      <c r="D52" s="579"/>
      <c r="E52" s="579"/>
      <c r="F52" s="579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45" t="s">
        <v>794</v>
      </c>
      <c r="C53" s="646"/>
      <c r="D53" s="646"/>
      <c r="E53" s="646"/>
      <c r="F53" s="646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47" t="s">
        <v>684</v>
      </c>
      <c r="C54" s="648"/>
      <c r="D54" s="648"/>
      <c r="E54" s="648"/>
      <c r="F54" s="648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80" t="s">
        <v>545</v>
      </c>
      <c r="C55" s="581"/>
      <c r="D55" s="581"/>
      <c r="E55" s="581"/>
      <c r="F55" s="581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82" t="s">
        <v>793</v>
      </c>
      <c r="C57" s="583"/>
      <c r="D57" s="583"/>
      <c r="E57" s="583"/>
      <c r="F57" s="583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04" t="s">
        <v>352</v>
      </c>
      <c r="C58" s="605"/>
      <c r="D58" s="605"/>
      <c r="E58" s="605"/>
      <c r="F58" s="605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600" t="s">
        <v>355</v>
      </c>
      <c r="C59" s="601"/>
      <c r="D59" s="601"/>
      <c r="E59" s="601"/>
      <c r="F59" s="601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76" t="s">
        <v>357</v>
      </c>
      <c r="C60" s="577"/>
      <c r="D60" s="577"/>
      <c r="E60" s="577"/>
      <c r="F60" s="577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67" t="s">
        <v>336</v>
      </c>
      <c r="C61" s="668"/>
      <c r="D61" s="668"/>
      <c r="E61" s="668"/>
      <c r="F61" s="668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602" t="s">
        <v>543</v>
      </c>
      <c r="C62" s="603"/>
      <c r="D62" s="603"/>
      <c r="E62" s="603"/>
      <c r="F62" s="603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66" t="s">
        <v>544</v>
      </c>
      <c r="C63" s="567"/>
      <c r="D63" s="567"/>
      <c r="E63" s="567"/>
      <c r="F63" s="567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600" t="s">
        <v>114</v>
      </c>
      <c r="C64" s="601"/>
      <c r="D64" s="601"/>
      <c r="E64" s="601"/>
      <c r="F64" s="601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76" t="s">
        <v>116</v>
      </c>
      <c r="C65" s="577"/>
      <c r="D65" s="577"/>
      <c r="E65" s="577"/>
      <c r="F65" s="577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76" t="s">
        <v>93</v>
      </c>
      <c r="C66" s="577"/>
      <c r="D66" s="577"/>
      <c r="E66" s="577"/>
      <c r="F66" s="577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32" t="s">
        <v>551</v>
      </c>
      <c r="C103" s="633"/>
      <c r="D103" s="633"/>
      <c r="E103" s="633"/>
      <c r="F103" s="633"/>
      <c r="G103" s="640">
        <v>2018</v>
      </c>
      <c r="H103" s="641"/>
      <c r="I103" s="641"/>
      <c r="J103" s="641"/>
      <c r="K103" s="641"/>
      <c r="L103" s="641"/>
      <c r="M103" s="641"/>
      <c r="N103" s="641"/>
      <c r="O103" s="641"/>
      <c r="P103" s="641"/>
      <c r="Q103" s="641"/>
      <c r="R103" s="642"/>
      <c r="S103" s="96" t="str">
        <f>+S7</f>
        <v>BDP</v>
      </c>
      <c r="T103" s="97">
        <f>+T7</f>
        <v>4663130000</v>
      </c>
    </row>
    <row r="104" spans="1:21" ht="15.75" customHeight="1">
      <c r="B104" s="634"/>
      <c r="C104" s="635"/>
      <c r="D104" s="635"/>
      <c r="E104" s="635"/>
      <c r="F104" s="636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40" t="s">
        <v>806</v>
      </c>
      <c r="T104" s="642">
        <f>+T8</f>
        <v>0</v>
      </c>
    </row>
    <row r="105" spans="1:21" ht="13.5" thickBot="1">
      <c r="B105" s="637"/>
      <c r="C105" s="638"/>
      <c r="D105" s="638"/>
      <c r="E105" s="638"/>
      <c r="F105" s="639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55" t="s">
        <v>680</v>
      </c>
      <c r="C106" s="656"/>
      <c r="D106" s="656"/>
      <c r="E106" s="656"/>
      <c r="F106" s="656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30" t="s">
        <v>21</v>
      </c>
      <c r="C107" s="631"/>
      <c r="D107" s="631"/>
      <c r="E107" s="631"/>
      <c r="F107" s="631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22" t="s">
        <v>23</v>
      </c>
      <c r="C108" s="623"/>
      <c r="D108" s="623"/>
      <c r="E108" s="623"/>
      <c r="F108" s="623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22" t="s">
        <v>25</v>
      </c>
      <c r="C109" s="623"/>
      <c r="D109" s="623"/>
      <c r="E109" s="623"/>
      <c r="F109" s="623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22" t="s">
        <v>27</v>
      </c>
      <c r="C110" s="623"/>
      <c r="D110" s="623"/>
      <c r="E110" s="623"/>
      <c r="F110" s="623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22" t="s">
        <v>29</v>
      </c>
      <c r="C111" s="623"/>
      <c r="D111" s="623"/>
      <c r="E111" s="623"/>
      <c r="F111" s="623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22" t="s">
        <v>31</v>
      </c>
      <c r="C112" s="623"/>
      <c r="D112" s="623"/>
      <c r="E112" s="623"/>
      <c r="F112" s="623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22" t="s">
        <v>33</v>
      </c>
      <c r="C113" s="623"/>
      <c r="D113" s="623"/>
      <c r="E113" s="623"/>
      <c r="F113" s="623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22" t="s">
        <v>721</v>
      </c>
      <c r="C114" s="623"/>
      <c r="D114" s="623"/>
      <c r="E114" s="623"/>
      <c r="F114" s="623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57" t="s">
        <v>37</v>
      </c>
      <c r="C115" s="658"/>
      <c r="D115" s="658"/>
      <c r="E115" s="658"/>
      <c r="F115" s="658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22" t="s">
        <v>39</v>
      </c>
      <c r="C116" s="623"/>
      <c r="D116" s="623"/>
      <c r="E116" s="623"/>
      <c r="F116" s="623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22" t="s">
        <v>41</v>
      </c>
      <c r="C117" s="623"/>
      <c r="D117" s="623"/>
      <c r="E117" s="623"/>
      <c r="F117" s="623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22" t="s">
        <v>43</v>
      </c>
      <c r="C118" s="623"/>
      <c r="D118" s="623"/>
      <c r="E118" s="623"/>
      <c r="F118" s="623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22" t="s">
        <v>45</v>
      </c>
      <c r="C119" s="623"/>
      <c r="D119" s="623"/>
      <c r="E119" s="623"/>
      <c r="F119" s="623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28" t="s">
        <v>47</v>
      </c>
      <c r="C120" s="629"/>
      <c r="D120" s="629"/>
      <c r="E120" s="629"/>
      <c r="F120" s="629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28" t="s">
        <v>61</v>
      </c>
      <c r="C121" s="629"/>
      <c r="D121" s="629"/>
      <c r="E121" s="629"/>
      <c r="F121" s="629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28" t="s">
        <v>81</v>
      </c>
      <c r="C122" s="629"/>
      <c r="D122" s="629"/>
      <c r="E122" s="629"/>
      <c r="F122" s="629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28" t="s">
        <v>99</v>
      </c>
      <c r="C123" s="629"/>
      <c r="D123" s="629"/>
      <c r="E123" s="629"/>
      <c r="F123" s="629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24" t="s">
        <v>105</v>
      </c>
      <c r="C124" s="625"/>
      <c r="D124" s="625"/>
      <c r="E124" s="625"/>
      <c r="F124" s="625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06" t="s">
        <v>808</v>
      </c>
      <c r="C125" s="607"/>
      <c r="D125" s="607"/>
      <c r="E125" s="607"/>
      <c r="F125" s="607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61" t="s">
        <v>773</v>
      </c>
      <c r="C126" s="662"/>
      <c r="D126" s="662"/>
      <c r="E126" s="662"/>
      <c r="F126" s="662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26" t="s">
        <v>120</v>
      </c>
      <c r="C127" s="627"/>
      <c r="D127" s="627"/>
      <c r="E127" s="627"/>
      <c r="F127" s="627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22" t="s">
        <v>122</v>
      </c>
      <c r="C128" s="623"/>
      <c r="D128" s="623"/>
      <c r="E128" s="623"/>
      <c r="F128" s="623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22" t="s">
        <v>133</v>
      </c>
      <c r="C129" s="623"/>
      <c r="D129" s="623"/>
      <c r="E129" s="623"/>
      <c r="F129" s="623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22" t="s">
        <v>148</v>
      </c>
      <c r="C130" s="623"/>
      <c r="D130" s="623"/>
      <c r="E130" s="623"/>
      <c r="F130" s="623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22" t="s">
        <v>162</v>
      </c>
      <c r="C131" s="623"/>
      <c r="D131" s="623"/>
      <c r="E131" s="623"/>
      <c r="F131" s="623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22" t="s">
        <v>182</v>
      </c>
      <c r="C132" s="623"/>
      <c r="D132" s="623"/>
      <c r="E132" s="623"/>
      <c r="F132" s="623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22" t="s">
        <v>190</v>
      </c>
      <c r="C133" s="623"/>
      <c r="D133" s="623"/>
      <c r="E133" s="623"/>
      <c r="F133" s="623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22" t="s">
        <v>196</v>
      </c>
      <c r="C134" s="623"/>
      <c r="D134" s="623"/>
      <c r="E134" s="623"/>
      <c r="F134" s="623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22" t="s">
        <v>204</v>
      </c>
      <c r="C135" s="623"/>
      <c r="D135" s="623"/>
      <c r="E135" s="623"/>
      <c r="F135" s="623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22" t="s">
        <v>212</v>
      </c>
      <c r="C136" s="623"/>
      <c r="D136" s="623"/>
      <c r="E136" s="623"/>
      <c r="F136" s="623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22" t="s">
        <v>802</v>
      </c>
      <c r="C137" s="623"/>
      <c r="D137" s="623"/>
      <c r="E137" s="623"/>
      <c r="F137" s="623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18" t="s">
        <v>230</v>
      </c>
      <c r="C138" s="619"/>
      <c r="D138" s="619"/>
      <c r="E138" s="619"/>
      <c r="F138" s="619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22" t="s">
        <v>232</v>
      </c>
      <c r="C139" s="623"/>
      <c r="D139" s="623"/>
      <c r="E139" s="623"/>
      <c r="F139" s="623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22" t="s">
        <v>248</v>
      </c>
      <c r="C140" s="623"/>
      <c r="D140" s="623"/>
      <c r="E140" s="623"/>
      <c r="F140" s="623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22" t="s">
        <v>259</v>
      </c>
      <c r="C141" s="623"/>
      <c r="D141" s="623"/>
      <c r="E141" s="623"/>
      <c r="F141" s="623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22" t="s">
        <v>274</v>
      </c>
      <c r="C142" s="623"/>
      <c r="D142" s="623"/>
      <c r="E142" s="623"/>
      <c r="F142" s="623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22" t="s">
        <v>278</v>
      </c>
      <c r="C143" s="623"/>
      <c r="D143" s="623"/>
      <c r="E143" s="623"/>
      <c r="F143" s="623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20" t="s">
        <v>286</v>
      </c>
      <c r="C144" s="621"/>
      <c r="D144" s="621"/>
      <c r="E144" s="621"/>
      <c r="F144" s="621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20" t="s">
        <v>809</v>
      </c>
      <c r="C145" s="621"/>
      <c r="D145" s="621"/>
      <c r="E145" s="621"/>
      <c r="F145" s="621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12" t="s">
        <v>113</v>
      </c>
      <c r="C146" s="613"/>
      <c r="D146" s="613"/>
      <c r="E146" s="613"/>
      <c r="F146" s="613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12" t="s">
        <v>366</v>
      </c>
      <c r="C147" s="613"/>
      <c r="D147" s="613"/>
      <c r="E147" s="613"/>
      <c r="F147" s="613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12" t="s">
        <v>359</v>
      </c>
      <c r="C148" s="613"/>
      <c r="D148" s="613"/>
      <c r="E148" s="613"/>
      <c r="F148" s="613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14" t="s">
        <v>545</v>
      </c>
      <c r="C150" s="615"/>
      <c r="D150" s="615"/>
      <c r="E150" s="615"/>
      <c r="F150" s="615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16" t="s">
        <v>810</v>
      </c>
      <c r="C151" s="617"/>
      <c r="D151" s="617"/>
      <c r="E151" s="617"/>
      <c r="F151" s="617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18" t="s">
        <v>352</v>
      </c>
      <c r="C152" s="619"/>
      <c r="D152" s="619"/>
      <c r="E152" s="619"/>
      <c r="F152" s="619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10" t="s">
        <v>355</v>
      </c>
      <c r="C153" s="611"/>
      <c r="D153" s="611"/>
      <c r="E153" s="611"/>
      <c r="F153" s="611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12" t="s">
        <v>357</v>
      </c>
      <c r="C154" s="613"/>
      <c r="D154" s="613"/>
      <c r="E154" s="613"/>
      <c r="F154" s="613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12" t="s">
        <v>365</v>
      </c>
      <c r="C155" s="613"/>
      <c r="D155" s="613"/>
      <c r="E155" s="613"/>
      <c r="F155" s="613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08" t="s">
        <v>543</v>
      </c>
      <c r="C157" s="609"/>
      <c r="D157" s="609"/>
      <c r="E157" s="609"/>
      <c r="F157" s="609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06" t="s">
        <v>544</v>
      </c>
      <c r="C158" s="607"/>
      <c r="D158" s="607"/>
      <c r="E158" s="607"/>
      <c r="F158" s="607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10" t="s">
        <v>114</v>
      </c>
      <c r="C159" s="611"/>
      <c r="D159" s="611"/>
      <c r="E159" s="611"/>
      <c r="F159" s="611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12" t="s">
        <v>116</v>
      </c>
      <c r="C160" s="613"/>
      <c r="D160" s="613"/>
      <c r="E160" s="613"/>
      <c r="F160" s="613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12" t="s">
        <v>93</v>
      </c>
      <c r="C161" s="613"/>
      <c r="D161" s="613"/>
      <c r="E161" s="613"/>
      <c r="F161" s="613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72" t="s">
        <v>554</v>
      </c>
      <c r="F6" s="670">
        <v>2006</v>
      </c>
      <c r="G6" s="669"/>
      <c r="H6" s="669"/>
      <c r="I6" s="669"/>
      <c r="J6" s="669"/>
      <c r="K6" s="669"/>
      <c r="L6" s="669"/>
      <c r="M6" s="669"/>
      <c r="N6" s="669"/>
      <c r="O6" s="669"/>
      <c r="P6" s="669"/>
      <c r="Q6" s="671"/>
      <c r="R6" s="670">
        <v>2007</v>
      </c>
      <c r="S6" s="669"/>
      <c r="T6" s="669"/>
      <c r="U6" s="669"/>
      <c r="V6" s="669"/>
      <c r="W6" s="669"/>
      <c r="X6" s="669"/>
      <c r="Y6" s="669"/>
      <c r="Z6" s="669"/>
      <c r="AA6" s="669"/>
      <c r="AB6" s="669"/>
      <c r="AC6" s="671"/>
      <c r="AD6" s="670">
        <v>2008</v>
      </c>
      <c r="AE6" s="669"/>
      <c r="AF6" s="669"/>
      <c r="AG6" s="669"/>
      <c r="AH6" s="669"/>
      <c r="AI6" s="669"/>
      <c r="AJ6" s="669"/>
      <c r="AK6" s="669"/>
      <c r="AL6" s="669"/>
      <c r="AM6" s="669"/>
      <c r="AN6" s="669"/>
      <c r="AO6" s="671"/>
      <c r="AP6" s="670">
        <v>2009</v>
      </c>
      <c r="AQ6" s="669"/>
      <c r="AR6" s="669"/>
      <c r="AS6" s="669"/>
      <c r="AT6" s="669"/>
      <c r="AU6" s="669"/>
      <c r="AV6" s="669"/>
      <c r="AW6" s="669"/>
      <c r="AX6" s="669"/>
      <c r="AY6" s="669"/>
      <c r="AZ6" s="669"/>
      <c r="BA6" s="671"/>
      <c r="BB6" s="670">
        <v>2010</v>
      </c>
      <c r="BC6" s="669"/>
      <c r="BD6" s="669"/>
      <c r="BE6" s="669"/>
      <c r="BF6" s="669"/>
      <c r="BG6" s="669"/>
      <c r="BH6" s="669"/>
      <c r="BI6" s="669"/>
      <c r="BJ6" s="669"/>
      <c r="BK6" s="669"/>
      <c r="BL6" s="669"/>
      <c r="BM6" s="671"/>
      <c r="BN6" s="670">
        <v>2011</v>
      </c>
      <c r="BO6" s="669"/>
      <c r="BP6" s="669"/>
      <c r="BQ6" s="669"/>
      <c r="BR6" s="669"/>
      <c r="BS6" s="669"/>
      <c r="BT6" s="669"/>
      <c r="BU6" s="669"/>
      <c r="BV6" s="669"/>
      <c r="BW6" s="669"/>
      <c r="BX6" s="669"/>
      <c r="BY6" s="671"/>
      <c r="BZ6" s="669">
        <v>2012</v>
      </c>
      <c r="CA6" s="669"/>
      <c r="CB6" s="669"/>
      <c r="CC6" s="669"/>
      <c r="CD6" s="669"/>
      <c r="CE6" s="669"/>
      <c r="CF6" s="669"/>
      <c r="CG6" s="669"/>
      <c r="CH6" s="669"/>
      <c r="CI6" s="669"/>
      <c r="CJ6" s="669"/>
      <c r="CK6" s="669"/>
      <c r="CL6" s="670">
        <v>2013</v>
      </c>
      <c r="CM6" s="669"/>
      <c r="CN6" s="669"/>
      <c r="CO6" s="669"/>
      <c r="CP6" s="669"/>
      <c r="CQ6" s="669"/>
      <c r="CR6" s="669"/>
      <c r="CS6" s="669"/>
      <c r="CT6" s="669"/>
      <c r="CU6" s="669"/>
      <c r="CV6" s="669"/>
      <c r="CW6" s="671"/>
      <c r="CX6" s="670">
        <v>2014</v>
      </c>
      <c r="CY6" s="669"/>
      <c r="CZ6" s="669"/>
      <c r="DA6" s="669"/>
      <c r="DB6" s="669"/>
      <c r="DC6" s="669"/>
      <c r="DD6" s="669"/>
      <c r="DE6" s="669"/>
      <c r="DF6" s="669"/>
      <c r="DG6" s="669"/>
      <c r="DH6" s="669"/>
      <c r="DI6" s="671"/>
      <c r="DJ6" s="670">
        <v>2015</v>
      </c>
      <c r="DK6" s="669"/>
      <c r="DL6" s="669"/>
      <c r="DM6" s="669"/>
      <c r="DN6" s="669"/>
      <c r="DO6" s="669"/>
      <c r="DP6" s="669"/>
      <c r="DQ6" s="669"/>
      <c r="DR6" s="669"/>
      <c r="DS6" s="669"/>
      <c r="DT6" s="669"/>
      <c r="DU6" s="671"/>
    </row>
    <row r="7" spans="1:321">
      <c r="E7" s="672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72" t="s">
        <v>675</v>
      </c>
      <c r="F214" s="670">
        <v>2006</v>
      </c>
      <c r="G214" s="669"/>
      <c r="H214" s="669"/>
      <c r="I214" s="669"/>
      <c r="J214" s="669"/>
      <c r="K214" s="669"/>
      <c r="L214" s="669"/>
      <c r="M214" s="669"/>
      <c r="N214" s="669"/>
      <c r="O214" s="669"/>
      <c r="P214" s="669"/>
      <c r="Q214" s="671"/>
      <c r="R214" s="670">
        <v>2007</v>
      </c>
      <c r="S214" s="669"/>
      <c r="T214" s="669"/>
      <c r="U214" s="669"/>
      <c r="V214" s="669"/>
      <c r="W214" s="669"/>
      <c r="X214" s="669"/>
      <c r="Y214" s="669"/>
      <c r="Z214" s="669"/>
      <c r="AA214" s="669"/>
      <c r="AB214" s="669"/>
      <c r="AC214" s="671"/>
      <c r="AD214" s="670">
        <v>2008</v>
      </c>
      <c r="AE214" s="669"/>
      <c r="AF214" s="669"/>
      <c r="AG214" s="669"/>
      <c r="AH214" s="669"/>
      <c r="AI214" s="669"/>
      <c r="AJ214" s="669"/>
      <c r="AK214" s="669"/>
      <c r="AL214" s="669"/>
      <c r="AM214" s="669"/>
      <c r="AN214" s="669"/>
      <c r="AO214" s="671"/>
      <c r="AP214" s="670">
        <v>2009</v>
      </c>
      <c r="AQ214" s="669"/>
      <c r="AR214" s="669"/>
      <c r="AS214" s="669"/>
      <c r="AT214" s="669"/>
      <c r="AU214" s="669"/>
      <c r="AV214" s="669"/>
      <c r="AW214" s="669"/>
      <c r="AX214" s="669"/>
      <c r="AY214" s="669"/>
      <c r="AZ214" s="669"/>
      <c r="BA214" s="671"/>
      <c r="BB214" s="670">
        <v>2010</v>
      </c>
      <c r="BC214" s="669"/>
      <c r="BD214" s="669"/>
      <c r="BE214" s="669"/>
      <c r="BF214" s="669"/>
      <c r="BG214" s="669"/>
      <c r="BH214" s="669"/>
      <c r="BI214" s="669"/>
      <c r="BJ214" s="669"/>
      <c r="BK214" s="669"/>
      <c r="BL214" s="669"/>
      <c r="BM214" s="671"/>
      <c r="BN214" s="670">
        <v>2011</v>
      </c>
      <c r="BO214" s="669"/>
      <c r="BP214" s="669"/>
      <c r="BQ214" s="669"/>
      <c r="BR214" s="669"/>
      <c r="BS214" s="669"/>
      <c r="BT214" s="669"/>
      <c r="BU214" s="669"/>
      <c r="BV214" s="669"/>
      <c r="BW214" s="669"/>
      <c r="BX214" s="669"/>
      <c r="BY214" s="671"/>
      <c r="BZ214" s="669">
        <v>2012</v>
      </c>
      <c r="CA214" s="669"/>
      <c r="CB214" s="669"/>
      <c r="CC214" s="669"/>
      <c r="CD214" s="669"/>
      <c r="CE214" s="669"/>
      <c r="CF214" s="669"/>
      <c r="CG214" s="669"/>
      <c r="CH214" s="669"/>
      <c r="CI214" s="669"/>
      <c r="CJ214" s="669"/>
      <c r="CK214" s="669"/>
      <c r="CL214" s="670">
        <v>2013</v>
      </c>
      <c r="CM214" s="669"/>
      <c r="CN214" s="669"/>
      <c r="CO214" s="669"/>
      <c r="CP214" s="669"/>
      <c r="CQ214" s="669"/>
      <c r="CR214" s="669"/>
      <c r="CS214" s="669"/>
      <c r="CT214" s="669"/>
      <c r="CU214" s="669"/>
      <c r="CV214" s="669"/>
      <c r="CW214" s="671"/>
      <c r="CX214" s="670">
        <v>2014</v>
      </c>
      <c r="CY214" s="669"/>
      <c r="CZ214" s="669"/>
      <c r="DA214" s="669"/>
      <c r="DB214" s="669"/>
      <c r="DC214" s="669"/>
      <c r="DD214" s="669"/>
      <c r="DE214" s="669"/>
      <c r="DF214" s="669"/>
      <c r="DG214" s="669"/>
      <c r="DH214" s="669"/>
      <c r="DI214" s="671"/>
      <c r="DJ214" s="670">
        <v>2015</v>
      </c>
      <c r="DK214" s="669"/>
      <c r="DL214" s="669"/>
      <c r="DM214" s="669"/>
      <c r="DN214" s="669"/>
      <c r="DO214" s="669"/>
      <c r="DP214" s="669"/>
      <c r="DQ214" s="669"/>
      <c r="DR214" s="669"/>
      <c r="DS214" s="669"/>
      <c r="DT214" s="669"/>
      <c r="DU214" s="671"/>
    </row>
    <row r="215" spans="1:187">
      <c r="E215" s="672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/>
  <dimension ref="B1:G286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3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2024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Mart</v>
      </c>
    </row>
    <row r="246" spans="4:7">
      <c r="D246" s="41"/>
      <c r="G246" s="44" t="str">
        <f>+CONCATENATE("Jan - ",LEFT(G245,3))</f>
        <v>Jan - Mar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Mar</v>
      </c>
      <c r="F254" s="6" t="str">
        <f>+CONCATENATE("Analytics for period ",G246)</f>
        <v>Analytics for period Jan - Mar</v>
      </c>
      <c r="G254" s="44" t="str">
        <f>+IF(ISBLANK(IF($B$2=1,E254,F254)),"",IF($B$2=1,E254,F254))</f>
        <v>Analitika za period Jan - Mar</v>
      </c>
    </row>
    <row r="255" spans="4:7">
      <c r="E255" s="5" t="str">
        <f>+CONCATENATE("Analitika za period ",G245)</f>
        <v>Analitika za period Mart</v>
      </c>
      <c r="F255" s="6" t="str">
        <f>+CONCATENATE("Analytics for period ",G245)</f>
        <v>Analytics for period Mart</v>
      </c>
      <c r="G255" s="44" t="str">
        <f>+IF(ISBLANK(IF($B$2=1,E255,F255)),"",IF($B$2=1,E255,F255))</f>
        <v>Analitika za period Mart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Mart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Mart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Mart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Mart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Mart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Mart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K32"/>
  <sheetViews>
    <sheetView tabSelected="1" zoomScale="90" zoomScaleNormal="90" workbookViewId="0">
      <pane ySplit="5" topLeftCell="A6" activePane="bottomLeft" state="frozen"/>
      <selection activeCell="DK219" sqref="DK219"/>
      <selection pane="bottomLeft" activeCell="N31" sqref="N31"/>
    </sheetView>
  </sheetViews>
  <sheetFormatPr defaultColWidth="9.140625" defaultRowHeight="15"/>
  <cols>
    <col min="1" max="3" width="9.140625" style="116"/>
    <col min="4" max="4" width="10" style="116" bestFit="1" customWidth="1"/>
    <col min="5" max="7" width="9.140625" style="116"/>
    <col min="8" max="8" width="11" style="116" bestFit="1" customWidth="1"/>
    <col min="9" max="16384" width="9.140625" style="116"/>
  </cols>
  <sheetData>
    <row r="1" spans="3:10" s="113" customFormat="1"/>
    <row r="2" spans="3:10" s="113" customFormat="1">
      <c r="C2" s="114"/>
      <c r="E2" s="484" t="str">
        <f>+Master!G6</f>
        <v>Crna Gora</v>
      </c>
      <c r="F2" s="484"/>
      <c r="G2" s="484"/>
      <c r="I2" s="115"/>
    </row>
    <row r="3" spans="3:10" s="113" customFormat="1">
      <c r="E3" s="485" t="str">
        <f>+Master!G7</f>
        <v>Ministarstvo finansija</v>
      </c>
      <c r="F3" s="484"/>
      <c r="G3" s="484"/>
    </row>
    <row r="4" spans="3:10" s="113" customFormat="1">
      <c r="E4" s="485" t="str">
        <f>+Master!G8</f>
        <v>Direktorat za državni budžet</v>
      </c>
      <c r="F4" s="484"/>
      <c r="G4" s="484"/>
    </row>
    <row r="5" spans="3:10" s="113" customFormat="1"/>
    <row r="7" spans="3:10" ht="15.75" thickBot="1"/>
    <row r="8" spans="3:10">
      <c r="C8" s="117"/>
      <c r="D8" s="118"/>
      <c r="E8" s="118"/>
      <c r="F8" s="118"/>
      <c r="G8" s="118"/>
      <c r="H8" s="118"/>
      <c r="I8" s="118"/>
      <c r="J8" s="119"/>
    </row>
    <row r="9" spans="3:10">
      <c r="C9" s="120"/>
      <c r="J9" s="121"/>
    </row>
    <row r="10" spans="3:10">
      <c r="C10" s="120"/>
      <c r="J10" s="121"/>
    </row>
    <row r="11" spans="3:10">
      <c r="C11" s="120"/>
      <c r="D11" s="122" t="str">
        <f>+Master!G270</f>
        <v>Prihodi za mjesec Mart</v>
      </c>
      <c r="G11" s="122" t="str">
        <f>+Master!G274</f>
        <v>Prihodi za period Januar - Mart</v>
      </c>
      <c r="J11" s="121"/>
    </row>
    <row r="12" spans="3:10">
      <c r="C12" s="120"/>
      <c r="D12" s="123">
        <f>+'Analitika 2024'!N10</f>
        <v>244514247.03000003</v>
      </c>
      <c r="E12" s="427">
        <f>+D12/'2024'!T7</f>
        <v>3.476176386551038E-2</v>
      </c>
      <c r="G12" s="123">
        <f>+'Analitika 2024'!G10</f>
        <v>578493542.94000006</v>
      </c>
      <c r="H12" s="427">
        <f>+G12/'2024'!T7</f>
        <v>8.2242471273812914E-2</v>
      </c>
      <c r="J12" s="121"/>
    </row>
    <row r="13" spans="3:10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J13" s="121"/>
    </row>
    <row r="14" spans="3:10">
      <c r="C14" s="120"/>
      <c r="J14" s="121"/>
    </row>
    <row r="15" spans="3:10">
      <c r="C15" s="120"/>
      <c r="D15" s="122" t="str">
        <f>+Master!G271</f>
        <v>Rashodi za mjesec Mart</v>
      </c>
      <c r="G15" s="122" t="str">
        <f>+Master!G275</f>
        <v>Rashodi za period Januar - Mart</v>
      </c>
      <c r="J15" s="121"/>
    </row>
    <row r="16" spans="3:10">
      <c r="C16" s="120"/>
      <c r="D16" s="123">
        <f>+'Analitika 2024'!N29</f>
        <v>231119657.97</v>
      </c>
      <c r="E16" s="427">
        <f>+D16/'2024'!T7</f>
        <v>3.2857500422234856E-2</v>
      </c>
      <c r="G16" s="123">
        <f>+'Analitika 2024'!G29</f>
        <v>583421201.15999997</v>
      </c>
      <c r="H16" s="427">
        <f>+G16/'2024'!T7</f>
        <v>8.2943019783906738E-2</v>
      </c>
      <c r="J16" s="121"/>
    </row>
    <row r="17" spans="3:11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J17" s="121"/>
    </row>
    <row r="18" spans="3:11">
      <c r="C18" s="120"/>
      <c r="J18" s="121"/>
    </row>
    <row r="19" spans="3:11">
      <c r="C19" s="120"/>
      <c r="D19" s="122" t="str">
        <f>+Master!G272</f>
        <v>Suficit/Deficit za mjesec Mart</v>
      </c>
      <c r="G19" s="122" t="str">
        <f>+Master!G276</f>
        <v>Suficit/Deficit za period Januar - Mart</v>
      </c>
      <c r="J19" s="121"/>
    </row>
    <row r="20" spans="3:11">
      <c r="C20" s="120"/>
      <c r="D20" s="123">
        <f>+'Analitika 2024'!N53</f>
        <v>13394589.060000032</v>
      </c>
      <c r="E20" s="427">
        <f>+D20/'2024'!T7</f>
        <v>1.9042634432755235E-3</v>
      </c>
      <c r="G20" s="123">
        <f>+'Analitika 2024'!G53</f>
        <v>-4927658.2199999392</v>
      </c>
      <c r="H20" s="427">
        <f>+G20/'2024'!T7</f>
        <v>-7.005485100938213E-4</v>
      </c>
      <c r="J20" s="121"/>
    </row>
    <row r="21" spans="3:11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J21" s="121"/>
    </row>
    <row r="22" spans="3:11" ht="15.75" thickBot="1">
      <c r="C22" s="125"/>
      <c r="D22" s="126"/>
      <c r="E22" s="126"/>
      <c r="F22" s="126"/>
      <c r="G22" s="126"/>
      <c r="H22" s="126"/>
      <c r="I22" s="126"/>
      <c r="J22" s="127"/>
    </row>
    <row r="25" spans="3:11">
      <c r="H25" s="218"/>
    </row>
    <row r="32" spans="3:11">
      <c r="K32" s="428"/>
    </row>
  </sheetData>
  <sheetProtection algorithmName="SHA-512" hashValue="YgcvrDucmjiz9TuNNxS5llelTUaIHblGVmSc19pfQqlvdfru2qpg4L1OcfM5NtT3Uhgyezeg9ZHxtYzbxuHHAQ==" saltValue="0cTRWv8v20mg+b6toj7yT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zoomScale="90" zoomScaleNormal="90" workbookViewId="0">
      <pane ySplit="5" topLeftCell="A6" activePane="bottomLeft" state="frozen"/>
      <selection activeCell="DK219" sqref="DK219"/>
      <selection pane="bottomLeft" activeCell="G29" sqref="G29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2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2" width="9.140625" style="4"/>
    <col min="23" max="23" width="11.710937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2024-03</v>
      </c>
      <c r="O6" s="128" t="str">
        <f>+CONCATENATE(N6,"p")</f>
        <v>2024-03p</v>
      </c>
      <c r="P6" s="116"/>
      <c r="Q6" s="116"/>
      <c r="R6" s="128" t="str">
        <f>+IF(Master!B3-10&gt;=0,CONCATENATE(Master!B4-1,"-",Master!B3),CONCATENATE(Master!B4-1,"-0",Master!B3))</f>
        <v>2023-03</v>
      </c>
      <c r="S6" s="116"/>
      <c r="T6" s="116"/>
    </row>
    <row r="7" spans="1:25" ht="14.25" customHeight="1">
      <c r="A7" s="129"/>
      <c r="B7" s="586" t="str">
        <f>+Master!G254</f>
        <v>Analitika za period Jan - Mar</v>
      </c>
      <c r="C7" s="587"/>
      <c r="D7" s="587"/>
      <c r="E7" s="587"/>
      <c r="F7" s="587"/>
      <c r="G7" s="595" t="str">
        <f>+Master!G246</f>
        <v>Jan - Mar</v>
      </c>
      <c r="H7" s="596"/>
      <c r="I7" s="596"/>
      <c r="J7" s="596"/>
      <c r="K7" s="596"/>
      <c r="L7" s="596"/>
      <c r="M7" s="599"/>
      <c r="N7" s="596" t="str">
        <f>+Master!G245</f>
        <v>Mart</v>
      </c>
      <c r="O7" s="596"/>
      <c r="P7" s="596"/>
      <c r="Q7" s="596"/>
      <c r="R7" s="596"/>
      <c r="S7" s="596"/>
      <c r="T7" s="599"/>
    </row>
    <row r="8" spans="1:25" ht="29.25" customHeight="1">
      <c r="A8" s="129"/>
      <c r="B8" s="588"/>
      <c r="C8" s="589"/>
      <c r="D8" s="589"/>
      <c r="E8" s="589"/>
      <c r="F8" s="590"/>
      <c r="G8" s="487" t="str">
        <f>+Master!G26</f>
        <v>Ostvarenje</v>
      </c>
      <c r="H8" s="330" t="str">
        <f>+Master!G25</f>
        <v>Plan</v>
      </c>
      <c r="I8" s="584" t="str">
        <f>+Master!G261</f>
        <v>Odstupanje</v>
      </c>
      <c r="J8" s="584"/>
      <c r="K8" s="130" t="str">
        <f>+CONCATENATE(Master!G246," ",Master!B4-1)</f>
        <v>Jan - Mar 2023</v>
      </c>
      <c r="L8" s="584" t="str">
        <f>+I8</f>
        <v>Odstupanje</v>
      </c>
      <c r="M8" s="585"/>
      <c r="N8" s="487" t="str">
        <f>+G8</f>
        <v>Ostvarenje</v>
      </c>
      <c r="O8" s="130" t="str">
        <f>+H8</f>
        <v>Plan</v>
      </c>
      <c r="P8" s="584" t="str">
        <f>+I8</f>
        <v>Odstupanje</v>
      </c>
      <c r="Q8" s="584"/>
      <c r="R8" s="130" t="str">
        <f>+CONCATENATE(Master!G245," ",Master!B4-1)</f>
        <v>Mart 2023</v>
      </c>
      <c r="S8" s="584" t="str">
        <f>+P8</f>
        <v>Odstupanje</v>
      </c>
      <c r="T8" s="585"/>
    </row>
    <row r="9" spans="1:25" ht="15.75" thickBot="1">
      <c r="A9" s="129"/>
      <c r="B9" s="591"/>
      <c r="C9" s="592"/>
      <c r="D9" s="592"/>
      <c r="E9" s="592"/>
      <c r="F9" s="593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66" t="str">
        <f>+VLOOKUP($A10,Master!$D$30:$G$226,4,FALSE)</f>
        <v>Prihodi budžeta</v>
      </c>
      <c r="C10" s="567"/>
      <c r="D10" s="567"/>
      <c r="E10" s="567"/>
      <c r="F10" s="567"/>
      <c r="G10" s="136">
        <f>'2024'!S10</f>
        <v>578493542.94000006</v>
      </c>
      <c r="H10" s="136">
        <f>SUM('2024'!G86:I86)</f>
        <v>532898560.01477766</v>
      </c>
      <c r="I10" s="137">
        <f>+G10-H10</f>
        <v>45594982.925222397</v>
      </c>
      <c r="J10" s="139">
        <f>IF(+IF(ISERROR(G10/H10),"…",G10/H10-1)&gt;200%,"...",IF(ISERROR(G10/H10),"…",G10/H10-1))</f>
        <v>8.5560341773034621E-2</v>
      </c>
      <c r="K10" s="136">
        <f>SUM('2023'!G10:I10)</f>
        <v>542457646.07999992</v>
      </c>
      <c r="L10" s="137">
        <f>+G10-K10</f>
        <v>36035896.860000134</v>
      </c>
      <c r="M10" s="141">
        <f>IF(+IF(ISERROR(G10/K10),"…",G10/K10-1)&gt;200%,"...",IF(ISERROR(G10/K10),"…",G10/K10-1))</f>
        <v>6.6430802700282454E-2</v>
      </c>
      <c r="N10" s="136">
        <f>'2024'!I10</f>
        <v>244514247.03000003</v>
      </c>
      <c r="O10" s="136">
        <f>'2024'!I86</f>
        <v>226012505.71659711</v>
      </c>
      <c r="P10" s="137">
        <f>+N10-O10</f>
        <v>18501741.313402921</v>
      </c>
      <c r="Q10" s="139">
        <f>IF(+IF(ISERROR(N10/O10),"…",N10/O10-1)&gt;200%,"...",IF(ISERROR(N10/O10),"…",N10/O10-1))</f>
        <v>8.1861582193167415E-2</v>
      </c>
      <c r="R10" s="136">
        <f>'2023'!I10</f>
        <v>232411249.90999997</v>
      </c>
      <c r="S10" s="137">
        <f>+N10-R10</f>
        <v>12102997.120000064</v>
      </c>
      <c r="T10" s="141">
        <f>IF(+IF(ISERROR(N10/R10),"…",N10/R10-1)&gt;200%,"...",IF(ISERROR(N10/R10),"…",N10/R10-1))</f>
        <v>5.207578000069657E-2</v>
      </c>
      <c r="W10" s="470"/>
      <c r="Y10" s="470"/>
    </row>
    <row r="11" spans="1:25">
      <c r="A11" s="135">
        <v>711</v>
      </c>
      <c r="B11" s="556" t="str">
        <f>+VLOOKUP($A11,Master!$D$30:$G$226,4,FALSE)</f>
        <v>Porezi</v>
      </c>
      <c r="C11" s="557"/>
      <c r="D11" s="557"/>
      <c r="E11" s="557"/>
      <c r="F11" s="557"/>
      <c r="G11" s="262">
        <f>'2024'!S11</f>
        <v>427877926.18000001</v>
      </c>
      <c r="H11" s="262">
        <f>SUM('2024'!G87:I87)</f>
        <v>393735068.62901068</v>
      </c>
      <c r="I11" s="143">
        <f t="shared" ref="I11:I57" si="0">+G11-H11</f>
        <v>34142857.55098933</v>
      </c>
      <c r="J11" s="145">
        <f t="shared" ref="J11:J66" si="1">IF(+IF(ISERROR(G11/H11-1),"…",G11/H11-1)&gt;200%,"...",IF(ISERROR(G11/H11-1),"…",G11/H11-1))</f>
        <v>8.6715307503278938E-2</v>
      </c>
      <c r="K11" s="262">
        <f>SUM('2023'!G11:I11)</f>
        <v>346379169.55999994</v>
      </c>
      <c r="L11" s="143">
        <f>+G11-K11</f>
        <v>81498756.620000064</v>
      </c>
      <c r="M11" s="147">
        <f t="shared" ref="M11:M66" si="2">IF(+IF(ISERROR(G11/K11),"…",G11/K11-1)&gt;200%,"...",IF(ISERROR(G11/K11),"…",G11/K11-1))</f>
        <v>0.23528769562998453</v>
      </c>
      <c r="N11" s="262">
        <f>'2024'!I11</f>
        <v>184557374.95000002</v>
      </c>
      <c r="O11" s="262">
        <f>'2024'!I87</f>
        <v>169447357.55468205</v>
      </c>
      <c r="P11" s="143">
        <f>+N11-O11</f>
        <v>15110017.395317972</v>
      </c>
      <c r="Q11" s="145">
        <f t="shared" ref="Q11:Q66" si="3">IF(+IF(ISERROR(N11/O11),"…",N11/O11-1)&gt;200%,"...",IF(ISERROR(N11/O11),"…",N11/O11-1))</f>
        <v>8.9172340090590385E-2</v>
      </c>
      <c r="R11" s="262">
        <f>'2023'!I11</f>
        <v>151829456.91999999</v>
      </c>
      <c r="S11" s="143">
        <f t="shared" ref="S11:S57" si="4">+N11-R11</f>
        <v>32727918.030000031</v>
      </c>
      <c r="T11" s="147">
        <f t="shared" ref="T11:T66" si="5">IF(+IF(ISERROR(N11/R11),"…",N11/R11-1)&gt;200%,"...",IF(ISERROR(N11/R11),"…",N11/R11-1))</f>
        <v>0.21555710396332772</v>
      </c>
      <c r="W11" s="470"/>
      <c r="Y11" s="470"/>
    </row>
    <row r="12" spans="1:25">
      <c r="A12" s="135">
        <v>7111</v>
      </c>
      <c r="B12" s="558" t="str">
        <f>+VLOOKUP($A12,Master!$D$30:$G$226,4,FALSE)</f>
        <v>Porez na dohodak fizičkih lica</v>
      </c>
      <c r="C12" s="559"/>
      <c r="D12" s="559"/>
      <c r="E12" s="559"/>
      <c r="F12" s="559"/>
      <c r="G12" s="148">
        <f>'2024'!S12</f>
        <v>14935475.899999995</v>
      </c>
      <c r="H12" s="148">
        <f>SUM('2024'!G88:I88)</f>
        <v>11658133.296172641</v>
      </c>
      <c r="I12" s="149">
        <f t="shared" si="0"/>
        <v>3277342.6038273536</v>
      </c>
      <c r="J12" s="151">
        <f t="shared" si="1"/>
        <v>0.28112070093616981</v>
      </c>
      <c r="K12" s="148">
        <f>SUM('2023'!G12:I12)</f>
        <v>9585491.3500000015</v>
      </c>
      <c r="L12" s="149">
        <f>+G12-K12</f>
        <v>5349984.5499999933</v>
      </c>
      <c r="M12" s="153">
        <f t="shared" si="2"/>
        <v>0.55813357444634204</v>
      </c>
      <c r="N12" s="148">
        <f>'2024'!I12</f>
        <v>6774640.8399999989</v>
      </c>
      <c r="O12" s="148">
        <f>'2024'!I88</f>
        <v>5058808.8901446629</v>
      </c>
      <c r="P12" s="149">
        <f t="shared" ref="P12:P57" si="6">+N12-O12</f>
        <v>1715831.949855336</v>
      </c>
      <c r="Q12" s="151">
        <f t="shared" si="3"/>
        <v>0.33917706462444941</v>
      </c>
      <c r="R12" s="148">
        <f>'2023'!I12</f>
        <v>4159428.24</v>
      </c>
      <c r="S12" s="149">
        <f t="shared" si="4"/>
        <v>2615212.5999999987</v>
      </c>
      <c r="T12" s="153">
        <f t="shared" si="5"/>
        <v>0.62874329092885106</v>
      </c>
      <c r="W12" s="470"/>
      <c r="Y12" s="470"/>
    </row>
    <row r="13" spans="1:25">
      <c r="A13" s="135">
        <v>7112</v>
      </c>
      <c r="B13" s="558" t="str">
        <f>+VLOOKUP($A13,Master!$D$30:$G$226,4,FALSE)</f>
        <v>Porez na dobit pravnih lica</v>
      </c>
      <c r="C13" s="559"/>
      <c r="D13" s="559"/>
      <c r="E13" s="559"/>
      <c r="F13" s="559"/>
      <c r="G13" s="148">
        <f>'2024'!S13</f>
        <v>78934015.350000009</v>
      </c>
      <c r="H13" s="148">
        <f>SUM('2024'!G89:I89)</f>
        <v>46458251.597618058</v>
      </c>
      <c r="I13" s="149">
        <f t="shared" si="0"/>
        <v>32475763.752381951</v>
      </c>
      <c r="J13" s="151">
        <f t="shared" si="1"/>
        <v>0.69903112225702024</v>
      </c>
      <c r="K13" s="148">
        <f>SUM('2023'!G13:I13)</f>
        <v>42686712.359999999</v>
      </c>
      <c r="L13" s="149">
        <f t="shared" ref="L13:L57" si="7">+G13-K13</f>
        <v>36247302.99000001</v>
      </c>
      <c r="M13" s="153">
        <f t="shared" si="2"/>
        <v>0.84914721668670601</v>
      </c>
      <c r="N13" s="148">
        <f>'2024'!I13</f>
        <v>71210822.510000005</v>
      </c>
      <c r="O13" s="148">
        <f>'2024'!I89</f>
        <v>40990734.989670277</v>
      </c>
      <c r="P13" s="149">
        <f t="shared" si="6"/>
        <v>30220087.520329729</v>
      </c>
      <c r="Q13" s="151">
        <f t="shared" si="3"/>
        <v>0.73724190424849012</v>
      </c>
      <c r="R13" s="148">
        <f>'2023'!I13</f>
        <v>37663055.619999997</v>
      </c>
      <c r="S13" s="149">
        <f t="shared" si="4"/>
        <v>33547766.890000008</v>
      </c>
      <c r="T13" s="153">
        <f t="shared" si="5"/>
        <v>0.89073407183099951</v>
      </c>
      <c r="W13" s="470"/>
      <c r="Y13" s="470"/>
    </row>
    <row r="14" spans="1:25">
      <c r="A14" s="135">
        <v>7113</v>
      </c>
      <c r="B14" s="558" t="str">
        <f>+VLOOKUP($A14,Master!$D$30:$G$226,4,FALSE)</f>
        <v>Porez na promet nepokretnosti</v>
      </c>
      <c r="C14" s="559"/>
      <c r="D14" s="559"/>
      <c r="E14" s="559"/>
      <c r="F14" s="559"/>
      <c r="G14" s="148">
        <f>'2024'!S14</f>
        <v>0</v>
      </c>
      <c r="H14" s="148">
        <f>SUM('2024'!G90:I90)</f>
        <v>0</v>
      </c>
      <c r="I14" s="149">
        <f t="shared" si="0"/>
        <v>0</v>
      </c>
      <c r="J14" s="151" t="str">
        <f t="shared" si="1"/>
        <v>...</v>
      </c>
      <c r="K14" s="148">
        <f>SUM('2023'!G14:I14)</f>
        <v>0</v>
      </c>
      <c r="L14" s="149">
        <f t="shared" si="7"/>
        <v>0</v>
      </c>
      <c r="M14" s="153" t="str">
        <f t="shared" si="2"/>
        <v>...</v>
      </c>
      <c r="N14" s="148">
        <f>'2024'!I14</f>
        <v>0</v>
      </c>
      <c r="O14" s="148">
        <f>'2024'!I90</f>
        <v>0</v>
      </c>
      <c r="P14" s="149">
        <f t="shared" si="6"/>
        <v>0</v>
      </c>
      <c r="Q14" s="151" t="str">
        <f t="shared" si="3"/>
        <v>...</v>
      </c>
      <c r="R14" s="148">
        <f>'2023'!I14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58" t="str">
        <f>+VLOOKUP($A15,Master!$D$30:$G$226,4,FALSE)</f>
        <v>Porez na dodatu vrijednost</v>
      </c>
      <c r="C15" s="559"/>
      <c r="D15" s="559"/>
      <c r="E15" s="559"/>
      <c r="F15" s="559"/>
      <c r="G15" s="148">
        <f>'2024'!S15</f>
        <v>252353543.48000002</v>
      </c>
      <c r="H15" s="148">
        <f>SUM('2024'!G91:I91)</f>
        <v>252152747.91851854</v>
      </c>
      <c r="I15" s="149">
        <f t="shared" si="0"/>
        <v>200795.56148147583</v>
      </c>
      <c r="J15" s="151">
        <f t="shared" si="1"/>
        <v>7.9632509714455679E-4</v>
      </c>
      <c r="K15" s="148">
        <f>SUM('2023'!G15:I15)</f>
        <v>221766123.17000002</v>
      </c>
      <c r="L15" s="149">
        <f t="shared" si="7"/>
        <v>30587420.310000002</v>
      </c>
      <c r="M15" s="153">
        <f t="shared" si="2"/>
        <v>0.13792647800652813</v>
      </c>
      <c r="N15" s="148">
        <f>'2024'!I15</f>
        <v>78800496.590000018</v>
      </c>
      <c r="O15" s="148">
        <f>'2024'!I91</f>
        <v>91649985.128395304</v>
      </c>
      <c r="P15" s="149">
        <f t="shared" si="6"/>
        <v>-12849488.538395286</v>
      </c>
      <c r="Q15" s="151">
        <f t="shared" si="3"/>
        <v>-0.14020175257414436</v>
      </c>
      <c r="R15" s="148">
        <f>'2023'!I15</f>
        <v>80926297.079999998</v>
      </c>
      <c r="S15" s="149">
        <f t="shared" si="4"/>
        <v>-2125800.4899999797</v>
      </c>
      <c r="T15" s="153">
        <f t="shared" si="5"/>
        <v>-2.6268352398460926E-2</v>
      </c>
      <c r="W15" s="470"/>
      <c r="Y15" s="470"/>
    </row>
    <row r="16" spans="1:25">
      <c r="A16" s="135">
        <v>7115</v>
      </c>
      <c r="B16" s="558" t="str">
        <f>+VLOOKUP($A16,Master!$D$30:$G$226,4,FALSE)</f>
        <v>Akcize</v>
      </c>
      <c r="C16" s="559"/>
      <c r="D16" s="559"/>
      <c r="E16" s="559"/>
      <c r="F16" s="559"/>
      <c r="G16" s="148">
        <f>'2024'!S16</f>
        <v>66917981.87999998</v>
      </c>
      <c r="H16" s="148">
        <f>SUM('2024'!G92:I92)</f>
        <v>69005512.769063264</v>
      </c>
      <c r="I16" s="149">
        <f t="shared" si="0"/>
        <v>-2087530.8890632838</v>
      </c>
      <c r="J16" s="151">
        <f t="shared" si="1"/>
        <v>-3.0251653893936026E-2</v>
      </c>
      <c r="K16" s="148">
        <f>SUM('2023'!G16:I16)</f>
        <v>58304564.960000001</v>
      </c>
      <c r="L16" s="149">
        <f t="shared" si="7"/>
        <v>8613416.9199999794</v>
      </c>
      <c r="M16" s="153">
        <f t="shared" si="2"/>
        <v>0.14773143279448586</v>
      </c>
      <c r="N16" s="148">
        <f>'2024'!I16</f>
        <v>21994790.36999999</v>
      </c>
      <c r="O16" s="148">
        <f>'2024'!I92</f>
        <v>25607651.370289065</v>
      </c>
      <c r="P16" s="149">
        <f t="shared" si="6"/>
        <v>-3612861.0002890751</v>
      </c>
      <c r="Q16" s="151">
        <f t="shared" si="3"/>
        <v>-0.14108521504165938</v>
      </c>
      <c r="R16" s="148">
        <f>'2023'!I16</f>
        <v>22619973.850000001</v>
      </c>
      <c r="S16" s="149">
        <f t="shared" si="4"/>
        <v>-625183.48000001162</v>
      </c>
      <c r="T16" s="153">
        <f t="shared" si="5"/>
        <v>-2.7638558919024225E-2</v>
      </c>
      <c r="W16" s="470"/>
      <c r="Y16" s="470"/>
    </row>
    <row r="17" spans="1:25">
      <c r="A17" s="135">
        <v>7116</v>
      </c>
      <c r="B17" s="558" t="str">
        <f>+VLOOKUP($A17,Master!$D$30:$G$226,4,FALSE)</f>
        <v>Porez na međunarodnu trgovinu i transakcije</v>
      </c>
      <c r="C17" s="559"/>
      <c r="D17" s="559"/>
      <c r="E17" s="559"/>
      <c r="F17" s="559"/>
      <c r="G17" s="148">
        <f>'2024'!S17</f>
        <v>11483332.480000002</v>
      </c>
      <c r="H17" s="148">
        <f>SUM('2024'!G93:I93)</f>
        <v>11433900.715892974</v>
      </c>
      <c r="I17" s="149">
        <f t="shared" si="0"/>
        <v>49431.764107028022</v>
      </c>
      <c r="J17" s="151">
        <f t="shared" si="1"/>
        <v>4.3232633670080567E-3</v>
      </c>
      <c r="K17" s="148">
        <f>SUM('2023'!G17:I17)</f>
        <v>11131991.879999999</v>
      </c>
      <c r="L17" s="149">
        <f t="shared" si="7"/>
        <v>351340.60000000335</v>
      </c>
      <c r="M17" s="153">
        <f t="shared" si="2"/>
        <v>3.1561341742552873E-2</v>
      </c>
      <c r="N17" s="148">
        <f>'2024'!I17</f>
        <v>4636318.0900000017</v>
      </c>
      <c r="O17" s="148">
        <f>'2024'!I93</f>
        <v>5080642.3039190965</v>
      </c>
      <c r="P17" s="149">
        <f t="shared" si="6"/>
        <v>-444324.21391909476</v>
      </c>
      <c r="Q17" s="151">
        <f>IF(+IF(ISERROR(N17/O17),"…",N17/O17-1)&gt;200%,"...",IF(ISERROR(N17/O17),"…",N17/O17-1))</f>
        <v>-8.7454338908360629E-2</v>
      </c>
      <c r="R17" s="148">
        <f>'2023'!I17</f>
        <v>5443960.21</v>
      </c>
      <c r="S17" s="149">
        <f t="shared" si="4"/>
        <v>-807642.11999999825</v>
      </c>
      <c r="T17" s="153">
        <f t="shared" si="5"/>
        <v>-0.14835562510476141</v>
      </c>
      <c r="W17" s="470"/>
      <c r="Y17" s="470"/>
    </row>
    <row r="18" spans="1:25">
      <c r="A18" s="135">
        <v>7118</v>
      </c>
      <c r="B18" s="558" t="str">
        <f>+VLOOKUP($A18,Master!$D$30:$G$226,4,FALSE)</f>
        <v>Ostali državni porezi</v>
      </c>
      <c r="C18" s="559"/>
      <c r="D18" s="559"/>
      <c r="E18" s="559"/>
      <c r="F18" s="559"/>
      <c r="G18" s="148">
        <f>'2024'!S18</f>
        <v>3253577.09</v>
      </c>
      <c r="H18" s="148">
        <f>SUM('2024'!G94:I94)</f>
        <v>3026522.3317451864</v>
      </c>
      <c r="I18" s="149">
        <f t="shared" si="0"/>
        <v>227054.7582548135</v>
      </c>
      <c r="J18" s="151">
        <f t="shared" si="1"/>
        <v>7.5021669548985814E-2</v>
      </c>
      <c r="K18" s="148">
        <f>SUM('2023'!G18:I18)</f>
        <v>2904285.84</v>
      </c>
      <c r="L18" s="149">
        <f t="shared" si="7"/>
        <v>349291.25</v>
      </c>
      <c r="M18" s="153">
        <f t="shared" si="2"/>
        <v>0.12026751815861214</v>
      </c>
      <c r="N18" s="148">
        <f>'2024'!I18</f>
        <v>1140306.55</v>
      </c>
      <c r="O18" s="148">
        <f>'2024'!I94</f>
        <v>1059534.8722636329</v>
      </c>
      <c r="P18" s="149">
        <f t="shared" si="6"/>
        <v>80771.677736367099</v>
      </c>
      <c r="Q18" s="151">
        <f t="shared" si="3"/>
        <v>7.6233147063676343E-2</v>
      </c>
      <c r="R18" s="148">
        <f>'2023'!I18</f>
        <v>1016741.92</v>
      </c>
      <c r="S18" s="149">
        <f t="shared" si="4"/>
        <v>123564.63</v>
      </c>
      <c r="T18" s="153">
        <f t="shared" si="5"/>
        <v>0.12152998471824583</v>
      </c>
      <c r="W18" s="470"/>
      <c r="Y18" s="470"/>
    </row>
    <row r="19" spans="1:25">
      <c r="A19" s="135">
        <v>712</v>
      </c>
      <c r="B19" s="560" t="str">
        <f>+VLOOKUP($A19,Master!$D$30:$G$226,4,FALSE)</f>
        <v>Doprinosi</v>
      </c>
      <c r="C19" s="561"/>
      <c r="D19" s="561"/>
      <c r="E19" s="561"/>
      <c r="F19" s="561"/>
      <c r="G19" s="154">
        <f>'2024'!S19</f>
        <v>114836678.37000003</v>
      </c>
      <c r="H19" s="154">
        <f>SUM('2024'!G95:I95)</f>
        <v>104833302.73665422</v>
      </c>
      <c r="I19" s="155">
        <f t="shared" si="0"/>
        <v>10003375.633345813</v>
      </c>
      <c r="J19" s="157">
        <f t="shared" si="1"/>
        <v>9.5421735004139974E-2</v>
      </c>
      <c r="K19" s="154">
        <f>SUM('2023'!G19:I19)</f>
        <v>99782844.019999996</v>
      </c>
      <c r="L19" s="155">
        <f t="shared" si="7"/>
        <v>15053834.350000039</v>
      </c>
      <c r="M19" s="159">
        <f t="shared" si="2"/>
        <v>0.150865957949472</v>
      </c>
      <c r="N19" s="154">
        <f>'2024'!I19</f>
        <v>50079162.990000017</v>
      </c>
      <c r="O19" s="154">
        <f>'2024'!I95</f>
        <v>44933194.735314272</v>
      </c>
      <c r="P19" s="155">
        <f t="shared" si="6"/>
        <v>5145968.2546857446</v>
      </c>
      <c r="Q19" s="157">
        <f t="shared" si="3"/>
        <v>0.11452486930873351</v>
      </c>
      <c r="R19" s="154">
        <f>'2023'!I19</f>
        <v>42670635.130000003</v>
      </c>
      <c r="S19" s="155">
        <f t="shared" si="4"/>
        <v>7408527.8600000143</v>
      </c>
      <c r="T19" s="159">
        <f t="shared" si="5"/>
        <v>0.17362122305958771</v>
      </c>
      <c r="W19" s="470"/>
      <c r="Y19" s="470"/>
    </row>
    <row r="20" spans="1:25">
      <c r="A20" s="135">
        <v>7121</v>
      </c>
      <c r="B20" s="558" t="str">
        <f>+VLOOKUP($A20,Master!$D$30:$G$226,4,FALSE)</f>
        <v>Doprinosi za penzijsko i invalidsko osiguranje</v>
      </c>
      <c r="C20" s="559"/>
      <c r="D20" s="559"/>
      <c r="E20" s="559"/>
      <c r="F20" s="559"/>
      <c r="G20" s="148">
        <f>'2024'!S20</f>
        <v>105260618.40000004</v>
      </c>
      <c r="H20" s="148">
        <f>SUM('2024'!G96:I96)</f>
        <v>96992507.786928236</v>
      </c>
      <c r="I20" s="149">
        <f t="shared" si="0"/>
        <v>8268110.6130717993</v>
      </c>
      <c r="J20" s="151">
        <f t="shared" si="1"/>
        <v>8.5244837995477551E-2</v>
      </c>
      <c r="K20" s="148">
        <f>SUM('2023'!G20:I20)</f>
        <v>91227855.520000011</v>
      </c>
      <c r="L20" s="149">
        <f t="shared" si="7"/>
        <v>14032762.880000025</v>
      </c>
      <c r="M20" s="153">
        <f t="shared" si="2"/>
        <v>0.15382103196455832</v>
      </c>
      <c r="N20" s="148">
        <f>'2024'!I20</f>
        <v>45892077.740000017</v>
      </c>
      <c r="O20" s="148">
        <f>'2024'!I96</f>
        <v>41579529.6672429</v>
      </c>
      <c r="P20" s="149">
        <f t="shared" si="6"/>
        <v>4312548.0727571175</v>
      </c>
      <c r="Q20" s="151">
        <f t="shared" si="3"/>
        <v>0.10371805807497192</v>
      </c>
      <c r="R20" s="148">
        <f>'2023'!I20</f>
        <v>39108292.090000004</v>
      </c>
      <c r="S20" s="149">
        <f t="shared" si="4"/>
        <v>6783785.6500000134</v>
      </c>
      <c r="T20" s="153">
        <f t="shared" si="5"/>
        <v>0.17346156754655695</v>
      </c>
      <c r="W20" s="470"/>
      <c r="Y20" s="470"/>
    </row>
    <row r="21" spans="1:25">
      <c r="A21" s="135">
        <v>7122</v>
      </c>
      <c r="B21" s="558" t="str">
        <f>+VLOOKUP($A21,Master!$D$30:$G$226,4,FALSE)</f>
        <v>Doprinosi za zdravstveno osiguranje</v>
      </c>
      <c r="C21" s="559"/>
      <c r="D21" s="559"/>
      <c r="E21" s="559"/>
      <c r="F21" s="559"/>
      <c r="G21" s="148">
        <f>'2024'!S21</f>
        <v>1184664.5900000001</v>
      </c>
      <c r="H21" s="148">
        <f>SUM('2024'!G97:I97)</f>
        <v>584736.12543978193</v>
      </c>
      <c r="I21" s="149">
        <f t="shared" si="0"/>
        <v>599928.46456021816</v>
      </c>
      <c r="J21" s="151">
        <f t="shared" si="1"/>
        <v>1.025981529889247</v>
      </c>
      <c r="K21" s="148">
        <f>SUM('2023'!G21:I21)</f>
        <v>1370337.46</v>
      </c>
      <c r="L21" s="149">
        <f t="shared" si="7"/>
        <v>-185672.86999999988</v>
      </c>
      <c r="M21" s="153">
        <f t="shared" si="2"/>
        <v>-0.13549426722962088</v>
      </c>
      <c r="N21" s="148">
        <f>'2024'!I21</f>
        <v>494660.43000000023</v>
      </c>
      <c r="O21" s="148">
        <f>'2024'!I97</f>
        <v>180181.08257484142</v>
      </c>
      <c r="P21" s="149">
        <f t="shared" si="6"/>
        <v>314479.34742515883</v>
      </c>
      <c r="Q21" s="151">
        <f t="shared" si="3"/>
        <v>1.7453516369818356</v>
      </c>
      <c r="R21" s="148">
        <f>'2023'!I21</f>
        <v>422256.94</v>
      </c>
      <c r="S21" s="149">
        <f t="shared" si="4"/>
        <v>72403.490000000224</v>
      </c>
      <c r="T21" s="153">
        <f t="shared" si="5"/>
        <v>0.17146785083035043</v>
      </c>
      <c r="W21" s="470"/>
      <c r="Y21" s="470"/>
    </row>
    <row r="22" spans="1:25">
      <c r="A22" s="135">
        <v>7123</v>
      </c>
      <c r="B22" s="558" t="str">
        <f>+VLOOKUP($A22,Master!$D$30:$G$226,4,FALSE)</f>
        <v>Doprinosi za osiguranje od nezaposlenosti</v>
      </c>
      <c r="C22" s="559"/>
      <c r="D22" s="559"/>
      <c r="E22" s="559"/>
      <c r="F22" s="559"/>
      <c r="G22" s="148">
        <f>'2024'!S22</f>
        <v>4910225.5500000007</v>
      </c>
      <c r="H22" s="148">
        <f>SUM('2024'!G98:I98)</f>
        <v>4122467.2931547426</v>
      </c>
      <c r="I22" s="149">
        <f t="shared" si="0"/>
        <v>787758.25684525818</v>
      </c>
      <c r="J22" s="151">
        <f t="shared" si="1"/>
        <v>0.1910890252915558</v>
      </c>
      <c r="K22" s="148">
        <f>SUM('2023'!G22:I22)</f>
        <v>4160698.2199999997</v>
      </c>
      <c r="L22" s="149">
        <f t="shared" si="7"/>
        <v>749527.33000000101</v>
      </c>
      <c r="M22" s="153">
        <f t="shared" si="2"/>
        <v>0.18014460322959946</v>
      </c>
      <c r="N22" s="148">
        <f>'2024'!I22</f>
        <v>2137007.6800000002</v>
      </c>
      <c r="O22" s="148">
        <f>'2024'!I98</f>
        <v>1754023.8579447954</v>
      </c>
      <c r="P22" s="149">
        <f t="shared" si="6"/>
        <v>382983.82205520477</v>
      </c>
      <c r="Q22" s="151">
        <f t="shared" si="3"/>
        <v>0.21834584536606605</v>
      </c>
      <c r="R22" s="148">
        <f>'2023'!I22</f>
        <v>1770290.32</v>
      </c>
      <c r="S22" s="149">
        <f t="shared" si="4"/>
        <v>366717.3600000001</v>
      </c>
      <c r="T22" s="153">
        <f t="shared" si="5"/>
        <v>0.20715097171180386</v>
      </c>
      <c r="W22" s="470"/>
      <c r="Y22" s="470"/>
    </row>
    <row r="23" spans="1:25">
      <c r="A23" s="135">
        <v>7124</v>
      </c>
      <c r="B23" s="558" t="str">
        <f>+VLOOKUP($A23,Master!$D$30:$G$226,4,FALSE)</f>
        <v>Ostali doprinosi</v>
      </c>
      <c r="C23" s="559"/>
      <c r="D23" s="559"/>
      <c r="E23" s="559"/>
      <c r="F23" s="559"/>
      <c r="G23" s="148">
        <f>'2024'!S23</f>
        <v>3481169.83</v>
      </c>
      <c r="H23" s="148">
        <f>SUM('2024'!G99:I99)</f>
        <v>3133591.5311314706</v>
      </c>
      <c r="I23" s="149">
        <f t="shared" si="0"/>
        <v>347578.2988685295</v>
      </c>
      <c r="J23" s="151">
        <f t="shared" si="1"/>
        <v>0.11092010410911035</v>
      </c>
      <c r="K23" s="148">
        <f>SUM('2023'!G23:I23)</f>
        <v>3023952.8200000003</v>
      </c>
      <c r="L23" s="149">
        <f t="shared" si="7"/>
        <v>457217.00999999978</v>
      </c>
      <c r="M23" s="153">
        <f t="shared" si="2"/>
        <v>0.15119846016645178</v>
      </c>
      <c r="N23" s="148">
        <f>'2024'!I23</f>
        <v>1555417.1400000006</v>
      </c>
      <c r="O23" s="148">
        <f>'2024'!I99</f>
        <v>1419460.1275517347</v>
      </c>
      <c r="P23" s="149">
        <f t="shared" si="6"/>
        <v>135957.01244826592</v>
      </c>
      <c r="Q23" s="151">
        <f t="shared" si="3"/>
        <v>9.5780790040761898E-2</v>
      </c>
      <c r="R23" s="148">
        <f>'2023'!I23</f>
        <v>1369795.78</v>
      </c>
      <c r="S23" s="149">
        <f t="shared" si="4"/>
        <v>185621.36000000057</v>
      </c>
      <c r="T23" s="153">
        <f t="shared" si="5"/>
        <v>0.1355102437240685</v>
      </c>
      <c r="W23" s="470"/>
      <c r="Y23" s="470"/>
    </row>
    <row r="24" spans="1:25">
      <c r="A24" s="135">
        <v>713</v>
      </c>
      <c r="B24" s="560" t="str">
        <f>+VLOOKUP($A24,Master!$D$30:$G$226,4,FALSE)</f>
        <v>Takse</v>
      </c>
      <c r="C24" s="561"/>
      <c r="D24" s="561"/>
      <c r="E24" s="561"/>
      <c r="F24" s="561"/>
      <c r="G24" s="160">
        <f>'2024'!S24</f>
        <v>2844836.7</v>
      </c>
      <c r="H24" s="160">
        <f>SUM('2024'!G100:I100)</f>
        <v>2791650.5584288258</v>
      </c>
      <c r="I24" s="161">
        <f t="shared" si="0"/>
        <v>53186.141571174376</v>
      </c>
      <c r="J24" s="163">
        <f t="shared" si="1"/>
        <v>1.9051862136036268E-2</v>
      </c>
      <c r="K24" s="160">
        <f>SUM('2023'!G24:I24)</f>
        <v>2794260.57</v>
      </c>
      <c r="L24" s="161">
        <f t="shared" si="7"/>
        <v>50576.130000000354</v>
      </c>
      <c r="M24" s="165">
        <f t="shared" si="2"/>
        <v>1.8100004896823396E-2</v>
      </c>
      <c r="N24" s="160">
        <f>'2024'!I24</f>
        <v>986568.83000000007</v>
      </c>
      <c r="O24" s="160">
        <f>'2024'!I100</f>
        <v>1089304.8526208741</v>
      </c>
      <c r="P24" s="161">
        <f t="shared" si="6"/>
        <v>-102736.02262087399</v>
      </c>
      <c r="Q24" s="163">
        <f t="shared" si="3"/>
        <v>-9.4313380109976142E-2</v>
      </c>
      <c r="R24" s="160">
        <f>'2023'!I24</f>
        <v>1088989.1199999999</v>
      </c>
      <c r="S24" s="161">
        <f t="shared" si="4"/>
        <v>-102420.2899999998</v>
      </c>
      <c r="T24" s="165">
        <f t="shared" si="5"/>
        <v>-9.4050792720500098E-2</v>
      </c>
      <c r="W24" s="470"/>
      <c r="Y24" s="470"/>
    </row>
    <row r="25" spans="1:25">
      <c r="A25" s="135">
        <v>714</v>
      </c>
      <c r="B25" s="560" t="str">
        <f>+VLOOKUP($A25,Master!$D$30:$G$226,4,FALSE)</f>
        <v>Naknade</v>
      </c>
      <c r="C25" s="561"/>
      <c r="D25" s="561"/>
      <c r="E25" s="561"/>
      <c r="F25" s="561"/>
      <c r="G25" s="160">
        <f>'2024'!S25</f>
        <v>10100640.5</v>
      </c>
      <c r="H25" s="160">
        <f>SUM('2024'!G101:I101)</f>
        <v>9638683.1341650672</v>
      </c>
      <c r="I25" s="161">
        <f t="shared" si="0"/>
        <v>461957.36583493277</v>
      </c>
      <c r="J25" s="163">
        <f t="shared" si="1"/>
        <v>4.7927435667792562E-2</v>
      </c>
      <c r="K25" s="160">
        <f>SUM('2023'!G25:I25)</f>
        <v>18868186.140000001</v>
      </c>
      <c r="L25" s="161">
        <f t="shared" si="7"/>
        <v>-8767545.6400000006</v>
      </c>
      <c r="M25" s="165">
        <f t="shared" si="2"/>
        <v>-0.46467347602709208</v>
      </c>
      <c r="N25" s="160">
        <f>'2024'!I25</f>
        <v>3497306.5900000003</v>
      </c>
      <c r="O25" s="160">
        <f>'2024'!I101</f>
        <v>3887539.9432760077</v>
      </c>
      <c r="P25" s="161">
        <f t="shared" si="6"/>
        <v>-390233.35327600734</v>
      </c>
      <c r="Q25" s="163">
        <f t="shared" si="3"/>
        <v>-0.10038053858481</v>
      </c>
      <c r="R25" s="160">
        <f>'2023'!I25</f>
        <v>3332694.04</v>
      </c>
      <c r="S25" s="161">
        <f t="shared" si="4"/>
        <v>164612.55000000028</v>
      </c>
      <c r="T25" s="165">
        <f t="shared" si="5"/>
        <v>4.9393238030335462E-2</v>
      </c>
      <c r="W25" s="470"/>
      <c r="Y25" s="470"/>
    </row>
    <row r="26" spans="1:25">
      <c r="A26" s="135">
        <v>715</v>
      </c>
      <c r="B26" s="560" t="str">
        <f>+VLOOKUP($A26,Master!$D$30:$G$226,4,FALSE)</f>
        <v>Ostali prihodi</v>
      </c>
      <c r="C26" s="561"/>
      <c r="D26" s="561"/>
      <c r="E26" s="561"/>
      <c r="F26" s="561"/>
      <c r="G26" s="160">
        <f>'2024'!S26</f>
        <v>15204999.870000001</v>
      </c>
      <c r="H26" s="160">
        <f>SUM('2024'!G102:I102)</f>
        <v>14549854.956518896</v>
      </c>
      <c r="I26" s="161">
        <f t="shared" si="0"/>
        <v>655144.91348110512</v>
      </c>
      <c r="J26" s="163">
        <f t="shared" si="1"/>
        <v>4.5027590683134333E-2</v>
      </c>
      <c r="K26" s="160">
        <f>SUM('2023'!G26:I26)</f>
        <v>39892567.919999994</v>
      </c>
      <c r="L26" s="161">
        <f t="shared" si="7"/>
        <v>-24687568.049999993</v>
      </c>
      <c r="M26" s="165">
        <f t="shared" si="2"/>
        <v>-0.61885131334508481</v>
      </c>
      <c r="N26" s="160">
        <f>'2024'!I26</f>
        <v>2111632.44</v>
      </c>
      <c r="O26" s="160">
        <f>'2024'!I102</f>
        <v>5155108.6307039</v>
      </c>
      <c r="P26" s="161">
        <f t="shared" si="6"/>
        <v>-3043476.1907039001</v>
      </c>
      <c r="Q26" s="163">
        <f t="shared" si="3"/>
        <v>-0.59038061246215312</v>
      </c>
      <c r="R26" s="160">
        <f>'2023'!I26</f>
        <v>3225147.62</v>
      </c>
      <c r="S26" s="161">
        <f t="shared" si="4"/>
        <v>-1113515.1800000002</v>
      </c>
      <c r="T26" s="165">
        <f t="shared" si="5"/>
        <v>-0.34526022098796216</v>
      </c>
      <c r="W26" s="470"/>
      <c r="Y26" s="470"/>
    </row>
    <row r="27" spans="1:25">
      <c r="A27" s="135">
        <v>73</v>
      </c>
      <c r="B27" s="560" t="str">
        <f>+VLOOKUP($A27,Master!$D$30:$G$226,4,FALSE)</f>
        <v>Primici od otplate kredita i sredstva prenesena iz prethodne godine</v>
      </c>
      <c r="C27" s="561"/>
      <c r="D27" s="561"/>
      <c r="E27" s="561"/>
      <c r="F27" s="561"/>
      <c r="G27" s="160">
        <f>'2024'!S27</f>
        <v>0</v>
      </c>
      <c r="H27" s="160">
        <f>SUM('2024'!G103:I103)</f>
        <v>0</v>
      </c>
      <c r="I27" s="161">
        <f t="shared" si="0"/>
        <v>0</v>
      </c>
      <c r="J27" s="163" t="str">
        <f t="shared" si="1"/>
        <v>...</v>
      </c>
      <c r="K27" s="160">
        <f>SUM('2023'!G27:I27)</f>
        <v>0</v>
      </c>
      <c r="L27" s="161">
        <f t="shared" si="7"/>
        <v>0</v>
      </c>
      <c r="M27" s="165" t="str">
        <f t="shared" si="2"/>
        <v>...</v>
      </c>
      <c r="N27" s="160">
        <f>'2024'!I27</f>
        <v>0</v>
      </c>
      <c r="O27" s="160">
        <f>'2024'!I103</f>
        <v>0</v>
      </c>
      <c r="P27" s="161">
        <f t="shared" si="6"/>
        <v>0</v>
      </c>
      <c r="Q27" s="163" t="str">
        <f t="shared" si="3"/>
        <v>...</v>
      </c>
      <c r="R27" s="160">
        <f>'2023'!I27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564" t="str">
        <f>+VLOOKUP($A28,Master!$D$30:$G$226,4,FALSE)</f>
        <v>Donacije i transferi</v>
      </c>
      <c r="C28" s="565"/>
      <c r="D28" s="565"/>
      <c r="E28" s="565"/>
      <c r="F28" s="565"/>
      <c r="G28" s="160">
        <f>'2024'!S28</f>
        <v>7628461.3200000003</v>
      </c>
      <c r="H28" s="160">
        <f>SUM('2024'!G104:I104)</f>
        <v>7350000</v>
      </c>
      <c r="I28" s="161">
        <f t="shared" si="0"/>
        <v>278461.3200000003</v>
      </c>
      <c r="J28" s="163">
        <f t="shared" si="1"/>
        <v>3.7885893877551036E-2</v>
      </c>
      <c r="K28" s="160">
        <f>SUM('2023'!G28:I28)</f>
        <v>34740617.869999997</v>
      </c>
      <c r="L28" s="161">
        <f t="shared" si="7"/>
        <v>-27112156.549999997</v>
      </c>
      <c r="M28" s="165">
        <f t="shared" si="2"/>
        <v>-0.7804166480703989</v>
      </c>
      <c r="N28" s="160">
        <f>'2024'!I28</f>
        <v>3282201.23</v>
      </c>
      <c r="O28" s="160">
        <f>'2024'!I104</f>
        <v>1500000</v>
      </c>
      <c r="P28" s="161">
        <f t="shared" si="6"/>
        <v>1782201.23</v>
      </c>
      <c r="Q28" s="163">
        <f t="shared" si="3"/>
        <v>1.1881341533333334</v>
      </c>
      <c r="R28" s="160">
        <f>'2023'!I28</f>
        <v>30264327.079999998</v>
      </c>
      <c r="S28" s="161">
        <f t="shared" si="4"/>
        <v>-26982125.849999998</v>
      </c>
      <c r="T28" s="165">
        <f t="shared" si="5"/>
        <v>-0.89154884490496322</v>
      </c>
      <c r="W28" s="470"/>
      <c r="Y28" s="470"/>
    </row>
    <row r="29" spans="1:25" ht="15.75" thickBot="1">
      <c r="A29" s="135">
        <v>4</v>
      </c>
      <c r="B29" s="566" t="str">
        <f>+VLOOKUP($A29,Master!$D$30:$G$226,4,FALSE)</f>
        <v>Izdaci budžeta</v>
      </c>
      <c r="C29" s="567"/>
      <c r="D29" s="567"/>
      <c r="E29" s="567"/>
      <c r="F29" s="567"/>
      <c r="G29" s="136">
        <f>'2024'!S29</f>
        <v>583421201.15999997</v>
      </c>
      <c r="H29" s="136">
        <f>SUM('2024'!G105:I105)</f>
        <v>655561551.67499995</v>
      </c>
      <c r="I29" s="137">
        <f t="shared" si="0"/>
        <v>-72140350.514999986</v>
      </c>
      <c r="J29" s="139">
        <f t="shared" si="1"/>
        <v>-0.11004359595323576</v>
      </c>
      <c r="K29" s="136">
        <f>SUM('2023'!G29:I29)</f>
        <v>479256619.1099999</v>
      </c>
      <c r="L29" s="137">
        <f t="shared" si="7"/>
        <v>104164582.05000007</v>
      </c>
      <c r="M29" s="141">
        <f t="shared" si="2"/>
        <v>0.2173461521375295</v>
      </c>
      <c r="N29" s="136">
        <f>'2024'!I29</f>
        <v>231119657.97</v>
      </c>
      <c r="O29" s="136">
        <f>'2024'!I105</f>
        <v>238081263.40500003</v>
      </c>
      <c r="P29" s="137">
        <f t="shared" si="6"/>
        <v>-6961605.4350000322</v>
      </c>
      <c r="Q29" s="139">
        <f t="shared" si="3"/>
        <v>-2.9240459057702672E-2</v>
      </c>
      <c r="R29" s="136">
        <f>'2023'!I29</f>
        <v>193714169.75999993</v>
      </c>
      <c r="S29" s="137">
        <f t="shared" si="4"/>
        <v>37405488.210000068</v>
      </c>
      <c r="T29" s="141">
        <f t="shared" si="5"/>
        <v>0.19309629365958725</v>
      </c>
      <c r="W29" s="470"/>
      <c r="Y29" s="470"/>
    </row>
    <row r="30" spans="1:25">
      <c r="A30" s="135">
        <v>41</v>
      </c>
      <c r="B30" s="570" t="str">
        <f>+VLOOKUP($A30,Master!$D$30:$G$226,4,FALSE)</f>
        <v>Tekući izdaci</v>
      </c>
      <c r="C30" s="571"/>
      <c r="D30" s="571"/>
      <c r="E30" s="571"/>
      <c r="F30" s="571"/>
      <c r="G30" s="294">
        <f>'2024'!S30</f>
        <v>233644470.79999992</v>
      </c>
      <c r="H30" s="294">
        <f>SUM('2024'!G106:I106)</f>
        <v>270236688.11500001</v>
      </c>
      <c r="I30" s="173">
        <f t="shared" si="0"/>
        <v>-36592217.315000087</v>
      </c>
      <c r="J30" s="175">
        <f t="shared" si="1"/>
        <v>-0.13540802905128912</v>
      </c>
      <c r="K30" s="294">
        <f>SUM('2023'!G30:I30)</f>
        <v>208227373.69</v>
      </c>
      <c r="L30" s="173">
        <f t="shared" si="7"/>
        <v>25417097.109999925</v>
      </c>
      <c r="M30" s="177">
        <f t="shared" si="2"/>
        <v>0.12206414872157878</v>
      </c>
      <c r="N30" s="294">
        <f>'2024'!I30</f>
        <v>89988112.119999975</v>
      </c>
      <c r="O30" s="294">
        <f>'2024'!I106</f>
        <v>95451885.045000017</v>
      </c>
      <c r="P30" s="173">
        <f t="shared" si="6"/>
        <v>-5463772.9250000417</v>
      </c>
      <c r="Q30" s="175">
        <f t="shared" si="3"/>
        <v>-5.7241121245789839E-2</v>
      </c>
      <c r="R30" s="294">
        <f>'2023'!I30</f>
        <v>83323034.12999998</v>
      </c>
      <c r="S30" s="173">
        <f t="shared" si="4"/>
        <v>6665077.9899999946</v>
      </c>
      <c r="T30" s="177">
        <f t="shared" si="5"/>
        <v>7.9990821980884474E-2</v>
      </c>
      <c r="W30" s="470"/>
      <c r="Y30" s="470"/>
    </row>
    <row r="31" spans="1:25">
      <c r="A31" s="135">
        <v>411</v>
      </c>
      <c r="B31" s="558" t="str">
        <f>+VLOOKUP($A31,Master!$D$30:$G$226,4,FALSE)</f>
        <v>Bruto zarade i doprinosi na teret poslodavca</v>
      </c>
      <c r="C31" s="559"/>
      <c r="D31" s="559"/>
      <c r="E31" s="559"/>
      <c r="F31" s="559"/>
      <c r="G31" s="148">
        <f>'2024'!S31</f>
        <v>166238580.94999996</v>
      </c>
      <c r="H31" s="148">
        <f>SUM('2024'!G107:I107)</f>
        <v>169541449.57499999</v>
      </c>
      <c r="I31" s="149">
        <f t="shared" si="0"/>
        <v>-3302868.6250000298</v>
      </c>
      <c r="J31" s="151">
        <f t="shared" si="1"/>
        <v>-1.9481186655413985E-2</v>
      </c>
      <c r="K31" s="148">
        <f>SUM('2023'!G31:I31)</f>
        <v>152786089.09</v>
      </c>
      <c r="L31" s="149">
        <f t="shared" si="7"/>
        <v>13452491.859999955</v>
      </c>
      <c r="M31" s="153">
        <f t="shared" si="2"/>
        <v>8.8047884071930538E-2</v>
      </c>
      <c r="N31" s="148">
        <f>'2024'!I31</f>
        <v>55409720.469999991</v>
      </c>
      <c r="O31" s="148">
        <f>'2024'!I107</f>
        <v>56488796.335000001</v>
      </c>
      <c r="P31" s="149">
        <f>+N31-O31</f>
        <v>-1079075.8650000095</v>
      </c>
      <c r="Q31" s="151">
        <f>IF(+IF(ISERROR(N31/O31),"…",N31/O31-1)&gt;200%,"...",IF(ISERROR(N31/O31),"…",N31/O31-1))</f>
        <v>-1.9102475800700014E-2</v>
      </c>
      <c r="R31" s="148">
        <f>'2023'!I31</f>
        <v>52148208.229999997</v>
      </c>
      <c r="S31" s="149">
        <f t="shared" si="4"/>
        <v>3261512.2399999946</v>
      </c>
      <c r="T31" s="153">
        <f t="shared" si="5"/>
        <v>6.2543131407604147E-2</v>
      </c>
      <c r="W31" s="470"/>
      <c r="Y31" s="470"/>
    </row>
    <row r="32" spans="1:25">
      <c r="A32" s="135">
        <v>412</v>
      </c>
      <c r="B32" s="558" t="str">
        <f>+VLOOKUP($A32,Master!$D$30:$G$226,4,FALSE)</f>
        <v>Ostala lična primanja</v>
      </c>
      <c r="C32" s="559"/>
      <c r="D32" s="559"/>
      <c r="E32" s="559"/>
      <c r="F32" s="559"/>
      <c r="G32" s="148">
        <f>'2024'!S32</f>
        <v>4200861.5199999996</v>
      </c>
      <c r="H32" s="148">
        <f>SUM('2024'!G108:I108)</f>
        <v>5594330.0800000019</v>
      </c>
      <c r="I32" s="149">
        <f t="shared" si="0"/>
        <v>-1393468.5600000024</v>
      </c>
      <c r="J32" s="151">
        <f t="shared" si="1"/>
        <v>-0.24908586731085447</v>
      </c>
      <c r="K32" s="148">
        <f>SUM('2023'!G32:I32)</f>
        <v>3401388.59</v>
      </c>
      <c r="L32" s="149">
        <f t="shared" si="7"/>
        <v>799472.9299999997</v>
      </c>
      <c r="M32" s="153">
        <f t="shared" si="2"/>
        <v>0.23504310338149281</v>
      </c>
      <c r="N32" s="148">
        <f>'2024'!I32</f>
        <v>2257740.919999999</v>
      </c>
      <c r="O32" s="148">
        <f>'2024'!I108</f>
        <v>1753124.9700000007</v>
      </c>
      <c r="P32" s="149">
        <f t="shared" si="6"/>
        <v>504615.94999999832</v>
      </c>
      <c r="Q32" s="151">
        <f t="shared" si="3"/>
        <v>0.28783797997013183</v>
      </c>
      <c r="R32" s="148">
        <f>'2023'!I32</f>
        <v>2090344.1199999999</v>
      </c>
      <c r="S32" s="149">
        <f t="shared" si="4"/>
        <v>167396.79999999912</v>
      </c>
      <c r="T32" s="153">
        <f t="shared" si="5"/>
        <v>8.0080977289040289E-2</v>
      </c>
      <c r="W32" s="470"/>
      <c r="Y32" s="470"/>
    </row>
    <row r="33" spans="1:25">
      <c r="A33" s="135">
        <v>413</v>
      </c>
      <c r="B33" s="558" t="str">
        <f>+VLOOKUP($A33,Master!$D$30:$G$226,4,FALSE)</f>
        <v>Rashodi za materijal</v>
      </c>
      <c r="C33" s="559"/>
      <c r="D33" s="559"/>
      <c r="E33" s="559"/>
      <c r="F33" s="559"/>
      <c r="G33" s="148">
        <f>'2024'!S33</f>
        <v>6916918.2599999998</v>
      </c>
      <c r="H33" s="148">
        <f>SUM('2024'!G109:I109)</f>
        <v>11854310.129999999</v>
      </c>
      <c r="I33" s="149">
        <f t="shared" si="0"/>
        <v>-4937391.8699999992</v>
      </c>
      <c r="J33" s="151">
        <f t="shared" si="1"/>
        <v>-0.41650604850507644</v>
      </c>
      <c r="K33" s="148">
        <f>SUM('2023'!G33:I33)</f>
        <v>8011229.4600000009</v>
      </c>
      <c r="L33" s="149">
        <f t="shared" si="7"/>
        <v>-1094311.2000000011</v>
      </c>
      <c r="M33" s="153">
        <f t="shared" si="2"/>
        <v>-0.13659716095561703</v>
      </c>
      <c r="N33" s="148">
        <f>'2024'!I33</f>
        <v>3529714.7899999996</v>
      </c>
      <c r="O33" s="148">
        <f>'2024'!I109</f>
        <v>4746218.3499999987</v>
      </c>
      <c r="P33" s="149">
        <f t="shared" si="6"/>
        <v>-1216503.5599999991</v>
      </c>
      <c r="Q33" s="151">
        <f t="shared" si="3"/>
        <v>-0.25631007052172372</v>
      </c>
      <c r="R33" s="148">
        <f>'2023'!I33</f>
        <v>5143114.03</v>
      </c>
      <c r="S33" s="149">
        <f t="shared" si="4"/>
        <v>-1613399.2400000007</v>
      </c>
      <c r="T33" s="153">
        <f t="shared" si="5"/>
        <v>-0.31370084944432008</v>
      </c>
      <c r="W33" s="470"/>
      <c r="Y33" s="470"/>
    </row>
    <row r="34" spans="1:25">
      <c r="A34" s="135">
        <v>414</v>
      </c>
      <c r="B34" s="558" t="str">
        <f>+VLOOKUP($A34,Master!$D$30:$G$226,4,FALSE)</f>
        <v>Rashodi za usluge</v>
      </c>
      <c r="C34" s="559"/>
      <c r="D34" s="559"/>
      <c r="E34" s="559"/>
      <c r="F34" s="559"/>
      <c r="G34" s="148">
        <f>'2024'!S34</f>
        <v>10964786.91</v>
      </c>
      <c r="H34" s="148">
        <f>SUM('2024'!G110:I110)</f>
        <v>15416824.790000003</v>
      </c>
      <c r="I34" s="149">
        <f t="shared" si="0"/>
        <v>-4452037.8800000027</v>
      </c>
      <c r="J34" s="151">
        <f t="shared" si="1"/>
        <v>-0.28877787356627294</v>
      </c>
      <c r="K34" s="148">
        <f>SUM('2023'!G34:I34)</f>
        <v>11630079.449999999</v>
      </c>
      <c r="L34" s="149">
        <f t="shared" si="7"/>
        <v>-665292.53999999911</v>
      </c>
      <c r="M34" s="153">
        <f t="shared" si="2"/>
        <v>-5.7204470774273153E-2</v>
      </c>
      <c r="N34" s="148">
        <f>'2024'!I34</f>
        <v>6884866.3600000003</v>
      </c>
      <c r="O34" s="148">
        <f>'2024'!I110</f>
        <v>5978418.9100000011</v>
      </c>
      <c r="P34" s="149">
        <f t="shared" si="6"/>
        <v>906447.44999999925</v>
      </c>
      <c r="Q34" s="151">
        <f t="shared" si="3"/>
        <v>0.15161992888852271</v>
      </c>
      <c r="R34" s="148">
        <f>'2023'!I34</f>
        <v>6999568.0099999998</v>
      </c>
      <c r="S34" s="149">
        <f t="shared" si="4"/>
        <v>-114701.64999999944</v>
      </c>
      <c r="T34" s="153">
        <f t="shared" si="5"/>
        <v>-1.6386961286200763E-2</v>
      </c>
      <c r="W34" s="470"/>
      <c r="Y34" s="470"/>
    </row>
    <row r="35" spans="1:25">
      <c r="A35" s="135">
        <v>415</v>
      </c>
      <c r="B35" s="558" t="str">
        <f>+VLOOKUP($A35,Master!$D$30:$G$226,4,FALSE)</f>
        <v>Rashodi za tekuće održavanje</v>
      </c>
      <c r="C35" s="559"/>
      <c r="D35" s="559"/>
      <c r="E35" s="559"/>
      <c r="F35" s="559"/>
      <c r="G35" s="148">
        <f>'2024'!S35</f>
        <v>3330340.5399999996</v>
      </c>
      <c r="H35" s="148">
        <f>SUM('2024'!G111:I111)</f>
        <v>7911800</v>
      </c>
      <c r="I35" s="149">
        <f t="shared" si="0"/>
        <v>-4581459.4600000009</v>
      </c>
      <c r="J35" s="151">
        <f t="shared" si="1"/>
        <v>-0.57906664223059234</v>
      </c>
      <c r="K35" s="148">
        <f>SUM('2023'!G35:I35)</f>
        <v>3897439.7500000009</v>
      </c>
      <c r="L35" s="149">
        <f t="shared" si="7"/>
        <v>-567099.21000000136</v>
      </c>
      <c r="M35" s="153">
        <f t="shared" si="2"/>
        <v>-0.14550557452491764</v>
      </c>
      <c r="N35" s="148">
        <f>'2024'!I35</f>
        <v>1881542.3199999998</v>
      </c>
      <c r="O35" s="148">
        <f>'2024'!I111</f>
        <v>3471949</v>
      </c>
      <c r="P35" s="149">
        <f t="shared" si="6"/>
        <v>-1590406.6800000002</v>
      </c>
      <c r="Q35" s="151">
        <f t="shared" si="3"/>
        <v>-0.45807316870149883</v>
      </c>
      <c r="R35" s="148">
        <f>'2023'!I35</f>
        <v>3339189.7600000007</v>
      </c>
      <c r="S35" s="149">
        <f t="shared" si="4"/>
        <v>-1457647.4400000009</v>
      </c>
      <c r="T35" s="153">
        <f t="shared" si="5"/>
        <v>-0.43652728499023685</v>
      </c>
      <c r="W35" s="470"/>
      <c r="Y35" s="470"/>
    </row>
    <row r="36" spans="1:25">
      <c r="A36" s="135">
        <v>416</v>
      </c>
      <c r="B36" s="558" t="str">
        <f>+VLOOKUP($A36,Master!$D$30:$G$226,4,FALSE)</f>
        <v>Kamate</v>
      </c>
      <c r="C36" s="559"/>
      <c r="D36" s="559"/>
      <c r="E36" s="559"/>
      <c r="F36" s="559"/>
      <c r="G36" s="148">
        <f>'2024'!S36</f>
        <v>15346370.119999997</v>
      </c>
      <c r="H36" s="148">
        <f>SUM('2024'!G112:I112)</f>
        <v>18719639.219999999</v>
      </c>
      <c r="I36" s="149">
        <f t="shared" si="0"/>
        <v>-3373269.1000000015</v>
      </c>
      <c r="J36" s="151">
        <f t="shared" si="1"/>
        <v>-0.18019947181439333</v>
      </c>
      <c r="K36" s="148">
        <f>SUM('2023'!G36:I36)</f>
        <v>8133595.3600000003</v>
      </c>
      <c r="L36" s="149">
        <f t="shared" si="7"/>
        <v>7212774.759999997</v>
      </c>
      <c r="M36" s="153">
        <f t="shared" si="2"/>
        <v>0.8867879997413588</v>
      </c>
      <c r="N36" s="148">
        <f>'2024'!I36</f>
        <v>7187848.6899999976</v>
      </c>
      <c r="O36" s="148">
        <f>'2024'!I112</f>
        <v>7002612.4900000021</v>
      </c>
      <c r="P36" s="149">
        <f t="shared" si="6"/>
        <v>185236.19999999553</v>
      </c>
      <c r="Q36" s="151">
        <f t="shared" si="3"/>
        <v>2.6452441894295964E-2</v>
      </c>
      <c r="R36" s="148">
        <f>'2023'!I36</f>
        <v>1735632.8099999998</v>
      </c>
      <c r="S36" s="149">
        <f t="shared" si="4"/>
        <v>5452215.879999998</v>
      </c>
      <c r="T36" s="153" t="str">
        <f t="shared" si="5"/>
        <v>...</v>
      </c>
      <c r="W36" s="470"/>
      <c r="Y36" s="470"/>
    </row>
    <row r="37" spans="1:25">
      <c r="A37" s="135">
        <v>417</v>
      </c>
      <c r="B37" s="558" t="str">
        <f>+VLOOKUP($A37,Master!$D$30:$G$226,4,FALSE)</f>
        <v>Renta</v>
      </c>
      <c r="C37" s="559"/>
      <c r="D37" s="559"/>
      <c r="E37" s="559"/>
      <c r="F37" s="559"/>
      <c r="G37" s="148">
        <f>'2024'!S37</f>
        <v>2288836.7400000002</v>
      </c>
      <c r="H37" s="148">
        <f>SUM('2024'!G113:I113)</f>
        <v>3494208.7499999995</v>
      </c>
      <c r="I37" s="149">
        <f t="shared" si="0"/>
        <v>-1205372.0099999993</v>
      </c>
      <c r="J37" s="151">
        <f t="shared" si="1"/>
        <v>-0.34496279307869038</v>
      </c>
      <c r="K37" s="148">
        <f>SUM('2023'!G37:I37)</f>
        <v>1794783.3199999998</v>
      </c>
      <c r="L37" s="149">
        <f t="shared" si="7"/>
        <v>494053.42000000039</v>
      </c>
      <c r="M37" s="153">
        <f t="shared" si="2"/>
        <v>0.27527190301724014</v>
      </c>
      <c r="N37" s="148">
        <f>'2024'!I37</f>
        <v>1228548.2700000005</v>
      </c>
      <c r="O37" s="148">
        <f>'2024'!I113</f>
        <v>1156431.0099999998</v>
      </c>
      <c r="P37" s="149">
        <f t="shared" si="6"/>
        <v>72117.260000000708</v>
      </c>
      <c r="Q37" s="151">
        <f t="shared" si="3"/>
        <v>6.2361921616059579E-2</v>
      </c>
      <c r="R37" s="148">
        <f>'2023'!I37</f>
        <v>862022.10999999987</v>
      </c>
      <c r="S37" s="149">
        <f t="shared" si="4"/>
        <v>366526.16000000061</v>
      </c>
      <c r="T37" s="153">
        <f t="shared" si="5"/>
        <v>0.42519345588479251</v>
      </c>
      <c r="W37" s="470"/>
      <c r="Y37" s="470"/>
    </row>
    <row r="38" spans="1:25">
      <c r="A38" s="135">
        <v>418</v>
      </c>
      <c r="B38" s="558" t="str">
        <f>+VLOOKUP($A38,Master!$D$30:$G$226,4,FALSE)</f>
        <v>Subvencije</v>
      </c>
      <c r="C38" s="559"/>
      <c r="D38" s="559"/>
      <c r="E38" s="559"/>
      <c r="F38" s="559"/>
      <c r="G38" s="148">
        <f>'2024'!S38</f>
        <v>11119705.359999985</v>
      </c>
      <c r="H38" s="148">
        <f>SUM('2024'!G114:I114)</f>
        <v>12247483.010000002</v>
      </c>
      <c r="I38" s="149">
        <f t="shared" si="0"/>
        <v>-1127777.6500000171</v>
      </c>
      <c r="J38" s="151">
        <f t="shared" si="1"/>
        <v>-9.2082401672179737E-2</v>
      </c>
      <c r="K38" s="148">
        <f>SUM('2023'!G38:I38)</f>
        <v>9637612.6499999985</v>
      </c>
      <c r="L38" s="149">
        <f t="shared" si="7"/>
        <v>1482092.709999986</v>
      </c>
      <c r="M38" s="153">
        <f t="shared" si="2"/>
        <v>0.15378214126503487</v>
      </c>
      <c r="N38" s="148">
        <f>'2024'!I38</f>
        <v>6034941.5099999923</v>
      </c>
      <c r="O38" s="148">
        <f>'2024'!I114</f>
        <v>6003432.1100000013</v>
      </c>
      <c r="P38" s="149">
        <f t="shared" si="6"/>
        <v>31509.399999991059</v>
      </c>
      <c r="Q38" s="151">
        <f t="shared" si="3"/>
        <v>5.2485643916095892E-3</v>
      </c>
      <c r="R38" s="148">
        <f>'2023'!I38</f>
        <v>5710797.709999999</v>
      </c>
      <c r="S38" s="149">
        <f t="shared" si="4"/>
        <v>324143.79999999329</v>
      </c>
      <c r="T38" s="153">
        <f t="shared" si="5"/>
        <v>5.6759811231344326E-2</v>
      </c>
      <c r="W38" s="470"/>
      <c r="Y38" s="470"/>
    </row>
    <row r="39" spans="1:25">
      <c r="A39" s="135">
        <v>419</v>
      </c>
      <c r="B39" s="558" t="str">
        <f>+VLOOKUP($A39,Master!$D$30:$G$226,4,FALSE)</f>
        <v>Ostali izdaci</v>
      </c>
      <c r="C39" s="559"/>
      <c r="D39" s="559"/>
      <c r="E39" s="559"/>
      <c r="F39" s="559"/>
      <c r="G39" s="148">
        <f>'2024'!S39</f>
        <v>13238070.399999999</v>
      </c>
      <c r="H39" s="148">
        <f>SUM('2024'!G115:I115)</f>
        <v>25456642.560000002</v>
      </c>
      <c r="I39" s="149">
        <f t="shared" si="0"/>
        <v>-12218572.160000004</v>
      </c>
      <c r="J39" s="151">
        <f t="shared" si="1"/>
        <v>-0.4799757914344539</v>
      </c>
      <c r="K39" s="148">
        <f>SUM('2023'!G39:I39)</f>
        <v>8935156.0199999996</v>
      </c>
      <c r="L39" s="149">
        <f t="shared" si="7"/>
        <v>4302914.379999999</v>
      </c>
      <c r="M39" s="153">
        <f t="shared" si="2"/>
        <v>0.48157126415795926</v>
      </c>
      <c r="N39" s="148">
        <f>'2024'!I39</f>
        <v>5573188.7899999991</v>
      </c>
      <c r="O39" s="148">
        <f>'2024'!I115</f>
        <v>8850901.870000001</v>
      </c>
      <c r="P39" s="149">
        <f t="shared" si="6"/>
        <v>-3277713.0800000019</v>
      </c>
      <c r="Q39" s="151">
        <f t="shared" si="3"/>
        <v>-0.37032532143529473</v>
      </c>
      <c r="R39" s="148">
        <f>'2023'!I39</f>
        <v>5294157.3499999987</v>
      </c>
      <c r="S39" s="149">
        <f t="shared" si="4"/>
        <v>279031.44000000041</v>
      </c>
      <c r="T39" s="153">
        <f t="shared" si="5"/>
        <v>5.2705543404372168E-2</v>
      </c>
      <c r="W39" s="470"/>
      <c r="Y39" s="470"/>
    </row>
    <row r="40" spans="1:25">
      <c r="A40" s="135">
        <v>42</v>
      </c>
      <c r="B40" s="574" t="str">
        <f>+VLOOKUP($A40,Master!$D$30:$G$226,4,FALSE)</f>
        <v>Transferi za socijalnu zaštitu</v>
      </c>
      <c r="C40" s="575"/>
      <c r="D40" s="575"/>
      <c r="E40" s="575"/>
      <c r="F40" s="575"/>
      <c r="G40" s="178">
        <f>'2024'!S40</f>
        <v>233763257.03</v>
      </c>
      <c r="H40" s="178">
        <f>SUM('2024'!G116:I116)</f>
        <v>243237779.25999999</v>
      </c>
      <c r="I40" s="179">
        <f t="shared" si="0"/>
        <v>-9474522.2299999893</v>
      </c>
      <c r="J40" s="181">
        <f t="shared" si="1"/>
        <v>-3.8951688585647459E-2</v>
      </c>
      <c r="K40" s="178">
        <f>SUM('2023'!G40:I40)</f>
        <v>192939119.11999995</v>
      </c>
      <c r="L40" s="179">
        <f t="shared" si="7"/>
        <v>40824137.910000056</v>
      </c>
      <c r="M40" s="183">
        <f t="shared" si="2"/>
        <v>0.21159077586857422</v>
      </c>
      <c r="N40" s="178">
        <f>'2024'!I40</f>
        <v>83535130.719999999</v>
      </c>
      <c r="O40" s="178">
        <f>'2024'!I116</f>
        <v>83399809.099999994</v>
      </c>
      <c r="P40" s="179">
        <f t="shared" si="6"/>
        <v>135321.62000000477</v>
      </c>
      <c r="Q40" s="181">
        <f t="shared" si="3"/>
        <v>1.6225651048882295E-3</v>
      </c>
      <c r="R40" s="178">
        <f>'2023'!I40</f>
        <v>68141527.619999975</v>
      </c>
      <c r="S40" s="179">
        <f t="shared" si="4"/>
        <v>15393603.100000024</v>
      </c>
      <c r="T40" s="183">
        <f t="shared" si="5"/>
        <v>0.22590633990251052</v>
      </c>
      <c r="W40" s="470"/>
      <c r="Y40" s="470"/>
    </row>
    <row r="41" spans="1:25">
      <c r="A41" s="135">
        <v>421</v>
      </c>
      <c r="B41" s="558" t="str">
        <f>+VLOOKUP($A41,Master!$D$30:$G$226,4,FALSE)</f>
        <v>Prava iz oblasti socijalne zaštite</v>
      </c>
      <c r="C41" s="559"/>
      <c r="D41" s="559"/>
      <c r="E41" s="559"/>
      <c r="F41" s="559"/>
      <c r="G41" s="148">
        <f>'2024'!S41</f>
        <v>51619432.5</v>
      </c>
      <c r="H41" s="148">
        <f>SUM('2024'!G117:I117)</f>
        <v>53867349.799999997</v>
      </c>
      <c r="I41" s="149">
        <f t="shared" si="0"/>
        <v>-2247917.299999997</v>
      </c>
      <c r="J41" s="151">
        <f t="shared" si="1"/>
        <v>-4.1730608770361277E-2</v>
      </c>
      <c r="K41" s="148">
        <f>SUM('2023'!G41:I41)</f>
        <v>52452756.899999999</v>
      </c>
      <c r="L41" s="149">
        <f t="shared" si="7"/>
        <v>-833324.39999999851</v>
      </c>
      <c r="M41" s="153">
        <f t="shared" si="2"/>
        <v>-1.5887142054110015E-2</v>
      </c>
      <c r="N41" s="148">
        <f>'2024'!I41</f>
        <v>16928238.349999998</v>
      </c>
      <c r="O41" s="148">
        <f>'2024'!I117</f>
        <v>17207107.52</v>
      </c>
      <c r="P41" s="149">
        <f t="shared" si="6"/>
        <v>-278869.17000000179</v>
      </c>
      <c r="Q41" s="151">
        <f t="shared" si="3"/>
        <v>-1.6206626806734903E-2</v>
      </c>
      <c r="R41" s="148">
        <f>'2023'!I41</f>
        <v>18659851.780000001</v>
      </c>
      <c r="S41" s="149">
        <f t="shared" si="4"/>
        <v>-1731613.4300000034</v>
      </c>
      <c r="T41" s="153">
        <f t="shared" si="5"/>
        <v>-9.2798884493604628E-2</v>
      </c>
      <c r="W41" s="470"/>
      <c r="Y41" s="470"/>
    </row>
    <row r="42" spans="1:25">
      <c r="A42" s="135">
        <v>422</v>
      </c>
      <c r="B42" s="558" t="str">
        <f>+VLOOKUP($A42,Master!$D$30:$G$226,4,FALSE)</f>
        <v>Sredstva za tehnološke viškove</v>
      </c>
      <c r="C42" s="559"/>
      <c r="D42" s="559"/>
      <c r="E42" s="559"/>
      <c r="F42" s="559"/>
      <c r="G42" s="148">
        <f>'2024'!S42</f>
        <v>3940000.21</v>
      </c>
      <c r="H42" s="148">
        <f>SUM('2024'!G118:I118)</f>
        <v>6276574.9800000004</v>
      </c>
      <c r="I42" s="149">
        <f t="shared" si="0"/>
        <v>-2336574.7700000005</v>
      </c>
      <c r="J42" s="151">
        <f t="shared" si="1"/>
        <v>-0.37226907627892314</v>
      </c>
      <c r="K42" s="148">
        <f>SUM('2023'!G42:I42)</f>
        <v>4297370.43</v>
      </c>
      <c r="L42" s="149">
        <f t="shared" si="7"/>
        <v>-357370.21999999974</v>
      </c>
      <c r="M42" s="153">
        <f t="shared" si="2"/>
        <v>-8.3160208276483072E-2</v>
      </c>
      <c r="N42" s="148">
        <f>'2024'!I42</f>
        <v>1962698.7999999998</v>
      </c>
      <c r="O42" s="148">
        <f>'2024'!I118</f>
        <v>2092191.6600000001</v>
      </c>
      <c r="P42" s="149">
        <f t="shared" si="6"/>
        <v>-129492.86000000034</v>
      </c>
      <c r="Q42" s="151">
        <f t="shared" si="3"/>
        <v>-6.1893402251684826E-2</v>
      </c>
      <c r="R42" s="148">
        <f>'2023'!I42</f>
        <v>2136078.06</v>
      </c>
      <c r="S42" s="149">
        <f t="shared" si="4"/>
        <v>-173379.26000000024</v>
      </c>
      <c r="T42" s="153">
        <f t="shared" si="5"/>
        <v>-8.1167099295987422E-2</v>
      </c>
      <c r="W42" s="470"/>
      <c r="Y42" s="470"/>
    </row>
    <row r="43" spans="1:25">
      <c r="A43" s="135">
        <v>423</v>
      </c>
      <c r="B43" s="558" t="str">
        <f>+VLOOKUP($A43,Master!$D$30:$G$226,4,FALSE)</f>
        <v>Prava iz oblasti penzijskog i invalidskog osiguranja</v>
      </c>
      <c r="C43" s="559"/>
      <c r="D43" s="559"/>
      <c r="E43" s="559"/>
      <c r="F43" s="559"/>
      <c r="G43" s="148">
        <f>'2024'!S43</f>
        <v>171438733.90000001</v>
      </c>
      <c r="H43" s="148">
        <f>SUM('2024'!G119:I119)</f>
        <v>173928854.48000002</v>
      </c>
      <c r="I43" s="149">
        <f t="shared" si="0"/>
        <v>-2490120.5800000131</v>
      </c>
      <c r="J43" s="151">
        <f t="shared" si="1"/>
        <v>-1.4316891739698967E-2</v>
      </c>
      <c r="K43" s="148">
        <f>SUM('2023'!G43:I43)</f>
        <v>129293336.88</v>
      </c>
      <c r="L43" s="149">
        <f t="shared" si="7"/>
        <v>42145397.020000011</v>
      </c>
      <c r="M43" s="153">
        <f t="shared" si="2"/>
        <v>0.3259672774871305</v>
      </c>
      <c r="N43" s="148">
        <f>'2024'!I43</f>
        <v>61009059.659999996</v>
      </c>
      <c r="O43" s="148">
        <f>'2024'!I119</f>
        <v>61045509.920000002</v>
      </c>
      <c r="P43" s="149">
        <f t="shared" si="6"/>
        <v>-36450.260000005364</v>
      </c>
      <c r="Q43" s="151">
        <f t="shared" si="3"/>
        <v>-5.9709977110145029E-4</v>
      </c>
      <c r="R43" s="148">
        <f>'2023'!I43</f>
        <v>43546253.729999982</v>
      </c>
      <c r="S43" s="149">
        <f t="shared" si="4"/>
        <v>17462805.930000015</v>
      </c>
      <c r="T43" s="153">
        <f t="shared" si="5"/>
        <v>0.40101741101024957</v>
      </c>
      <c r="W43" s="470"/>
      <c r="Y43" s="470"/>
    </row>
    <row r="44" spans="1:25">
      <c r="A44" s="135">
        <v>424</v>
      </c>
      <c r="B44" s="558" t="str">
        <f>+VLOOKUP($A44,Master!$D$30:$G$226,4,FALSE)</f>
        <v>Ostala prava iz oblasti zdravstvene zaštite</v>
      </c>
      <c r="C44" s="559"/>
      <c r="D44" s="559"/>
      <c r="E44" s="559"/>
      <c r="F44" s="559"/>
      <c r="G44" s="148">
        <f>'2024'!S44</f>
        <v>3134177.709999999</v>
      </c>
      <c r="H44" s="148">
        <f>SUM('2024'!G120:I120)</f>
        <v>5265000</v>
      </c>
      <c r="I44" s="149">
        <f t="shared" si="0"/>
        <v>-2130822.290000001</v>
      </c>
      <c r="J44" s="151">
        <f t="shared" si="1"/>
        <v>-0.40471458499525181</v>
      </c>
      <c r="K44" s="148">
        <f>SUM('2023'!G44:I44)</f>
        <v>4673071.0500000007</v>
      </c>
      <c r="L44" s="149">
        <f t="shared" si="7"/>
        <v>-1538893.3400000017</v>
      </c>
      <c r="M44" s="153">
        <f t="shared" si="2"/>
        <v>-0.32931092284590913</v>
      </c>
      <c r="N44" s="148">
        <f>'2024'!I44</f>
        <v>1261874.7299999995</v>
      </c>
      <c r="O44" s="148">
        <f>'2024'!I120</f>
        <v>1755000</v>
      </c>
      <c r="P44" s="149">
        <f t="shared" si="6"/>
        <v>-493125.27000000048</v>
      </c>
      <c r="Q44" s="151">
        <f t="shared" si="3"/>
        <v>-0.28098305982906013</v>
      </c>
      <c r="R44" s="148">
        <f>'2023'!I44</f>
        <v>2523574.06</v>
      </c>
      <c r="S44" s="149">
        <f t="shared" si="4"/>
        <v>-1261699.3300000005</v>
      </c>
      <c r="T44" s="153">
        <f t="shared" si="5"/>
        <v>-0.49996524770111184</v>
      </c>
      <c r="W44" s="470"/>
      <c r="Y44" s="470"/>
    </row>
    <row r="45" spans="1:25">
      <c r="A45" s="135">
        <v>425</v>
      </c>
      <c r="B45" s="558" t="str">
        <f>+VLOOKUP($A45,Master!$D$30:$G$226,4,FALSE)</f>
        <v>Ostala prava iz zdravstvenog osiguranja</v>
      </c>
      <c r="C45" s="559"/>
      <c r="D45" s="559"/>
      <c r="E45" s="559"/>
      <c r="F45" s="559"/>
      <c r="G45" s="148">
        <f>'2024'!S45</f>
        <v>3630912.71</v>
      </c>
      <c r="H45" s="148">
        <f>SUM('2024'!G121:I121)</f>
        <v>3900000</v>
      </c>
      <c r="I45" s="149">
        <f t="shared" si="0"/>
        <v>-269087.29000000004</v>
      </c>
      <c r="J45" s="151">
        <f t="shared" si="1"/>
        <v>-6.8996741025641017E-2</v>
      </c>
      <c r="K45" s="148">
        <f>SUM('2023'!G45:I45)</f>
        <v>2222583.86</v>
      </c>
      <c r="L45" s="149">
        <f t="shared" si="7"/>
        <v>1408328.85</v>
      </c>
      <c r="M45" s="153">
        <f t="shared" si="2"/>
        <v>0.6336448650355988</v>
      </c>
      <c r="N45" s="148">
        <f>'2024'!I45</f>
        <v>2373259.1799999997</v>
      </c>
      <c r="O45" s="148">
        <f>'2024'!I121</f>
        <v>1300000</v>
      </c>
      <c r="P45" s="149">
        <f t="shared" si="6"/>
        <v>1073259.1799999997</v>
      </c>
      <c r="Q45" s="151">
        <f t="shared" si="3"/>
        <v>0.82558398461538429</v>
      </c>
      <c r="R45" s="148">
        <f>'2023'!I45</f>
        <v>1275769.99</v>
      </c>
      <c r="S45" s="149">
        <f t="shared" si="4"/>
        <v>1097489.1899999997</v>
      </c>
      <c r="T45" s="153">
        <f t="shared" si="5"/>
        <v>0.86025631469823161</v>
      </c>
      <c r="W45" s="470"/>
      <c r="Y45" s="470"/>
    </row>
    <row r="46" spans="1:25">
      <c r="A46" s="135">
        <v>43</v>
      </c>
      <c r="B46" s="572" t="str">
        <f>+VLOOKUP($A46,Master!$D$30:$G$226,4,FALSE)</f>
        <v xml:space="preserve">Transferi institucijama, pojedincima, nevladinom i javnom sektoru </v>
      </c>
      <c r="C46" s="573"/>
      <c r="D46" s="573"/>
      <c r="E46" s="573"/>
      <c r="F46" s="573"/>
      <c r="G46" s="160">
        <f>'2024'!S46</f>
        <v>77751729.550000012</v>
      </c>
      <c r="H46" s="160">
        <f>SUM('2024'!G122:I122)</f>
        <v>94594909.659999996</v>
      </c>
      <c r="I46" s="161">
        <f t="shared" si="0"/>
        <v>-16843180.109999985</v>
      </c>
      <c r="J46" s="163">
        <f t="shared" si="1"/>
        <v>-0.17805588239936998</v>
      </c>
      <c r="K46" s="160">
        <f>SUM('2023'!G46:I46)</f>
        <v>56085506.390000001</v>
      </c>
      <c r="L46" s="161">
        <f t="shared" si="7"/>
        <v>21666223.160000011</v>
      </c>
      <c r="M46" s="165">
        <f t="shared" si="2"/>
        <v>0.38630699006870484</v>
      </c>
      <c r="N46" s="160">
        <f>'2024'!I46</f>
        <v>38920245.800000004</v>
      </c>
      <c r="O46" s="160">
        <f>'2024'!I122</f>
        <v>37042176.149999999</v>
      </c>
      <c r="P46" s="161">
        <f t="shared" si="6"/>
        <v>1878069.650000006</v>
      </c>
      <c r="Q46" s="163">
        <f t="shared" si="3"/>
        <v>5.0700845500946778E-2</v>
      </c>
      <c r="R46" s="160">
        <f>'2023'!I46</f>
        <v>29326859.449999999</v>
      </c>
      <c r="S46" s="161">
        <f t="shared" si="4"/>
        <v>9593386.3500000052</v>
      </c>
      <c r="T46" s="165">
        <f t="shared" si="5"/>
        <v>0.32711945738192583</v>
      </c>
      <c r="W46" s="470"/>
      <c r="Y46" s="470"/>
    </row>
    <row r="47" spans="1:25">
      <c r="A47" s="135">
        <v>44</v>
      </c>
      <c r="B47" s="572" t="str">
        <f>+VLOOKUP($A47,Master!$D$30:$G$226,4,FALSE)</f>
        <v>Kapitalni izdaci</v>
      </c>
      <c r="C47" s="573"/>
      <c r="D47" s="573"/>
      <c r="E47" s="573"/>
      <c r="F47" s="573"/>
      <c r="G47" s="160">
        <f>'2024'!S47</f>
        <v>28571237.840000004</v>
      </c>
      <c r="H47" s="160">
        <f>SUM('2024'!G123:I123)</f>
        <v>34922637.730000004</v>
      </c>
      <c r="I47" s="161">
        <f t="shared" si="0"/>
        <v>-6351399.8900000006</v>
      </c>
      <c r="J47" s="163">
        <f t="shared" si="1"/>
        <v>-0.18187056599518781</v>
      </c>
      <c r="K47" s="160">
        <f>SUM('2023'!G47:I47)</f>
        <v>14967421.4</v>
      </c>
      <c r="L47" s="161">
        <f t="shared" si="7"/>
        <v>13603816.440000003</v>
      </c>
      <c r="M47" s="165">
        <f t="shared" si="2"/>
        <v>0.9088951313951783</v>
      </c>
      <c r="N47" s="160">
        <f>'2024'!I47</f>
        <v>15207243.570000002</v>
      </c>
      <c r="O47" s="160">
        <f>'2024'!I123</f>
        <v>15136141.080000002</v>
      </c>
      <c r="P47" s="161">
        <f t="shared" si="6"/>
        <v>71102.490000000224</v>
      </c>
      <c r="Q47" s="163">
        <f t="shared" si="3"/>
        <v>4.6975308715873076E-3</v>
      </c>
      <c r="R47" s="160">
        <f>'2023'!I47</f>
        <v>10096779.050000001</v>
      </c>
      <c r="S47" s="161">
        <f t="shared" si="4"/>
        <v>5110464.5200000014</v>
      </c>
      <c r="T47" s="165">
        <f t="shared" si="5"/>
        <v>0.50614799974255176</v>
      </c>
      <c r="W47" s="470"/>
      <c r="Y47" s="470"/>
    </row>
    <row r="48" spans="1:25">
      <c r="A48" s="135">
        <v>451</v>
      </c>
      <c r="B48" s="576" t="str">
        <f>+VLOOKUP($A48,Master!$D$30:$G$226,4,FALSE)</f>
        <v>Pozajmice i krediti</v>
      </c>
      <c r="C48" s="577"/>
      <c r="D48" s="577"/>
      <c r="E48" s="577"/>
      <c r="F48" s="577"/>
      <c r="G48" s="148">
        <f>'2024'!S48</f>
        <v>0</v>
      </c>
      <c r="H48" s="148">
        <f>SUM('2024'!G124:I124)</f>
        <v>0</v>
      </c>
      <c r="I48" s="149">
        <f>G48-H48</f>
        <v>0</v>
      </c>
      <c r="J48" s="266" t="str">
        <f t="shared" si="1"/>
        <v>...</v>
      </c>
      <c r="K48" s="148">
        <f>SUM('2023'!G48:I48)</f>
        <v>0</v>
      </c>
      <c r="L48" s="263">
        <f t="shared" si="7"/>
        <v>0</v>
      </c>
      <c r="M48" s="475" t="str">
        <f t="shared" si="2"/>
        <v>...</v>
      </c>
      <c r="N48" s="148">
        <f>'2024'!I48</f>
        <v>0</v>
      </c>
      <c r="O48" s="148">
        <f>'2024'!I124</f>
        <v>0</v>
      </c>
      <c r="P48" s="149">
        <f t="shared" si="6"/>
        <v>0</v>
      </c>
      <c r="Q48" s="266" t="str">
        <f t="shared" si="3"/>
        <v>...</v>
      </c>
      <c r="R48" s="148">
        <f>'2023'!I48</f>
        <v>0</v>
      </c>
      <c r="S48" s="263">
        <f>+N48-R48-S58</f>
        <v>-1410390.76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76" t="str">
        <f>+VLOOKUP($A49,Master!$D$30:$G$226,4,FALSE)</f>
        <v>Rezerve</v>
      </c>
      <c r="C49" s="577"/>
      <c r="D49" s="577"/>
      <c r="E49" s="577"/>
      <c r="F49" s="577"/>
      <c r="G49" s="148">
        <f>'2024'!S49</f>
        <v>754804.72</v>
      </c>
      <c r="H49" s="148">
        <f>SUM('2024'!G125:I125)</f>
        <v>5787214.71</v>
      </c>
      <c r="I49" s="149">
        <f t="shared" ref="I49:I50" si="8">G49-H49</f>
        <v>-5032409.99</v>
      </c>
      <c r="J49" s="267">
        <f t="shared" si="1"/>
        <v>-0.86957374871615922</v>
      </c>
      <c r="K49" s="148">
        <f>SUM('2023'!G49:I49)</f>
        <v>1736536.98</v>
      </c>
      <c r="L49" s="264">
        <f t="shared" si="7"/>
        <v>-981732.26</v>
      </c>
      <c r="M49" s="476">
        <f t="shared" si="2"/>
        <v>-0.56533910380647345</v>
      </c>
      <c r="N49" s="148">
        <f>'2024'!I49</f>
        <v>754804.72</v>
      </c>
      <c r="O49" s="148">
        <f>'2024'!I125</f>
        <v>5125404.93</v>
      </c>
      <c r="P49" s="149">
        <f t="shared" si="6"/>
        <v>-4370600.21</v>
      </c>
      <c r="Q49" s="267">
        <f t="shared" si="3"/>
        <v>-0.85273266594372277</v>
      </c>
      <c r="R49" s="148">
        <f>'2023'!I49</f>
        <v>1537951.44</v>
      </c>
      <c r="S49" s="264">
        <f t="shared" si="4"/>
        <v>-783146.72</v>
      </c>
      <c r="T49" s="476">
        <f t="shared" si="5"/>
        <v>-0.50921420509869941</v>
      </c>
      <c r="W49" s="470"/>
      <c r="Y49" s="470"/>
    </row>
    <row r="50" spans="1:25" ht="15.75" thickBot="1">
      <c r="A50" s="135">
        <v>462</v>
      </c>
      <c r="B50" s="578" t="str">
        <f>+VLOOKUP($A50,Master!$D$30:$G$226,4,FALSE)</f>
        <v>Otplata garancija</v>
      </c>
      <c r="C50" s="579"/>
      <c r="D50" s="579"/>
      <c r="E50" s="579"/>
      <c r="F50" s="579"/>
      <c r="G50" s="148">
        <f>'2024'!S50</f>
        <v>2301161.16</v>
      </c>
      <c r="H50" s="148">
        <f>SUM('2024'!G126:I126)</f>
        <v>2</v>
      </c>
      <c r="I50" s="149">
        <f t="shared" si="8"/>
        <v>2301159.16</v>
      </c>
      <c r="J50" s="268" t="str">
        <f t="shared" si="1"/>
        <v>...</v>
      </c>
      <c r="K50" s="148">
        <f>SUM('2023'!G50:I50)</f>
        <v>1168915.48</v>
      </c>
      <c r="L50" s="264">
        <f t="shared" si="7"/>
        <v>1132245.6800000002</v>
      </c>
      <c r="M50" s="477">
        <f t="shared" si="2"/>
        <v>0.96862921175447192</v>
      </c>
      <c r="N50" s="148">
        <f>'2024'!I50</f>
        <v>0</v>
      </c>
      <c r="O50" s="148">
        <f>'2024'!I126</f>
        <v>0</v>
      </c>
      <c r="P50" s="149">
        <f t="shared" si="6"/>
        <v>0</v>
      </c>
      <c r="Q50" s="268" t="str">
        <f t="shared" si="3"/>
        <v>...</v>
      </c>
      <c r="R50" s="148">
        <f>'2023'!I50</f>
        <v>0</v>
      </c>
      <c r="S50" s="264">
        <f t="shared" si="4"/>
        <v>0</v>
      </c>
      <c r="T50" s="477" t="str">
        <f t="shared" si="5"/>
        <v>...</v>
      </c>
      <c r="W50" s="470"/>
      <c r="Y50" s="470"/>
    </row>
    <row r="51" spans="1:25" ht="15" customHeight="1" thickBot="1">
      <c r="A51" s="129">
        <v>4630</v>
      </c>
      <c r="B51" s="578" t="str">
        <f>+VLOOKUP($A51,Master!$D$30:$G$226,4,FALSE)</f>
        <v>Otplata obaveza iz prethodnog perioda</v>
      </c>
      <c r="C51" s="579"/>
      <c r="D51" s="579"/>
      <c r="E51" s="579"/>
      <c r="F51" s="579"/>
      <c r="G51" s="295">
        <f>'2024'!S51</f>
        <v>6634540.0599999996</v>
      </c>
      <c r="H51" s="295">
        <f>SUM('2024'!G127:I127)</f>
        <v>6782320.2000000011</v>
      </c>
      <c r="I51" s="265">
        <f>G51-H51</f>
        <v>-147780.14000000153</v>
      </c>
      <c r="J51" s="269">
        <f t="shared" si="1"/>
        <v>-2.1789024351873243E-2</v>
      </c>
      <c r="K51" s="295">
        <f>SUM('2023'!G51:I51)</f>
        <v>4131746.05</v>
      </c>
      <c r="L51" s="271">
        <f t="shared" si="7"/>
        <v>2502794.0099999998</v>
      </c>
      <c r="M51" s="478">
        <f t="shared" si="2"/>
        <v>0.60574729901417834</v>
      </c>
      <c r="N51" s="295">
        <f>'2024'!I51</f>
        <v>2714121.0399999996</v>
      </c>
      <c r="O51" s="295">
        <f>'2024'!I127</f>
        <v>1925847.0999999996</v>
      </c>
      <c r="P51" s="265">
        <f>N51-O51</f>
        <v>788273.94</v>
      </c>
      <c r="Q51" s="269">
        <f t="shared" si="3"/>
        <v>0.40931283693290088</v>
      </c>
      <c r="R51" s="295">
        <f>'2023'!I51</f>
        <v>1288018.07</v>
      </c>
      <c r="S51" s="271">
        <f>+N51-R51</f>
        <v>1426102.9699999995</v>
      </c>
      <c r="T51" s="478">
        <f t="shared" si="5"/>
        <v>1.1072072692272084</v>
      </c>
      <c r="W51" s="470"/>
      <c r="Y51" s="470"/>
    </row>
    <row r="52" spans="1:25" ht="15.75" thickBot="1">
      <c r="A52" s="129">
        <v>1005</v>
      </c>
      <c r="B52" s="578" t="str">
        <f>+VLOOKUP($A52,Master!$D$30:$G$228,4,FALSE)</f>
        <v>Neto povećanje obaveza</v>
      </c>
      <c r="C52" s="579"/>
      <c r="D52" s="579"/>
      <c r="E52" s="579"/>
      <c r="F52" s="579"/>
      <c r="G52" s="148">
        <f>'2024'!S52</f>
        <v>0</v>
      </c>
      <c r="H52" s="148">
        <f>SUM('2024'!G128:I128)</f>
        <v>0</v>
      </c>
      <c r="I52" s="265">
        <f>G52-H52</f>
        <v>0</v>
      </c>
      <c r="J52" s="269" t="str">
        <f t="shared" si="1"/>
        <v>...</v>
      </c>
      <c r="K52" s="148">
        <f>SUM('2023'!G52:I52)</f>
        <v>0</v>
      </c>
      <c r="L52" s="271">
        <f t="shared" si="7"/>
        <v>0</v>
      </c>
      <c r="M52" s="478" t="str">
        <f t="shared" si="2"/>
        <v>...</v>
      </c>
      <c r="N52" s="148">
        <f>'2024'!I52</f>
        <v>0</v>
      </c>
      <c r="O52" s="148">
        <f>'2024'!I128</f>
        <v>0</v>
      </c>
      <c r="P52" s="265">
        <f>N52-O52</f>
        <v>0</v>
      </c>
      <c r="Q52" s="269" t="str">
        <f t="shared" si="3"/>
        <v>...</v>
      </c>
      <c r="R52" s="148">
        <f>'2023'!I52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80" t="str">
        <f>+VLOOKUP($A53,Master!$D$30:$G$226,4,FALSE)</f>
        <v>Suficit / deficit</v>
      </c>
      <c r="C53" s="581"/>
      <c r="D53" s="581"/>
      <c r="E53" s="581"/>
      <c r="F53" s="581"/>
      <c r="G53" s="136">
        <f>'2024'!S53</f>
        <v>-4927658.2199999392</v>
      </c>
      <c r="H53" s="136">
        <f>SUM('2024'!G129:I129)</f>
        <v>-122662991.66022232</v>
      </c>
      <c r="I53" s="299">
        <f>+G53-H53</f>
        <v>117735333.44022238</v>
      </c>
      <c r="J53" s="270">
        <f t="shared" si="1"/>
        <v>-0.95982766967196098</v>
      </c>
      <c r="K53" s="136">
        <f>SUM('2023'!G53:I53)</f>
        <v>63201026.970000058</v>
      </c>
      <c r="L53" s="272">
        <f t="shared" si="7"/>
        <v>-68128685.189999998</v>
      </c>
      <c r="M53" s="479">
        <f t="shared" si="2"/>
        <v>-1.0779680086897794</v>
      </c>
      <c r="N53" s="136">
        <f>'2024'!I53</f>
        <v>13394589.060000032</v>
      </c>
      <c r="O53" s="136">
        <f>'2024'!I129</f>
        <v>-12068757.688402921</v>
      </c>
      <c r="P53" s="299">
        <f>N53-O53</f>
        <v>25463346.748402953</v>
      </c>
      <c r="Q53" s="270">
        <f t="shared" si="3"/>
        <v>-2.1098564911010786</v>
      </c>
      <c r="R53" s="136">
        <f>'2023'!I53</f>
        <v>38697080.150000036</v>
      </c>
      <c r="S53" s="272">
        <f t="shared" si="4"/>
        <v>-25302491.090000004</v>
      </c>
      <c r="T53" s="479">
        <f t="shared" si="5"/>
        <v>-0.65386047195087871</v>
      </c>
      <c r="W53" s="470"/>
      <c r="Y53" s="470"/>
    </row>
    <row r="54" spans="1:25" ht="15.75" thickBot="1">
      <c r="A54" s="129">
        <v>1001</v>
      </c>
      <c r="B54" s="582" t="str">
        <f>+VLOOKUP($A54,Master!$D$30:$G$226,4,FALSE)</f>
        <v>Primarni suficit/deficit</v>
      </c>
      <c r="C54" s="583"/>
      <c r="D54" s="583"/>
      <c r="E54" s="583"/>
      <c r="F54" s="583"/>
      <c r="G54" s="136">
        <f>'2024'!S54</f>
        <v>10418711.900000058</v>
      </c>
      <c r="H54" s="136">
        <f>SUM('2024'!G130:I130)</f>
        <v>-103943352.44022232</v>
      </c>
      <c r="I54" s="191">
        <f t="shared" si="0"/>
        <v>114362064.34022239</v>
      </c>
      <c r="J54" s="193">
        <f t="shared" si="1"/>
        <v>-1.1002345186623823</v>
      </c>
      <c r="K54" s="136">
        <f>SUM('2023'!G54:I54)</f>
        <v>71334622.330000058</v>
      </c>
      <c r="L54" s="191">
        <f t="shared" si="7"/>
        <v>-60915910.43</v>
      </c>
      <c r="M54" s="195">
        <f t="shared" si="2"/>
        <v>-0.85394593032535859</v>
      </c>
      <c r="N54" s="136">
        <f>'2024'!I54</f>
        <v>20582437.75000003</v>
      </c>
      <c r="O54" s="136">
        <f>'2024'!I130</f>
        <v>-5066145.1984029189</v>
      </c>
      <c r="P54" s="191">
        <f t="shared" si="6"/>
        <v>25648582.948402949</v>
      </c>
      <c r="Q54" s="193">
        <f t="shared" si="3"/>
        <v>-5.062741383031927</v>
      </c>
      <c r="R54" s="136">
        <f>'2023'!I54</f>
        <v>40432712.960000038</v>
      </c>
      <c r="S54" s="191">
        <f t="shared" si="4"/>
        <v>-19850275.210000008</v>
      </c>
      <c r="T54" s="195">
        <f t="shared" si="5"/>
        <v>-0.49094591376140961</v>
      </c>
      <c r="W54" s="470"/>
      <c r="Y54" s="470"/>
    </row>
    <row r="55" spans="1:25">
      <c r="A55" s="129">
        <v>46</v>
      </c>
      <c r="B55" s="604" t="str">
        <f>+VLOOKUP($A55,Master!$D$30:$G$226,4,FALSE)</f>
        <v>Otplata dugova</v>
      </c>
      <c r="C55" s="605"/>
      <c r="D55" s="605"/>
      <c r="E55" s="605"/>
      <c r="F55" s="605"/>
      <c r="G55" s="460">
        <f>'2024'!S55</f>
        <v>101307301.53000002</v>
      </c>
      <c r="H55" s="460">
        <f>SUM('2024'!G131:I131)</f>
        <v>103416561.15000001</v>
      </c>
      <c r="I55" s="461">
        <f t="shared" si="0"/>
        <v>-2109259.6199999899</v>
      </c>
      <c r="J55" s="462">
        <f t="shared" si="1"/>
        <v>-2.0395762502106618E-2</v>
      </c>
      <c r="K55" s="460">
        <f>SUM('2023'!G55:I55)</f>
        <v>43784839.220000006</v>
      </c>
      <c r="L55" s="461">
        <f t="shared" si="7"/>
        <v>57522462.31000001</v>
      </c>
      <c r="M55" s="480">
        <f t="shared" si="2"/>
        <v>1.3137529641475751</v>
      </c>
      <c r="N55" s="460">
        <f>'2024'!I55</f>
        <v>59757330.13000001</v>
      </c>
      <c r="O55" s="460">
        <f>'2024'!I131</f>
        <v>60631846.180000007</v>
      </c>
      <c r="P55" s="461">
        <f t="shared" si="6"/>
        <v>-874516.04999999702</v>
      </c>
      <c r="Q55" s="462">
        <f t="shared" si="3"/>
        <v>-1.4423378226085859E-2</v>
      </c>
      <c r="R55" s="460">
        <f>'2023'!I55</f>
        <v>8077109.9900000002</v>
      </c>
      <c r="S55" s="461">
        <f t="shared" si="4"/>
        <v>51680220.140000008</v>
      </c>
      <c r="T55" s="480" t="str">
        <f t="shared" si="5"/>
        <v>...</v>
      </c>
      <c r="W55" s="470"/>
      <c r="Y55" s="470"/>
    </row>
    <row r="56" spans="1:25">
      <c r="A56" s="129">
        <v>4611</v>
      </c>
      <c r="B56" s="576" t="str">
        <f>+VLOOKUP($A56,Master!$D$30:$G$226,4,FALSE)</f>
        <v>Otplata hartija od vrijednosti i kredita rezidentima</v>
      </c>
      <c r="C56" s="577"/>
      <c r="D56" s="577"/>
      <c r="E56" s="577"/>
      <c r="F56" s="577"/>
      <c r="G56" s="148">
        <f>'2024'!S56</f>
        <v>28926658.250000004</v>
      </c>
      <c r="H56" s="148">
        <f>SUM('2024'!G132:I132)</f>
        <v>28933581.050000001</v>
      </c>
      <c r="I56" s="197">
        <f t="shared" si="0"/>
        <v>-6922.7999999970198</v>
      </c>
      <c r="J56" s="199">
        <f t="shared" si="1"/>
        <v>-2.3926523260409116E-4</v>
      </c>
      <c r="K56" s="148">
        <f>SUM('2023'!G56:I56)</f>
        <v>5620993.71</v>
      </c>
      <c r="L56" s="197">
        <f t="shared" si="7"/>
        <v>23305664.540000003</v>
      </c>
      <c r="M56" s="201" t="str">
        <f t="shared" si="2"/>
        <v>...</v>
      </c>
      <c r="N56" s="148">
        <f>'2024'!I56</f>
        <v>23477657.120000005</v>
      </c>
      <c r="O56" s="148">
        <f>'2024'!I132</f>
        <v>23478199.010000002</v>
      </c>
      <c r="P56" s="197">
        <f t="shared" si="6"/>
        <v>-541.88999999687076</v>
      </c>
      <c r="Q56" s="199">
        <f t="shared" si="3"/>
        <v>-2.3080560811572504E-5</v>
      </c>
      <c r="R56" s="148">
        <f>'2023'!I56</f>
        <v>1348967.54</v>
      </c>
      <c r="S56" s="197">
        <f t="shared" si="4"/>
        <v>22128689.580000006</v>
      </c>
      <c r="T56" s="201" t="str">
        <f t="shared" si="5"/>
        <v>...</v>
      </c>
      <c r="W56" s="470"/>
      <c r="Y56" s="470"/>
    </row>
    <row r="57" spans="1:25">
      <c r="A57" s="129">
        <v>4612</v>
      </c>
      <c r="B57" s="576" t="str">
        <f>+VLOOKUP($A57,Master!$D$30:$G$226,4,FALSE)</f>
        <v>Otplata hartija od vrijednosti i kredita nerezidentima</v>
      </c>
      <c r="C57" s="577"/>
      <c r="D57" s="577"/>
      <c r="E57" s="577"/>
      <c r="F57" s="577"/>
      <c r="G57" s="148">
        <f>'2024'!S57</f>
        <v>72380643.280000001</v>
      </c>
      <c r="H57" s="148">
        <f>SUM('2024'!G133:I133)</f>
        <v>74482980.099999994</v>
      </c>
      <c r="I57" s="197">
        <f t="shared" si="0"/>
        <v>-2102336.8199999928</v>
      </c>
      <c r="J57" s="199">
        <f t="shared" si="1"/>
        <v>-2.8225734485615606E-2</v>
      </c>
      <c r="K57" s="148">
        <f>SUM('2023'!G57:I57)</f>
        <v>38163845.509999998</v>
      </c>
      <c r="L57" s="197">
        <f t="shared" si="7"/>
        <v>34216797.770000003</v>
      </c>
      <c r="M57" s="201">
        <f t="shared" si="2"/>
        <v>0.89657625725987811</v>
      </c>
      <c r="N57" s="148">
        <f>'2024'!I57</f>
        <v>36279673.010000005</v>
      </c>
      <c r="O57" s="148">
        <f>'2024'!I133</f>
        <v>37153647.170000002</v>
      </c>
      <c r="P57" s="197">
        <f t="shared" si="6"/>
        <v>-873974.15999999642</v>
      </c>
      <c r="Q57" s="199">
        <f t="shared" si="3"/>
        <v>-2.3523240020045577E-2</v>
      </c>
      <c r="R57" s="148">
        <f>'2023'!I57</f>
        <v>6728142.4500000002</v>
      </c>
      <c r="S57" s="197">
        <f t="shared" si="4"/>
        <v>29551530.560000006</v>
      </c>
      <c r="T57" s="201" t="str">
        <f t="shared" si="5"/>
        <v>...</v>
      </c>
      <c r="W57" s="470"/>
      <c r="Y57" s="470"/>
    </row>
    <row r="58" spans="1:25" ht="15.75" thickBot="1">
      <c r="A58" s="129">
        <v>4418</v>
      </c>
      <c r="B58" s="574" t="str">
        <f>+VLOOKUP($A58,Master!$D$30:$G$226,4,FALSE)</f>
        <v>Izdaci za kupovinu hartija od vrijednosti</v>
      </c>
      <c r="C58" s="575"/>
      <c r="D58" s="575"/>
      <c r="E58" s="575"/>
      <c r="F58" s="575"/>
      <c r="G58" s="313">
        <f>'2024'!S58</f>
        <v>1410390.76</v>
      </c>
      <c r="H58" s="313">
        <f>SUM('2024'!G134:I134)</f>
        <v>0.48</v>
      </c>
      <c r="I58" s="314">
        <f t="shared" ref="I58:I66" si="9">+G58-H58</f>
        <v>1410390.28</v>
      </c>
      <c r="J58" s="315" t="str">
        <f t="shared" si="1"/>
        <v>...</v>
      </c>
      <c r="K58" s="313">
        <f>SUM('2023'!G58:I58)</f>
        <v>496372.98</v>
      </c>
      <c r="L58" s="314">
        <f t="shared" ref="L58:L66" si="10">+G58-K58</f>
        <v>914017.78</v>
      </c>
      <c r="M58" s="481">
        <f t="shared" si="2"/>
        <v>1.8413930991973011</v>
      </c>
      <c r="N58" s="313">
        <f>'2024'!I58</f>
        <v>1410390.76</v>
      </c>
      <c r="O58" s="313">
        <f>'2024'!I134</f>
        <v>0.16</v>
      </c>
      <c r="P58" s="314">
        <f t="shared" ref="P58:P66" si="11">+N58-O58</f>
        <v>1410390.6</v>
      </c>
      <c r="Q58" s="315" t="str">
        <f t="shared" si="3"/>
        <v>...</v>
      </c>
      <c r="R58" s="313">
        <f>'2023'!I58</f>
        <v>0</v>
      </c>
      <c r="S58" s="314">
        <f t="shared" ref="S58:S66" si="12">+N58-R58</f>
        <v>1410390.76</v>
      </c>
      <c r="T58" s="481" t="str">
        <f t="shared" si="5"/>
        <v>...</v>
      </c>
      <c r="W58" s="470"/>
      <c r="Y58" s="470"/>
    </row>
    <row r="59" spans="1:25" ht="15.75" thickBot="1">
      <c r="A59" s="129">
        <v>451</v>
      </c>
      <c r="B59" s="568" t="str">
        <f>+VLOOKUP($A59,Master!$D$30:$G$226,4,FALSE)</f>
        <v>Pozajmice i krediti</v>
      </c>
      <c r="C59" s="569"/>
      <c r="D59" s="569"/>
      <c r="E59" s="569"/>
      <c r="F59" s="569"/>
      <c r="G59" s="313">
        <f>'2024'!S59</f>
        <v>2139703.0499999998</v>
      </c>
      <c r="H59" s="313">
        <f>SUM('2024'!G135:I135)</f>
        <v>1111656.46</v>
      </c>
      <c r="I59" s="314">
        <f t="shared" si="9"/>
        <v>1028046.5899999999</v>
      </c>
      <c r="J59" s="315">
        <f t="shared" si="1"/>
        <v>0.92478803208681915</v>
      </c>
      <c r="K59" s="313">
        <f>SUM('2023'!G59:I59)</f>
        <v>1724269.03</v>
      </c>
      <c r="L59" s="314">
        <f t="shared" si="10"/>
        <v>415434.01999999979</v>
      </c>
      <c r="M59" s="481">
        <f t="shared" si="2"/>
        <v>0.24093341164980497</v>
      </c>
      <c r="N59" s="313">
        <f>'2024'!I59</f>
        <v>913671.44</v>
      </c>
      <c r="O59" s="313">
        <f>'2024'!I135</f>
        <v>0.24</v>
      </c>
      <c r="P59" s="314">
        <f t="shared" si="11"/>
        <v>913671.2</v>
      </c>
      <c r="Q59" s="315" t="str">
        <f t="shared" si="3"/>
        <v>...</v>
      </c>
      <c r="R59" s="313">
        <f>'2023'!I59</f>
        <v>383792.67</v>
      </c>
      <c r="S59" s="314">
        <f t="shared" si="12"/>
        <v>529878.77</v>
      </c>
      <c r="T59" s="481">
        <f t="shared" si="5"/>
        <v>1.3806380669021117</v>
      </c>
      <c r="W59" s="470"/>
      <c r="Y59" s="470"/>
    </row>
    <row r="60" spans="1:25" ht="15.75" thickBot="1">
      <c r="A60" s="129">
        <v>1002</v>
      </c>
      <c r="B60" s="602" t="str">
        <f>+VLOOKUP($A60,Master!$D$30:$G$226,4,FALSE)</f>
        <v>Nedostajuća sredstva</v>
      </c>
      <c r="C60" s="603"/>
      <c r="D60" s="603"/>
      <c r="E60" s="603"/>
      <c r="F60" s="603"/>
      <c r="G60" s="298">
        <f>'2024'!S60</f>
        <v>-109785053.55999996</v>
      </c>
      <c r="H60" s="298">
        <f>SUM('2024'!G136:I136)</f>
        <v>-227191209.75022233</v>
      </c>
      <c r="I60" s="300">
        <f t="shared" si="9"/>
        <v>117406156.19022237</v>
      </c>
      <c r="J60" s="301">
        <f t="shared" si="1"/>
        <v>-0.51677244167721359</v>
      </c>
      <c r="K60" s="298">
        <f>SUM('2023'!G60:I60)</f>
        <v>17195545.740000054</v>
      </c>
      <c r="L60" s="300">
        <f>+G60-K60</f>
        <v>-126980599.30000001</v>
      </c>
      <c r="M60" s="482">
        <f t="shared" si="2"/>
        <v>-7.3845053376014347</v>
      </c>
      <c r="N60" s="298">
        <f>'2024'!I60</f>
        <v>-48686803.269999973</v>
      </c>
      <c r="O60" s="298">
        <f>'2024'!I136</f>
        <v>-72700604.268402919</v>
      </c>
      <c r="P60" s="300">
        <f t="shared" si="11"/>
        <v>24013800.998402946</v>
      </c>
      <c r="Q60" s="301">
        <f t="shared" si="3"/>
        <v>-0.33031088585930513</v>
      </c>
      <c r="R60" s="298">
        <f>'2023'!I60</f>
        <v>30236177.490000032</v>
      </c>
      <c r="S60" s="300">
        <f t="shared" si="12"/>
        <v>-78922980.760000005</v>
      </c>
      <c r="T60" s="482">
        <f t="shared" si="5"/>
        <v>-2.6102168763264499</v>
      </c>
      <c r="W60" s="470"/>
      <c r="Y60" s="470"/>
    </row>
    <row r="61" spans="1:25" ht="15.75" thickBot="1">
      <c r="A61" s="129">
        <v>1003</v>
      </c>
      <c r="B61" s="566" t="str">
        <f>+VLOOKUP($A61,Master!$D$30:$G$226,4,FALSE)</f>
        <v>Finansiranje</v>
      </c>
      <c r="C61" s="567"/>
      <c r="D61" s="567"/>
      <c r="E61" s="567"/>
      <c r="F61" s="567"/>
      <c r="G61" s="136">
        <f>'2024'!S61</f>
        <v>109785053.55999996</v>
      </c>
      <c r="H61" s="136">
        <f>SUM('2024'!G137:I137)</f>
        <v>227191209.75022233</v>
      </c>
      <c r="I61" s="299">
        <f t="shared" si="9"/>
        <v>-117406156.19022237</v>
      </c>
      <c r="J61" s="302">
        <f t="shared" si="1"/>
        <v>-0.51677244167721359</v>
      </c>
      <c r="K61" s="136">
        <f>SUM('2023'!G61:I61)</f>
        <v>-17195545.740000047</v>
      </c>
      <c r="L61" s="299">
        <f t="shared" si="10"/>
        <v>126980599.30000001</v>
      </c>
      <c r="M61" s="483">
        <f t="shared" si="2"/>
        <v>-7.3845053376014373</v>
      </c>
      <c r="N61" s="136">
        <f>'2024'!I61</f>
        <v>48686803.269999981</v>
      </c>
      <c r="O61" s="136">
        <f>'2024'!I137</f>
        <v>72700604.268402934</v>
      </c>
      <c r="P61" s="300">
        <f t="shared" si="11"/>
        <v>-24013800.998402953</v>
      </c>
      <c r="Q61" s="302">
        <f t="shared" si="3"/>
        <v>-0.33031088585930513</v>
      </c>
      <c r="R61" s="136">
        <f>'2023'!I61</f>
        <v>-30236177.490000024</v>
      </c>
      <c r="S61" s="299">
        <f t="shared" si="12"/>
        <v>78922980.760000005</v>
      </c>
      <c r="T61" s="483">
        <f t="shared" si="5"/>
        <v>-2.6102168763264508</v>
      </c>
      <c r="W61" s="470"/>
      <c r="Y61" s="470"/>
    </row>
    <row r="62" spans="1:25">
      <c r="A62" s="129">
        <v>7511</v>
      </c>
      <c r="B62" s="600" t="str">
        <f>+VLOOKUP($A62,Master!$D$30:$G$226,4,FALSE)</f>
        <v>Pozajmice i krediti od domaćih izvora</v>
      </c>
      <c r="C62" s="601"/>
      <c r="D62" s="601"/>
      <c r="E62" s="601"/>
      <c r="F62" s="601"/>
      <c r="G62" s="148">
        <f>'2024'!S62</f>
        <v>0</v>
      </c>
      <c r="H62" s="148">
        <f>SUM('2024'!G138:I138)</f>
        <v>0</v>
      </c>
      <c r="I62" s="197">
        <f t="shared" si="9"/>
        <v>0</v>
      </c>
      <c r="J62" s="199" t="str">
        <f t="shared" si="1"/>
        <v>...</v>
      </c>
      <c r="K62" s="148">
        <f>SUM('2023'!G62:I62)</f>
        <v>0</v>
      </c>
      <c r="L62" s="197">
        <f t="shared" si="10"/>
        <v>0</v>
      </c>
      <c r="M62" s="201" t="str">
        <f t="shared" si="2"/>
        <v>...</v>
      </c>
      <c r="N62" s="148">
        <f>'2024'!I62</f>
        <v>0</v>
      </c>
      <c r="O62" s="148">
        <f>'2024'!I138</f>
        <v>0</v>
      </c>
      <c r="P62" s="197">
        <f t="shared" si="11"/>
        <v>0</v>
      </c>
      <c r="Q62" s="199" t="str">
        <f t="shared" si="3"/>
        <v>...</v>
      </c>
      <c r="R62" s="148">
        <f>'2023'!I62</f>
        <v>0</v>
      </c>
      <c r="S62" s="197">
        <f t="shared" si="12"/>
        <v>0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576" t="str">
        <f>+VLOOKUP($A63,Master!$D$30:$G$226,4,FALSE)</f>
        <v>Pozajmice i krediti od inostranih izvora</v>
      </c>
      <c r="C63" s="577"/>
      <c r="D63" s="577"/>
      <c r="E63" s="577"/>
      <c r="F63" s="577"/>
      <c r="G63" s="148">
        <f>'2024'!S63</f>
        <v>695499764.52999997</v>
      </c>
      <c r="H63" s="148">
        <f>SUM('2024'!G139:I139)</f>
        <v>687000000</v>
      </c>
      <c r="I63" s="197">
        <f t="shared" si="9"/>
        <v>8499764.5299999714</v>
      </c>
      <c r="J63" s="199">
        <f t="shared" si="1"/>
        <v>1.2372291892285281E-2</v>
      </c>
      <c r="K63" s="148">
        <f>SUM('2023'!G63:I63)</f>
        <v>103371113.69999999</v>
      </c>
      <c r="L63" s="197">
        <f t="shared" si="10"/>
        <v>592128650.82999992</v>
      </c>
      <c r="M63" s="201" t="str">
        <f t="shared" si="2"/>
        <v>...</v>
      </c>
      <c r="N63" s="148">
        <f>'2024'!I63</f>
        <v>691926160.88999999</v>
      </c>
      <c r="O63" s="148">
        <f>'2024'!I139</f>
        <v>687000000</v>
      </c>
      <c r="P63" s="197">
        <f t="shared" si="11"/>
        <v>4926160.8899999857</v>
      </c>
      <c r="Q63" s="199">
        <f t="shared" si="3"/>
        <v>7.170539868995629E-3</v>
      </c>
      <c r="R63" s="148">
        <f>'2023'!I63</f>
        <v>101672892.59999999</v>
      </c>
      <c r="S63" s="197">
        <f t="shared" si="12"/>
        <v>590253268.28999996</v>
      </c>
      <c r="T63" s="201" t="str">
        <f t="shared" si="5"/>
        <v>...</v>
      </c>
      <c r="W63" s="470"/>
      <c r="Y63" s="470"/>
    </row>
    <row r="64" spans="1:25">
      <c r="A64" s="129">
        <v>72</v>
      </c>
      <c r="B64" s="576" t="str">
        <f>+VLOOKUP($A64,Master!$D$30:$G$226,4,FALSE)</f>
        <v>Primici od prodaje imovine</v>
      </c>
      <c r="C64" s="577"/>
      <c r="D64" s="577"/>
      <c r="E64" s="577"/>
      <c r="F64" s="577"/>
      <c r="G64" s="148">
        <f>'2024'!S64</f>
        <v>276973.7</v>
      </c>
      <c r="H64" s="148">
        <f>SUM('2024'!G140:I140)</f>
        <v>1500000</v>
      </c>
      <c r="I64" s="197">
        <f t="shared" si="9"/>
        <v>-1223026.3</v>
      </c>
      <c r="J64" s="199">
        <f t="shared" si="1"/>
        <v>-0.81535086666666667</v>
      </c>
      <c r="K64" s="148">
        <f>SUM('2023'!G64:I64)</f>
        <v>909468.25</v>
      </c>
      <c r="L64" s="197">
        <f t="shared" si="10"/>
        <v>-632494.55000000005</v>
      </c>
      <c r="M64" s="201">
        <f t="shared" si="2"/>
        <v>-0.69545533887521638</v>
      </c>
      <c r="N64" s="148">
        <f>'2024'!I64</f>
        <v>24726.440000000002</v>
      </c>
      <c r="O64" s="148">
        <f>'2024'!I140</f>
        <v>500000</v>
      </c>
      <c r="P64" s="197">
        <f t="shared" si="11"/>
        <v>-475273.56</v>
      </c>
      <c r="Q64" s="199">
        <f t="shared" si="3"/>
        <v>-0.95054711999999997</v>
      </c>
      <c r="R64" s="148">
        <f>'2023'!I64</f>
        <v>167618.51</v>
      </c>
      <c r="S64" s="197">
        <f t="shared" si="12"/>
        <v>-142892.07</v>
      </c>
      <c r="T64" s="201">
        <f t="shared" si="5"/>
        <v>-0.85248383367684155</v>
      </c>
      <c r="W64" s="470"/>
      <c r="Y64" s="470"/>
    </row>
    <row r="65" spans="1:25">
      <c r="A65" s="129">
        <v>73</v>
      </c>
      <c r="B65" s="576" t="str">
        <f>+VLOOKUP($A65,Master!$D$30:$G$226,4,FALSE)</f>
        <v>Primici od otplate kredita i sredstva prenesena iz prethodne godine</v>
      </c>
      <c r="C65" s="577"/>
      <c r="D65" s="577"/>
      <c r="E65" s="577"/>
      <c r="F65" s="577"/>
      <c r="G65" s="148">
        <f>'2024'!S65</f>
        <v>2542208</v>
      </c>
      <c r="H65" s="148">
        <f>SUM('2024'!G141:I141)</f>
        <v>830642.9589314796</v>
      </c>
      <c r="I65" s="197">
        <f t="shared" si="9"/>
        <v>1711565.0410685204</v>
      </c>
      <c r="J65" s="199" t="str">
        <f t="shared" si="1"/>
        <v>...</v>
      </c>
      <c r="K65" s="148">
        <f>SUM('2023'!G65:I65)</f>
        <v>3256258.1999999997</v>
      </c>
      <c r="L65" s="197">
        <f t="shared" si="10"/>
        <v>-714050.19999999972</v>
      </c>
      <c r="M65" s="201">
        <f t="shared" si="2"/>
        <v>-0.2192854976917985</v>
      </c>
      <c r="N65" s="148">
        <f>'2024'!I65</f>
        <v>960869.5</v>
      </c>
      <c r="O65" s="148">
        <f>'2024'!I141</f>
        <v>303147.50930105889</v>
      </c>
      <c r="P65" s="197">
        <f t="shared" si="11"/>
        <v>657721.99069894105</v>
      </c>
      <c r="Q65" s="199" t="str">
        <f t="shared" si="3"/>
        <v>...</v>
      </c>
      <c r="R65" s="148">
        <f>'2023'!I65</f>
        <v>1080976.0299999998</v>
      </c>
      <c r="S65" s="197">
        <f t="shared" si="12"/>
        <v>-120106.5299999998</v>
      </c>
      <c r="T65" s="201">
        <f t="shared" si="5"/>
        <v>-0.11110933699427161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'2024'!S66</f>
        <v>-588533892.67000008</v>
      </c>
      <c r="H66" s="296">
        <f>SUM('2024'!G142:I142)</f>
        <v>-462139433.20870918</v>
      </c>
      <c r="I66" s="211">
        <f t="shared" si="9"/>
        <v>-126394459.4612909</v>
      </c>
      <c r="J66" s="213">
        <f t="shared" si="1"/>
        <v>0.27349853827385728</v>
      </c>
      <c r="K66" s="296">
        <f>SUM('2023'!G66:I66)</f>
        <v>-124732385.89000005</v>
      </c>
      <c r="L66" s="211">
        <f t="shared" si="10"/>
        <v>-463801506.78000003</v>
      </c>
      <c r="M66" s="215" t="str">
        <f t="shared" si="2"/>
        <v>...</v>
      </c>
      <c r="N66" s="296">
        <f>'2024'!I66</f>
        <v>-644224953.56000006</v>
      </c>
      <c r="O66" s="296">
        <f>'2024'!I142</f>
        <v>-615102543.24089813</v>
      </c>
      <c r="P66" s="211">
        <f t="shared" si="11"/>
        <v>-29122410.31910193</v>
      </c>
      <c r="Q66" s="213">
        <f t="shared" si="3"/>
        <v>4.734561844868912E-2</v>
      </c>
      <c r="R66" s="296">
        <f>'2023'!I66</f>
        <v>-133157664.63000003</v>
      </c>
      <c r="S66" s="211">
        <f t="shared" si="12"/>
        <v>-511067288.93000007</v>
      </c>
      <c r="T66" s="215" t="str">
        <f t="shared" si="5"/>
        <v>...</v>
      </c>
      <c r="W66" s="470"/>
      <c r="Y66" s="470"/>
    </row>
    <row r="67" spans="1:25">
      <c r="G67" s="274"/>
    </row>
    <row r="68" spans="1:25">
      <c r="G68" s="4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rrb8217curKjhHD5kh4Ah+jLKS1WwlmYUrTpsxtSTDCOQf8gOtzrdazjJk3t8OS23x+1S4vUGdLsfIBDujfCwg==" saltValue="VTO2Vc6S+QhoYcmE66I2UQ==" spinCount="100000" sheet="1" objects="1" scenarios="1"/>
  <mergeCells count="63"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</mergeCells>
  <pageMargins left="0.11811023622047245" right="0.11811023622047245" top="0.19685039370078741" bottom="0.19685039370078741" header="0.31496062992125984" footer="0.31496062992125984"/>
  <pageSetup paperSize="9" scale="37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50"/>
  <sheetViews>
    <sheetView zoomScale="90" zoomScaleNormal="90" workbookViewId="0">
      <pane ySplit="1" topLeftCell="A23" activePane="bottomLeft" state="frozen"/>
      <selection pane="bottomLeft" activeCell="K45" sqref="K4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86" t="str">
        <f>+Master!G252</f>
        <v>Ostvarenje budžeta</v>
      </c>
      <c r="C7" s="587"/>
      <c r="D7" s="587"/>
      <c r="E7" s="587"/>
      <c r="F7" s="587"/>
      <c r="G7" s="595">
        <v>2024</v>
      </c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9"/>
      <c r="S7" s="220" t="str">
        <f>+Master!G249</f>
        <v>BDP</v>
      </c>
      <c r="T7" s="221">
        <v>7034000000</v>
      </c>
    </row>
    <row r="8" spans="1:24" ht="16.5" customHeight="1">
      <c r="A8" s="129"/>
      <c r="B8" s="588"/>
      <c r="C8" s="589"/>
      <c r="D8" s="589"/>
      <c r="E8" s="589"/>
      <c r="F8" s="590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95" t="str">
        <f>+Master!G247</f>
        <v>Jan - Dec</v>
      </c>
      <c r="T8" s="599"/>
    </row>
    <row r="9" spans="1:24" ht="13.5" thickBot="1">
      <c r="A9" s="129"/>
      <c r="B9" s="591"/>
      <c r="C9" s="592"/>
      <c r="D9" s="592"/>
      <c r="E9" s="592"/>
      <c r="F9" s="59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66" t="str">
        <f>+VLOOKUP($A10,Master!$D$30:$G$226,4,FALSE)</f>
        <v>Prihodi budžeta</v>
      </c>
      <c r="C10" s="567"/>
      <c r="D10" s="567"/>
      <c r="E10" s="567"/>
      <c r="F10" s="567"/>
      <c r="G10" s="513">
        <f>G11+G19+G24+G25+G26+G27+G28</f>
        <v>153787966.31999999</v>
      </c>
      <c r="H10" s="513">
        <f t="shared" ref="H10:L10" si="2">+H11+H19+SUM(H24:H28)</f>
        <v>180191329.59</v>
      </c>
      <c r="I10" s="513">
        <f t="shared" si="2"/>
        <v>244514247.03000003</v>
      </c>
      <c r="J10" s="513">
        <f t="shared" si="2"/>
        <v>0</v>
      </c>
      <c r="K10" s="513">
        <f t="shared" si="2"/>
        <v>0</v>
      </c>
      <c r="L10" s="513">
        <f t="shared" si="2"/>
        <v>0</v>
      </c>
      <c r="M10" s="513">
        <f t="shared" ref="M10:R10" si="3">+M11+M19+SUM(M24:M28)</f>
        <v>0</v>
      </c>
      <c r="N10" s="513">
        <f t="shared" si="3"/>
        <v>0</v>
      </c>
      <c r="O10" s="513">
        <f t="shared" si="3"/>
        <v>0</v>
      </c>
      <c r="P10" s="513">
        <f t="shared" si="3"/>
        <v>0</v>
      </c>
      <c r="Q10" s="513">
        <f t="shared" si="3"/>
        <v>0</v>
      </c>
      <c r="R10" s="513">
        <f t="shared" si="3"/>
        <v>0</v>
      </c>
      <c r="S10" s="514">
        <f>+SUM(G10:R10)</f>
        <v>578493542.94000006</v>
      </c>
      <c r="T10" s="515">
        <f>+S10/$T$7*100</f>
        <v>8.2242471273812914</v>
      </c>
      <c r="V10" s="493"/>
    </row>
    <row r="11" spans="1:24">
      <c r="A11" s="135">
        <v>711</v>
      </c>
      <c r="B11" s="556" t="str">
        <f>+VLOOKUP($A11,Master!$D$30:$G$226,4,FALSE)</f>
        <v>Porezi</v>
      </c>
      <c r="C11" s="557"/>
      <c r="D11" s="557"/>
      <c r="E11" s="557"/>
      <c r="F11" s="557"/>
      <c r="G11" s="516">
        <f t="shared" ref="G11:I11" si="4">+SUM(G12:G18)</f>
        <v>122011952.05999999</v>
      </c>
      <c r="H11" s="516">
        <f t="shared" si="4"/>
        <v>121308599.17</v>
      </c>
      <c r="I11" s="516">
        <f t="shared" si="4"/>
        <v>184557374.95000002</v>
      </c>
      <c r="J11" s="516">
        <f>+SUM(J12:J18)</f>
        <v>0</v>
      </c>
      <c r="K11" s="516">
        <f>+SUM(K12:K18)</f>
        <v>0</v>
      </c>
      <c r="L11" s="516">
        <f>+SUM(L12:L18)</f>
        <v>0</v>
      </c>
      <c r="M11" s="516">
        <f t="shared" ref="M11:R11" si="5">+SUM(M12:M18)</f>
        <v>0</v>
      </c>
      <c r="N11" s="516">
        <f t="shared" si="5"/>
        <v>0</v>
      </c>
      <c r="O11" s="516">
        <f t="shared" si="5"/>
        <v>0</v>
      </c>
      <c r="P11" s="516">
        <f t="shared" si="5"/>
        <v>0</v>
      </c>
      <c r="Q11" s="516">
        <f t="shared" si="5"/>
        <v>0</v>
      </c>
      <c r="R11" s="517">
        <f t="shared" si="5"/>
        <v>0</v>
      </c>
      <c r="S11" s="518">
        <f>+SUM(G11:R11)</f>
        <v>427877926.18000001</v>
      </c>
      <c r="T11" s="519">
        <f t="shared" ref="T11:T66" si="6">+S11/$T$7*100</f>
        <v>6.0829958228603926</v>
      </c>
      <c r="V11" s="276"/>
    </row>
    <row r="12" spans="1:24">
      <c r="A12" s="135">
        <v>7111</v>
      </c>
      <c r="B12" s="558" t="str">
        <f>+VLOOKUP($A12,Master!$D$30:$G$226,4,FALSE)</f>
        <v>Porez na dohodak fizičkih lica</v>
      </c>
      <c r="C12" s="559"/>
      <c r="D12" s="559"/>
      <c r="E12" s="559"/>
      <c r="F12" s="559"/>
      <c r="G12" s="148">
        <v>1998079.1499999992</v>
      </c>
      <c r="H12" s="148">
        <v>6162755.9099999974</v>
      </c>
      <c r="I12" s="148">
        <v>6774640.8399999989</v>
      </c>
      <c r="J12" s="148"/>
      <c r="K12" s="148"/>
      <c r="L12" s="148"/>
      <c r="M12" s="148"/>
      <c r="N12" s="148"/>
      <c r="O12" s="148"/>
      <c r="P12" s="148"/>
      <c r="Q12" s="148"/>
      <c r="R12" s="148"/>
      <c r="S12" s="227">
        <f>+SUM(G12:R12)</f>
        <v>14935475.899999995</v>
      </c>
      <c r="T12" s="436">
        <f t="shared" si="6"/>
        <v>0.21233261160079606</v>
      </c>
    </row>
    <row r="13" spans="1:24">
      <c r="A13" s="135">
        <v>7112</v>
      </c>
      <c r="B13" s="558" t="str">
        <f>+VLOOKUP($A13,Master!$D$30:$G$226,4,FALSE)</f>
        <v>Porez na dobit pravnih lica</v>
      </c>
      <c r="C13" s="559"/>
      <c r="D13" s="559"/>
      <c r="E13" s="559"/>
      <c r="F13" s="559"/>
      <c r="G13" s="148">
        <v>1951464.9</v>
      </c>
      <c r="H13" s="148">
        <v>5771727.9400000023</v>
      </c>
      <c r="I13" s="148">
        <v>71210822.510000005</v>
      </c>
      <c r="J13" s="148"/>
      <c r="K13" s="148"/>
      <c r="L13" s="148"/>
      <c r="M13" s="148"/>
      <c r="N13" s="148"/>
      <c r="O13" s="148"/>
      <c r="P13" s="148"/>
      <c r="Q13" s="148"/>
      <c r="R13" s="148"/>
      <c r="S13" s="227">
        <f t="shared" ref="S13:S65" si="7">+SUM(G13:R13)</f>
        <v>78934015.350000009</v>
      </c>
      <c r="T13" s="436">
        <f t="shared" si="6"/>
        <v>1.1221782108330964</v>
      </c>
      <c r="V13" s="276"/>
      <c r="W13" s="276"/>
      <c r="X13" s="494"/>
    </row>
    <row r="14" spans="1:24">
      <c r="A14" s="135">
        <v>7113</v>
      </c>
      <c r="B14" s="558" t="str">
        <f>+VLOOKUP($A14,Master!$D$30:$G$226,4,FALSE)</f>
        <v>Porez na promet nepokretnosti</v>
      </c>
      <c r="C14" s="559"/>
      <c r="D14" s="559"/>
      <c r="E14" s="559"/>
      <c r="F14" s="559"/>
      <c r="G14" s="148">
        <v>0</v>
      </c>
      <c r="H14" s="148">
        <v>0</v>
      </c>
      <c r="I14" s="148">
        <v>0</v>
      </c>
      <c r="J14" s="148"/>
      <c r="K14" s="148"/>
      <c r="L14" s="148"/>
      <c r="M14" s="148"/>
      <c r="N14" s="148"/>
      <c r="O14" s="148"/>
      <c r="P14" s="148"/>
      <c r="Q14" s="148"/>
      <c r="R14" s="148"/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58" t="str">
        <f>+VLOOKUP($A15,Master!$D$30:$G$226,4,FALSE)</f>
        <v>Porez na dodatu vrijednost</v>
      </c>
      <c r="C15" s="559"/>
      <c r="D15" s="559"/>
      <c r="E15" s="559"/>
      <c r="F15" s="559"/>
      <c r="G15" s="148">
        <v>91572726.909999996</v>
      </c>
      <c r="H15" s="148">
        <v>81980319.979999989</v>
      </c>
      <c r="I15" s="148">
        <v>78800496.590000018</v>
      </c>
      <c r="J15" s="148"/>
      <c r="K15" s="148"/>
      <c r="L15" s="148"/>
      <c r="M15" s="148"/>
      <c r="N15" s="148"/>
      <c r="O15" s="148"/>
      <c r="P15" s="148"/>
      <c r="Q15" s="148"/>
      <c r="R15" s="148"/>
      <c r="S15" s="227">
        <f t="shared" si="7"/>
        <v>252353543.48000002</v>
      </c>
      <c r="T15" s="436">
        <f t="shared" si="6"/>
        <v>3.5876250139323287</v>
      </c>
      <c r="V15" s="276"/>
      <c r="W15" s="276"/>
      <c r="X15" s="494"/>
    </row>
    <row r="16" spans="1:24">
      <c r="A16" s="135">
        <v>7115</v>
      </c>
      <c r="B16" s="558" t="str">
        <f>+VLOOKUP($A16,Master!$D$30:$G$226,4,FALSE)</f>
        <v>Akcize</v>
      </c>
      <c r="C16" s="559"/>
      <c r="D16" s="559"/>
      <c r="E16" s="559"/>
      <c r="F16" s="559"/>
      <c r="G16" s="148">
        <v>22556344.95999999</v>
      </c>
      <c r="H16" s="148">
        <v>22366846.550000004</v>
      </c>
      <c r="I16" s="148">
        <v>21994790.36999999</v>
      </c>
      <c r="J16" s="148"/>
      <c r="K16" s="148"/>
      <c r="L16" s="148"/>
      <c r="M16" s="148"/>
      <c r="N16" s="148"/>
      <c r="O16" s="148"/>
      <c r="P16" s="148"/>
      <c r="Q16" s="148"/>
      <c r="R16" s="148"/>
      <c r="S16" s="227">
        <f t="shared" si="7"/>
        <v>66917981.87999998</v>
      </c>
      <c r="T16" s="436">
        <f t="shared" si="6"/>
        <v>0.95135032527722474</v>
      </c>
      <c r="V16" s="276"/>
      <c r="W16" s="276"/>
      <c r="X16" s="494"/>
    </row>
    <row r="17" spans="1:24">
      <c r="A17" s="135">
        <v>7116</v>
      </c>
      <c r="B17" s="558" t="str">
        <f>+VLOOKUP($A17,Master!$D$30:$G$226,4,FALSE)</f>
        <v>Porez na međunarodnu trgovinu i transakcije</v>
      </c>
      <c r="C17" s="559"/>
      <c r="D17" s="559"/>
      <c r="E17" s="559"/>
      <c r="F17" s="559"/>
      <c r="G17" s="148">
        <v>2997811.1100000008</v>
      </c>
      <c r="H17" s="148">
        <v>3849203.2799999993</v>
      </c>
      <c r="I17" s="148">
        <v>4636318.0900000017</v>
      </c>
      <c r="J17" s="148"/>
      <c r="K17" s="148"/>
      <c r="L17" s="148"/>
      <c r="M17" s="148"/>
      <c r="N17" s="148"/>
      <c r="O17" s="148"/>
      <c r="P17" s="148"/>
      <c r="Q17" s="148"/>
      <c r="R17" s="148"/>
      <c r="S17" s="227">
        <f t="shared" si="7"/>
        <v>11483332.480000002</v>
      </c>
      <c r="T17" s="436">
        <f t="shared" si="6"/>
        <v>0.16325465567244812</v>
      </c>
      <c r="V17" s="276"/>
      <c r="W17" s="276"/>
      <c r="X17" s="494"/>
    </row>
    <row r="18" spans="1:24">
      <c r="A18" s="135">
        <v>7118</v>
      </c>
      <c r="B18" s="558" t="str">
        <f>+VLOOKUP($A18,Master!$D$30:$G$226,4,FALSE)</f>
        <v>Ostali državni porezi</v>
      </c>
      <c r="C18" s="559"/>
      <c r="D18" s="559"/>
      <c r="E18" s="559"/>
      <c r="F18" s="559"/>
      <c r="G18" s="148">
        <v>935525.02999999991</v>
      </c>
      <c r="H18" s="148">
        <v>1177745.5099999998</v>
      </c>
      <c r="I18" s="148">
        <v>1140306.55</v>
      </c>
      <c r="J18" s="148"/>
      <c r="K18" s="148"/>
      <c r="L18" s="148"/>
      <c r="M18" s="148"/>
      <c r="N18" s="148"/>
      <c r="O18" s="148"/>
      <c r="P18" s="148"/>
      <c r="Q18" s="148"/>
      <c r="R18" s="148"/>
      <c r="S18" s="227">
        <f t="shared" si="7"/>
        <v>3253577.09</v>
      </c>
      <c r="T18" s="436">
        <f t="shared" si="6"/>
        <v>4.625500554449815E-2</v>
      </c>
      <c r="V18" s="276"/>
      <c r="W18" s="276"/>
      <c r="X18" s="494"/>
    </row>
    <row r="19" spans="1:24">
      <c r="A19" s="135">
        <v>712</v>
      </c>
      <c r="B19" s="560" t="str">
        <f>+VLOOKUP($A19,Master!$D$30:$G$226,4,FALSE)</f>
        <v>Doprinosi</v>
      </c>
      <c r="C19" s="561"/>
      <c r="D19" s="561"/>
      <c r="E19" s="561"/>
      <c r="F19" s="561"/>
      <c r="G19" s="520">
        <f t="shared" ref="G19" si="8">SUM(G20:G23)</f>
        <v>13548213.420000004</v>
      </c>
      <c r="H19" s="520">
        <f t="shared" ref="H19:L19" si="9">SUM(H20:H23)</f>
        <v>51209301.960000008</v>
      </c>
      <c r="I19" s="520">
        <f t="shared" si="9"/>
        <v>50079162.990000017</v>
      </c>
      <c r="J19" s="520">
        <f t="shared" si="9"/>
        <v>0</v>
      </c>
      <c r="K19" s="520">
        <f t="shared" si="9"/>
        <v>0</v>
      </c>
      <c r="L19" s="520">
        <f t="shared" si="9"/>
        <v>0</v>
      </c>
      <c r="M19" s="520">
        <f t="shared" ref="M19:R19" si="10">SUM(M20:M23)</f>
        <v>0</v>
      </c>
      <c r="N19" s="520">
        <f t="shared" si="10"/>
        <v>0</v>
      </c>
      <c r="O19" s="520">
        <f t="shared" si="10"/>
        <v>0</v>
      </c>
      <c r="P19" s="520">
        <f t="shared" si="10"/>
        <v>0</v>
      </c>
      <c r="Q19" s="520">
        <f t="shared" si="10"/>
        <v>0</v>
      </c>
      <c r="R19" s="520">
        <f t="shared" si="10"/>
        <v>0</v>
      </c>
      <c r="S19" s="521">
        <f t="shared" si="7"/>
        <v>114836678.37000003</v>
      </c>
      <c r="T19" s="522">
        <f t="shared" si="6"/>
        <v>1.6325942332954226</v>
      </c>
      <c r="V19" s="276"/>
      <c r="W19" s="276"/>
      <c r="X19" s="494"/>
    </row>
    <row r="20" spans="1:24">
      <c r="A20" s="135">
        <v>7121</v>
      </c>
      <c r="B20" s="558" t="str">
        <f>+VLOOKUP($A20,Master!$D$30:$G$226,4,FALSE)</f>
        <v>Doprinosi za penzijsko i invalidsko osiguranje</v>
      </c>
      <c r="C20" s="559"/>
      <c r="D20" s="559"/>
      <c r="E20" s="559"/>
      <c r="F20" s="559"/>
      <c r="G20" s="148">
        <v>12277377.310000004</v>
      </c>
      <c r="H20" s="148">
        <v>47091163.350000009</v>
      </c>
      <c r="I20" s="148">
        <v>45892077.740000017</v>
      </c>
      <c r="J20" s="148"/>
      <c r="K20" s="148"/>
      <c r="L20" s="148"/>
      <c r="M20" s="148"/>
      <c r="N20" s="148"/>
      <c r="O20" s="148"/>
      <c r="P20" s="148"/>
      <c r="Q20" s="148"/>
      <c r="R20" s="148"/>
      <c r="S20" s="227">
        <f>+SUM(G20:R20)</f>
        <v>105260618.40000004</v>
      </c>
      <c r="T20" s="436">
        <f t="shared" si="6"/>
        <v>1.4964546261017917</v>
      </c>
      <c r="V20" s="276"/>
      <c r="W20" s="276"/>
      <c r="X20" s="494"/>
    </row>
    <row r="21" spans="1:24">
      <c r="A21" s="135">
        <v>7122</v>
      </c>
      <c r="B21" s="558" t="str">
        <f>+VLOOKUP($A21,Master!$D$30:$G$226,4,FALSE)</f>
        <v>Doprinosi za zdravstveno osiguranje</v>
      </c>
      <c r="C21" s="559"/>
      <c r="D21" s="559"/>
      <c r="E21" s="559"/>
      <c r="F21" s="559"/>
      <c r="G21" s="148">
        <v>307850.36</v>
      </c>
      <c r="H21" s="148">
        <v>382153.79999999981</v>
      </c>
      <c r="I21" s="148">
        <v>494660.43000000023</v>
      </c>
      <c r="J21" s="148"/>
      <c r="K21" s="148"/>
      <c r="L21" s="148"/>
      <c r="M21" s="148"/>
      <c r="N21" s="148"/>
      <c r="O21" s="148"/>
      <c r="P21" s="148"/>
      <c r="Q21" s="148"/>
      <c r="R21" s="148"/>
      <c r="S21" s="227">
        <f t="shared" si="7"/>
        <v>1184664.5900000001</v>
      </c>
      <c r="T21" s="436">
        <f t="shared" si="6"/>
        <v>1.6841975973841343E-2</v>
      </c>
      <c r="V21" s="276"/>
      <c r="W21" s="276"/>
      <c r="X21" s="494"/>
    </row>
    <row r="22" spans="1:24">
      <c r="A22" s="135">
        <v>7123</v>
      </c>
      <c r="B22" s="558" t="str">
        <f>+VLOOKUP($A22,Master!$D$30:$G$226,4,FALSE)</f>
        <v>Doprinosi za osiguranje od nezaposlenosti</v>
      </c>
      <c r="C22" s="559"/>
      <c r="D22" s="559"/>
      <c r="E22" s="559"/>
      <c r="F22" s="559"/>
      <c r="G22" s="148">
        <v>569229.31000000017</v>
      </c>
      <c r="H22" s="148">
        <v>2203988.56</v>
      </c>
      <c r="I22" s="148">
        <v>2137007.6800000002</v>
      </c>
      <c r="J22" s="148"/>
      <c r="K22" s="148"/>
      <c r="L22" s="148"/>
      <c r="M22" s="148"/>
      <c r="N22" s="148"/>
      <c r="O22" s="148"/>
      <c r="P22" s="148"/>
      <c r="Q22" s="148"/>
      <c r="R22" s="148"/>
      <c r="S22" s="227">
        <f t="shared" si="7"/>
        <v>4910225.5500000007</v>
      </c>
      <c r="T22" s="436">
        <f t="shared" si="6"/>
        <v>6.9807016633494465E-2</v>
      </c>
    </row>
    <row r="23" spans="1:24">
      <c r="A23" s="135">
        <v>7124</v>
      </c>
      <c r="B23" s="558" t="str">
        <f>+VLOOKUP($A23,Master!$D$30:$G$226,4,FALSE)</f>
        <v>Ostali doprinosi</v>
      </c>
      <c r="C23" s="559"/>
      <c r="D23" s="559"/>
      <c r="E23" s="559"/>
      <c r="F23" s="559"/>
      <c r="G23" s="148">
        <v>393756.44</v>
      </c>
      <c r="H23" s="148">
        <v>1531996.2499999995</v>
      </c>
      <c r="I23" s="148">
        <v>1555417.1400000006</v>
      </c>
      <c r="J23" s="148"/>
      <c r="K23" s="148"/>
      <c r="L23" s="148"/>
      <c r="M23" s="148"/>
      <c r="N23" s="148"/>
      <c r="O23" s="148"/>
      <c r="P23" s="148"/>
      <c r="Q23" s="148"/>
      <c r="R23" s="148"/>
      <c r="S23" s="227">
        <f t="shared" si="7"/>
        <v>3481169.83</v>
      </c>
      <c r="T23" s="436">
        <f t="shared" si="6"/>
        <v>4.949061458629514E-2</v>
      </c>
      <c r="V23" s="495"/>
      <c r="W23" s="495"/>
      <c r="X23" s="494"/>
    </row>
    <row r="24" spans="1:24">
      <c r="A24" s="135">
        <v>713</v>
      </c>
      <c r="B24" s="560" t="str">
        <f>+VLOOKUP($A24,Master!$D$30:$G$226,4,FALSE)</f>
        <v>Takse</v>
      </c>
      <c r="C24" s="561"/>
      <c r="D24" s="561"/>
      <c r="E24" s="561"/>
      <c r="F24" s="561"/>
      <c r="G24" s="523">
        <v>859681.09</v>
      </c>
      <c r="H24" s="523">
        <v>998586.78</v>
      </c>
      <c r="I24" s="523">
        <v>986568.83000000007</v>
      </c>
      <c r="J24" s="523"/>
      <c r="K24" s="523"/>
      <c r="L24" s="523"/>
      <c r="M24" s="523"/>
      <c r="N24" s="523"/>
      <c r="O24" s="523"/>
      <c r="P24" s="523"/>
      <c r="Q24" s="523"/>
      <c r="R24" s="523"/>
      <c r="S24" s="521">
        <f t="shared" si="7"/>
        <v>2844836.7</v>
      </c>
      <c r="T24" s="522">
        <f t="shared" si="6"/>
        <v>4.0444081603639472E-2</v>
      </c>
    </row>
    <row r="25" spans="1:24">
      <c r="A25" s="135">
        <v>714</v>
      </c>
      <c r="B25" s="560" t="str">
        <f>+VLOOKUP($A25,Master!$D$30:$G$226,4,FALSE)</f>
        <v>Naknade</v>
      </c>
      <c r="C25" s="561"/>
      <c r="D25" s="561"/>
      <c r="E25" s="561"/>
      <c r="F25" s="561"/>
      <c r="G25" s="523">
        <v>2491580.6800000006</v>
      </c>
      <c r="H25" s="523">
        <v>4111753.2299999995</v>
      </c>
      <c r="I25" s="523">
        <v>3497306.5900000003</v>
      </c>
      <c r="J25" s="523"/>
      <c r="K25" s="523"/>
      <c r="L25" s="523"/>
      <c r="M25" s="523"/>
      <c r="N25" s="523"/>
      <c r="O25" s="523"/>
      <c r="P25" s="523"/>
      <c r="Q25" s="523"/>
      <c r="R25" s="523"/>
      <c r="S25" s="521">
        <f t="shared" si="7"/>
        <v>10100640.5</v>
      </c>
      <c r="T25" s="522">
        <f t="shared" si="6"/>
        <v>0.14359739124253626</v>
      </c>
    </row>
    <row r="26" spans="1:24">
      <c r="A26" s="135">
        <v>715</v>
      </c>
      <c r="B26" s="560" t="str">
        <f>+VLOOKUP($A26,Master!$D$30:$G$226,4,FALSE)</f>
        <v>Ostali prihodi</v>
      </c>
      <c r="C26" s="561"/>
      <c r="D26" s="561"/>
      <c r="E26" s="561"/>
      <c r="F26" s="561"/>
      <c r="G26" s="523">
        <v>10644214.710000001</v>
      </c>
      <c r="H26" s="523">
        <v>2449152.7200000002</v>
      </c>
      <c r="I26" s="523">
        <v>2111632.44</v>
      </c>
      <c r="J26" s="523"/>
      <c r="K26" s="523"/>
      <c r="L26" s="523"/>
      <c r="M26" s="523"/>
      <c r="N26" s="523"/>
      <c r="O26" s="523"/>
      <c r="P26" s="523"/>
      <c r="Q26" s="523"/>
      <c r="R26" s="523"/>
      <c r="S26" s="521">
        <f t="shared" si="7"/>
        <v>15204999.870000001</v>
      </c>
      <c r="T26" s="522">
        <f t="shared" si="6"/>
        <v>0.2161643427637191</v>
      </c>
    </row>
    <row r="27" spans="1:24">
      <c r="A27" s="135">
        <v>73</v>
      </c>
      <c r="B27" s="560" t="str">
        <f>+VLOOKUP($A27,Master!$D$30:$G$226,4,FALSE)</f>
        <v>Primici od otplate kredita i sredstva prenesena iz prethodne godine</v>
      </c>
      <c r="C27" s="561"/>
      <c r="D27" s="561"/>
      <c r="E27" s="561"/>
      <c r="F27" s="561"/>
      <c r="G27" s="523">
        <v>0</v>
      </c>
      <c r="H27" s="523">
        <v>0</v>
      </c>
      <c r="I27" s="523">
        <v>0</v>
      </c>
      <c r="J27" s="523"/>
      <c r="K27" s="523"/>
      <c r="L27" s="523"/>
      <c r="M27" s="523"/>
      <c r="N27" s="523"/>
      <c r="O27" s="523"/>
      <c r="P27" s="523"/>
      <c r="Q27" s="523"/>
      <c r="R27" s="523"/>
      <c r="S27" s="521">
        <f t="shared" si="7"/>
        <v>0</v>
      </c>
      <c r="T27" s="522">
        <f t="shared" si="6"/>
        <v>0</v>
      </c>
    </row>
    <row r="28" spans="1:24" ht="13.5" thickBot="1">
      <c r="A28" s="135">
        <v>74</v>
      </c>
      <c r="B28" s="560" t="str">
        <f>+VLOOKUP($A28,Master!$D$30:$G$226,4,FALSE)</f>
        <v>Donacije i transferi</v>
      </c>
      <c r="C28" s="561"/>
      <c r="D28" s="561"/>
      <c r="E28" s="561"/>
      <c r="F28" s="561"/>
      <c r="G28" s="523">
        <v>4232324.3599999994</v>
      </c>
      <c r="H28" s="523">
        <v>113935.73000000001</v>
      </c>
      <c r="I28" s="523">
        <v>3282201.23</v>
      </c>
      <c r="J28" s="523"/>
      <c r="K28" s="523"/>
      <c r="L28" s="523"/>
      <c r="M28" s="523"/>
      <c r="N28" s="523"/>
      <c r="O28" s="523"/>
      <c r="P28" s="523"/>
      <c r="Q28" s="523"/>
      <c r="R28" s="523"/>
      <c r="S28" s="521">
        <f t="shared" si="7"/>
        <v>7628461.3200000003</v>
      </c>
      <c r="T28" s="524">
        <f t="shared" si="6"/>
        <v>0.10845125561558147</v>
      </c>
    </row>
    <row r="29" spans="1:24" ht="13.5" thickBot="1">
      <c r="A29" s="135">
        <v>4</v>
      </c>
      <c r="B29" s="566" t="str">
        <f>+VLOOKUP($A29,Master!$D$30:$G$226,4,FALSE)</f>
        <v>Izdaci budžeta</v>
      </c>
      <c r="C29" s="567"/>
      <c r="D29" s="567"/>
      <c r="E29" s="567"/>
      <c r="F29" s="567"/>
      <c r="G29" s="136">
        <f>+G30+G40+G46+SUM(G47:G51)</f>
        <v>137885913.02000001</v>
      </c>
      <c r="H29" s="136">
        <f t="shared" ref="H29:L29" si="11">+H30+H40+H46+SUM(H47:H51)</f>
        <v>214415630.16999996</v>
      </c>
      <c r="I29" s="136">
        <f t="shared" si="11"/>
        <v>231119657.97</v>
      </c>
      <c r="J29" s="136">
        <f t="shared" si="11"/>
        <v>0</v>
      </c>
      <c r="K29" s="136">
        <f t="shared" si="11"/>
        <v>0</v>
      </c>
      <c r="L29" s="136">
        <f t="shared" si="11"/>
        <v>0</v>
      </c>
      <c r="M29" s="136">
        <f t="shared" ref="M29:R29" si="12">+M30+M40+M46+SUM(M47:M51)</f>
        <v>0</v>
      </c>
      <c r="N29" s="136">
        <f t="shared" si="12"/>
        <v>0</v>
      </c>
      <c r="O29" s="136">
        <f t="shared" si="12"/>
        <v>0</v>
      </c>
      <c r="P29" s="136">
        <f t="shared" si="12"/>
        <v>0</v>
      </c>
      <c r="Q29" s="136">
        <f t="shared" si="12"/>
        <v>0</v>
      </c>
      <c r="R29" s="136">
        <f t="shared" si="12"/>
        <v>0</v>
      </c>
      <c r="S29" s="525">
        <f t="shared" si="7"/>
        <v>583421201.15999997</v>
      </c>
      <c r="T29" s="526">
        <f t="shared" si="6"/>
        <v>8.2943019783906742</v>
      </c>
    </row>
    <row r="30" spans="1:24">
      <c r="A30" s="135">
        <v>41</v>
      </c>
      <c r="B30" s="570" t="str">
        <f>+VLOOKUP($A30,Master!$D$30:$G$226,4,FALSE)</f>
        <v>Tekući izdaci</v>
      </c>
      <c r="C30" s="571"/>
      <c r="D30" s="571"/>
      <c r="E30" s="571"/>
      <c r="F30" s="571"/>
      <c r="G30" s="172">
        <f t="shared" ref="G30" si="13">+SUM(G31:G39)</f>
        <v>61608569.769999996</v>
      </c>
      <c r="H30" s="172">
        <f t="shared" ref="H30:L30" si="14">+SUM(H31:H39)</f>
        <v>82047788.909999952</v>
      </c>
      <c r="I30" s="172">
        <f t="shared" si="14"/>
        <v>89988112.119999975</v>
      </c>
      <c r="J30" s="172">
        <f t="shared" si="14"/>
        <v>0</v>
      </c>
      <c r="K30" s="172">
        <f t="shared" si="14"/>
        <v>0</v>
      </c>
      <c r="L30" s="172">
        <f t="shared" si="14"/>
        <v>0</v>
      </c>
      <c r="M30" s="172">
        <f t="shared" ref="M30:R30" si="15">+SUM(M31:M39)</f>
        <v>0</v>
      </c>
      <c r="N30" s="172">
        <f t="shared" si="15"/>
        <v>0</v>
      </c>
      <c r="O30" s="172">
        <f t="shared" si="15"/>
        <v>0</v>
      </c>
      <c r="P30" s="172">
        <f t="shared" si="15"/>
        <v>0</v>
      </c>
      <c r="Q30" s="172">
        <f t="shared" si="15"/>
        <v>0</v>
      </c>
      <c r="R30" s="231">
        <f t="shared" si="15"/>
        <v>0</v>
      </c>
      <c r="S30" s="527">
        <f t="shared" si="7"/>
        <v>233644470.79999992</v>
      </c>
      <c r="T30" s="519">
        <f t="shared" si="6"/>
        <v>3.3216444526585147</v>
      </c>
      <c r="U30" s="472"/>
    </row>
    <row r="31" spans="1:24">
      <c r="A31" s="135">
        <v>411</v>
      </c>
      <c r="B31" s="558" t="str">
        <f>+VLOOKUP($A31,Master!$D$30:$G$226,4,FALSE)</f>
        <v>Bruto zarade i doprinosi na teret poslodavca</v>
      </c>
      <c r="C31" s="559"/>
      <c r="D31" s="559"/>
      <c r="E31" s="559"/>
      <c r="F31" s="559"/>
      <c r="G31" s="499">
        <v>55136615.75</v>
      </c>
      <c r="H31" s="499">
        <v>55692244.729999967</v>
      </c>
      <c r="I31" s="499">
        <v>55409720.469999991</v>
      </c>
      <c r="J31" s="148"/>
      <c r="K31" s="148"/>
      <c r="L31" s="148"/>
      <c r="M31" s="148"/>
      <c r="N31" s="148"/>
      <c r="O31" s="148"/>
      <c r="P31" s="498"/>
      <c r="Q31" s="148"/>
      <c r="R31" s="148"/>
      <c r="S31" s="227">
        <f t="shared" si="7"/>
        <v>166238580.94999996</v>
      </c>
      <c r="T31" s="436">
        <f t="shared" si="6"/>
        <v>2.3633577047199315</v>
      </c>
      <c r="U31" s="472"/>
    </row>
    <row r="32" spans="1:24">
      <c r="A32" s="135">
        <v>412</v>
      </c>
      <c r="B32" s="558" t="str">
        <f>+VLOOKUP($A32,Master!$D$30:$G$226,4,FALSE)</f>
        <v>Ostala lična primanja</v>
      </c>
      <c r="C32" s="559"/>
      <c r="D32" s="559"/>
      <c r="E32" s="559"/>
      <c r="F32" s="559"/>
      <c r="G32" s="499">
        <v>104790.61</v>
      </c>
      <c r="H32" s="499">
        <v>1838329.9900000002</v>
      </c>
      <c r="I32" s="499">
        <v>2257740.919999999</v>
      </c>
      <c r="J32" s="148"/>
      <c r="K32" s="148"/>
      <c r="L32" s="148"/>
      <c r="M32" s="148"/>
      <c r="N32" s="148"/>
      <c r="O32" s="148"/>
      <c r="P32" s="148"/>
      <c r="Q32" s="148"/>
      <c r="R32" s="148"/>
      <c r="S32" s="227">
        <f t="shared" si="7"/>
        <v>4200861.5199999996</v>
      </c>
      <c r="T32" s="436">
        <f t="shared" si="6"/>
        <v>5.972222803525732E-2</v>
      </c>
      <c r="U32" s="472"/>
      <c r="V32" s="275"/>
    </row>
    <row r="33" spans="1:24">
      <c r="A33" s="135">
        <v>413</v>
      </c>
      <c r="B33" s="558" t="str">
        <f>+VLOOKUP($A33,Master!$D$30:$G$226,4,FALSE)</f>
        <v>Rashodi za materijal</v>
      </c>
      <c r="C33" s="559"/>
      <c r="D33" s="559"/>
      <c r="E33" s="559"/>
      <c r="F33" s="559"/>
      <c r="G33" s="499">
        <v>201738.93999999997</v>
      </c>
      <c r="H33" s="499">
        <v>3185464.5300000003</v>
      </c>
      <c r="I33" s="499">
        <v>3529714.7899999996</v>
      </c>
      <c r="J33" s="148"/>
      <c r="K33" s="148"/>
      <c r="L33" s="148"/>
      <c r="M33" s="148"/>
      <c r="N33" s="148"/>
      <c r="O33" s="148"/>
      <c r="P33" s="148"/>
      <c r="Q33" s="148"/>
      <c r="R33" s="148"/>
      <c r="S33" s="227">
        <f t="shared" si="7"/>
        <v>6916918.2599999998</v>
      </c>
      <c r="T33" s="436">
        <f t="shared" si="6"/>
        <v>9.8335488484503825E-2</v>
      </c>
      <c r="U33" s="472"/>
    </row>
    <row r="34" spans="1:24" s="334" customFormat="1">
      <c r="A34" s="333">
        <v>414</v>
      </c>
      <c r="B34" s="653" t="str">
        <f>+VLOOKUP($A34,Master!$D$30:$G$226,4,FALSE)</f>
        <v>Rashodi za usluge</v>
      </c>
      <c r="C34" s="654"/>
      <c r="D34" s="654"/>
      <c r="E34" s="654"/>
      <c r="F34" s="654"/>
      <c r="G34" s="499">
        <v>771804.5</v>
      </c>
      <c r="H34" s="499">
        <v>3308116.05</v>
      </c>
      <c r="I34" s="499">
        <v>6884866.3600000003</v>
      </c>
      <c r="J34" s="148"/>
      <c r="K34" s="148"/>
      <c r="L34" s="148"/>
      <c r="M34" s="148"/>
      <c r="N34" s="148"/>
      <c r="O34" s="148"/>
      <c r="P34" s="148"/>
      <c r="Q34" s="148"/>
      <c r="R34" s="148"/>
      <c r="S34" s="227">
        <f t="shared" si="7"/>
        <v>10964786.91</v>
      </c>
      <c r="T34" s="436">
        <f t="shared" si="6"/>
        <v>0.15588266860961048</v>
      </c>
      <c r="U34" s="472"/>
    </row>
    <row r="35" spans="1:24">
      <c r="A35" s="135">
        <v>415</v>
      </c>
      <c r="B35" s="558" t="str">
        <f>+VLOOKUP($A35,Master!$D$30:$G$226,4,FALSE)</f>
        <v>Rashodi za tekuće održavanje</v>
      </c>
      <c r="C35" s="559"/>
      <c r="D35" s="559"/>
      <c r="E35" s="559"/>
      <c r="F35" s="559"/>
      <c r="G35" s="499">
        <v>4201.5999999999995</v>
      </c>
      <c r="H35" s="499">
        <v>1444596.6199999996</v>
      </c>
      <c r="I35" s="499">
        <v>1881542.3199999998</v>
      </c>
      <c r="J35" s="148"/>
      <c r="K35" s="148"/>
      <c r="L35" s="148"/>
      <c r="M35" s="148"/>
      <c r="N35" s="148"/>
      <c r="O35" s="148"/>
      <c r="P35" s="148"/>
      <c r="Q35" s="148"/>
      <c r="R35" s="148"/>
      <c r="S35" s="227">
        <f t="shared" si="7"/>
        <v>3330340.5399999996</v>
      </c>
      <c r="T35" s="436">
        <f t="shared" si="6"/>
        <v>4.7346325561558142E-2</v>
      </c>
      <c r="U35" s="472"/>
    </row>
    <row r="36" spans="1:24">
      <c r="A36" s="135">
        <v>416</v>
      </c>
      <c r="B36" s="558" t="str">
        <f>+VLOOKUP($A36,Master!$D$30:$G$226,4,FALSE)</f>
        <v>Kamate</v>
      </c>
      <c r="C36" s="559"/>
      <c r="D36" s="559"/>
      <c r="E36" s="559"/>
      <c r="F36" s="559"/>
      <c r="G36" s="499">
        <v>4029329.47</v>
      </c>
      <c r="H36" s="499">
        <v>4129191.9600000004</v>
      </c>
      <c r="I36" s="499">
        <v>7187848.6899999976</v>
      </c>
      <c r="J36" s="148"/>
      <c r="K36" s="148"/>
      <c r="L36" s="148"/>
      <c r="M36" s="148"/>
      <c r="N36" s="148"/>
      <c r="O36" s="148"/>
      <c r="P36" s="148"/>
      <c r="Q36" s="148"/>
      <c r="R36" s="148"/>
      <c r="S36" s="227">
        <f>+SUM(G36:R36)</f>
        <v>15346370.119999997</v>
      </c>
      <c r="T36" s="436">
        <f t="shared" si="6"/>
        <v>0.21817415581461469</v>
      </c>
      <c r="U36" s="472"/>
      <c r="V36" s="275"/>
    </row>
    <row r="37" spans="1:24">
      <c r="A37" s="135">
        <v>417</v>
      </c>
      <c r="B37" s="558" t="str">
        <f>+VLOOKUP($A37,Master!$D$30:$G$226,4,FALSE)</f>
        <v>Renta</v>
      </c>
      <c r="C37" s="559"/>
      <c r="D37" s="559"/>
      <c r="E37" s="559"/>
      <c r="F37" s="559"/>
      <c r="G37" s="499">
        <v>155.47</v>
      </c>
      <c r="H37" s="499">
        <v>1060132.9999999998</v>
      </c>
      <c r="I37" s="499">
        <v>1228548.2700000005</v>
      </c>
      <c r="J37" s="148"/>
      <c r="K37" s="148"/>
      <c r="L37" s="148"/>
      <c r="M37" s="148"/>
      <c r="N37" s="148"/>
      <c r="O37" s="148"/>
      <c r="P37" s="148"/>
      <c r="Q37" s="148"/>
      <c r="R37" s="148"/>
      <c r="S37" s="227">
        <f t="shared" si="7"/>
        <v>2288836.7400000002</v>
      </c>
      <c r="T37" s="436">
        <f t="shared" si="6"/>
        <v>3.2539618140460622E-2</v>
      </c>
      <c r="U37" s="472"/>
      <c r="V37" s="275"/>
    </row>
    <row r="38" spans="1:24">
      <c r="A38" s="135">
        <v>418</v>
      </c>
      <c r="B38" s="558" t="str">
        <f>+VLOOKUP($A38,Master!$D$30:$G$226,4,FALSE)</f>
        <v>Subvencije</v>
      </c>
      <c r="C38" s="559"/>
      <c r="D38" s="559"/>
      <c r="E38" s="559"/>
      <c r="F38" s="559"/>
      <c r="G38" s="499">
        <v>1261570.0099999986</v>
      </c>
      <c r="H38" s="499">
        <v>3823193.8399999933</v>
      </c>
      <c r="I38" s="499">
        <v>6034941.5099999923</v>
      </c>
      <c r="J38" s="148"/>
      <c r="K38" s="148"/>
      <c r="L38" s="148"/>
      <c r="M38" s="148"/>
      <c r="N38" s="148"/>
      <c r="O38" s="148"/>
      <c r="P38" s="148"/>
      <c r="Q38" s="148"/>
      <c r="R38" s="148"/>
      <c r="S38" s="227">
        <f t="shared" si="7"/>
        <v>11119705.359999985</v>
      </c>
      <c r="T38" s="436">
        <f t="shared" si="6"/>
        <v>0.15808509183963582</v>
      </c>
      <c r="U38" s="472"/>
    </row>
    <row r="39" spans="1:24">
      <c r="A39" s="135">
        <v>419</v>
      </c>
      <c r="B39" s="558" t="str">
        <f>+VLOOKUP($A39,Master!$D$30:$G$226,4,FALSE)</f>
        <v>Ostali izdaci</v>
      </c>
      <c r="C39" s="559"/>
      <c r="D39" s="559"/>
      <c r="E39" s="559"/>
      <c r="F39" s="559"/>
      <c r="G39" s="499">
        <v>98363.42</v>
      </c>
      <c r="H39" s="499">
        <v>7566518.1899999985</v>
      </c>
      <c r="I39" s="499">
        <v>5573188.7899999991</v>
      </c>
      <c r="J39" s="148"/>
      <c r="K39" s="148"/>
      <c r="L39" s="148"/>
      <c r="M39" s="148"/>
      <c r="N39" s="148"/>
      <c r="O39" s="148"/>
      <c r="P39" s="148"/>
      <c r="Q39" s="148"/>
      <c r="R39" s="148"/>
      <c r="S39" s="227">
        <f t="shared" si="7"/>
        <v>13238070.399999999</v>
      </c>
      <c r="T39" s="436">
        <f t="shared" si="6"/>
        <v>0.18820117145294282</v>
      </c>
      <c r="U39" s="472"/>
      <c r="V39" s="275"/>
    </row>
    <row r="40" spans="1:24">
      <c r="A40" s="135">
        <v>42</v>
      </c>
      <c r="B40" s="574" t="str">
        <f>+VLOOKUP($A40,Master!$D$30:$G$226,4,FALSE)</f>
        <v>Transferi za socijalnu zaštitu</v>
      </c>
      <c r="C40" s="575"/>
      <c r="D40" s="575"/>
      <c r="E40" s="575"/>
      <c r="F40" s="575"/>
      <c r="G40" s="178">
        <f>+SUM(G41:G45)</f>
        <v>68160370.310000002</v>
      </c>
      <c r="H40" s="178">
        <f t="shared" ref="H40:L40" si="16">+SUM(H41:H45)</f>
        <v>82067756.000000015</v>
      </c>
      <c r="I40" s="178">
        <f t="shared" si="16"/>
        <v>83535130.719999999</v>
      </c>
      <c r="J40" s="178">
        <f t="shared" si="16"/>
        <v>0</v>
      </c>
      <c r="K40" s="178">
        <f t="shared" si="16"/>
        <v>0</v>
      </c>
      <c r="L40" s="178">
        <f t="shared" si="16"/>
        <v>0</v>
      </c>
      <c r="M40" s="178">
        <f t="shared" ref="M40:R40" si="17">+SUM(M41:M45)</f>
        <v>0</v>
      </c>
      <c r="N40" s="178">
        <f t="shared" si="17"/>
        <v>0</v>
      </c>
      <c r="O40" s="178">
        <f t="shared" si="17"/>
        <v>0</v>
      </c>
      <c r="P40" s="178">
        <f t="shared" si="17"/>
        <v>0</v>
      </c>
      <c r="Q40" s="178">
        <f t="shared" si="17"/>
        <v>0</v>
      </c>
      <c r="R40" s="178">
        <f t="shared" si="17"/>
        <v>0</v>
      </c>
      <c r="S40" s="528">
        <f t="shared" si="7"/>
        <v>233763257.03</v>
      </c>
      <c r="T40" s="529">
        <f t="shared" si="6"/>
        <v>3.3233331963321011</v>
      </c>
      <c r="U40" s="472"/>
    </row>
    <row r="41" spans="1:24">
      <c r="A41" s="135">
        <v>421</v>
      </c>
      <c r="B41" s="558" t="str">
        <f>+VLOOKUP($A41,Master!$D$30:$G$226,4,FALSE)</f>
        <v>Prava iz oblasti socijalne zaštite</v>
      </c>
      <c r="C41" s="559"/>
      <c r="D41" s="559"/>
      <c r="E41" s="559"/>
      <c r="F41" s="559"/>
      <c r="G41" s="499">
        <v>17183646.739999998</v>
      </c>
      <c r="H41" s="499">
        <v>17507547.41</v>
      </c>
      <c r="I41" s="499">
        <v>16928238.349999998</v>
      </c>
      <c r="J41" s="148"/>
      <c r="K41" s="148"/>
      <c r="L41" s="148"/>
      <c r="M41" s="148"/>
      <c r="N41" s="148"/>
      <c r="O41" s="148"/>
      <c r="P41" s="148"/>
      <c r="Q41" s="148"/>
      <c r="R41" s="148"/>
      <c r="S41" s="227">
        <f t="shared" si="7"/>
        <v>51619432.5</v>
      </c>
      <c r="T41" s="436">
        <f t="shared" si="6"/>
        <v>0.73385602075632639</v>
      </c>
      <c r="U41" s="472"/>
    </row>
    <row r="42" spans="1:24">
      <c r="A42" s="135">
        <v>422</v>
      </c>
      <c r="B42" s="558" t="str">
        <f>+VLOOKUP($A42,Master!$D$30:$G$226,4,FALSE)</f>
        <v>Sredstva za tehnološke viškove</v>
      </c>
      <c r="C42" s="559"/>
      <c r="D42" s="559"/>
      <c r="E42" s="559"/>
      <c r="F42" s="559"/>
      <c r="G42" s="499">
        <v>0</v>
      </c>
      <c r="H42" s="499">
        <v>1977301.41</v>
      </c>
      <c r="I42" s="499">
        <v>1962698.7999999998</v>
      </c>
      <c r="J42" s="148"/>
      <c r="K42" s="148"/>
      <c r="L42" s="148"/>
      <c r="M42" s="148"/>
      <c r="N42" s="148"/>
      <c r="O42" s="148"/>
      <c r="P42" s="148"/>
      <c r="Q42" s="148"/>
      <c r="R42" s="148"/>
      <c r="S42" s="227">
        <f t="shared" si="7"/>
        <v>3940000.21</v>
      </c>
      <c r="T42" s="436">
        <f t="shared" si="6"/>
        <v>5.6013650980949674E-2</v>
      </c>
      <c r="U42" s="472"/>
      <c r="V42" s="275"/>
    </row>
    <row r="43" spans="1:24">
      <c r="A43" s="135">
        <v>423</v>
      </c>
      <c r="B43" s="558" t="str">
        <f>+VLOOKUP($A43,Master!$D$30:$G$226,4,FALSE)</f>
        <v>Prava iz oblasti penzijskog i invalidskog osiguranja</v>
      </c>
      <c r="C43" s="559"/>
      <c r="D43" s="559"/>
      <c r="E43" s="559"/>
      <c r="F43" s="559"/>
      <c r="G43" s="499">
        <v>49992941.520000003</v>
      </c>
      <c r="H43" s="499">
        <v>60436732.720000006</v>
      </c>
      <c r="I43" s="499">
        <v>61009059.659999996</v>
      </c>
      <c r="J43" s="148"/>
      <c r="K43" s="148"/>
      <c r="L43" s="148"/>
      <c r="M43" s="486"/>
      <c r="N43" s="148"/>
      <c r="O43" s="148"/>
      <c r="P43" s="148"/>
      <c r="Q43" s="148"/>
      <c r="R43" s="148"/>
      <c r="S43" s="227">
        <f t="shared" si="7"/>
        <v>171438733.90000001</v>
      </c>
      <c r="T43" s="436">
        <f t="shared" si="6"/>
        <v>2.4372865211828265</v>
      </c>
      <c r="U43" s="472"/>
    </row>
    <row r="44" spans="1:24">
      <c r="A44" s="135">
        <v>424</v>
      </c>
      <c r="B44" s="558" t="str">
        <f>+VLOOKUP($A44,Master!$D$30:$G$226,4,FALSE)</f>
        <v>Ostala prava iz oblasti zdravstvene zaštite</v>
      </c>
      <c r="C44" s="559"/>
      <c r="D44" s="559"/>
      <c r="E44" s="559"/>
      <c r="F44" s="559"/>
      <c r="G44" s="499">
        <v>949033.99999999988</v>
      </c>
      <c r="H44" s="499">
        <v>923268.97999999986</v>
      </c>
      <c r="I44" s="499">
        <v>1261874.7299999995</v>
      </c>
      <c r="J44" s="148"/>
      <c r="K44" s="148"/>
      <c r="L44" s="148"/>
      <c r="M44" s="148"/>
      <c r="N44" s="148"/>
      <c r="O44" s="148"/>
      <c r="P44" s="148"/>
      <c r="Q44" s="148"/>
      <c r="R44" s="148"/>
      <c r="S44" s="227">
        <f t="shared" si="7"/>
        <v>3134177.709999999</v>
      </c>
      <c r="T44" s="436">
        <f t="shared" si="6"/>
        <v>4.4557544924651679E-2</v>
      </c>
      <c r="U44" s="472"/>
    </row>
    <row r="45" spans="1:24" s="334" customFormat="1">
      <c r="A45" s="333">
        <v>425</v>
      </c>
      <c r="B45" s="649" t="str">
        <f>+VLOOKUP($A45,Master!$D$30:$G$226,4,FALSE)</f>
        <v>Ostala prava iz zdravstvenog osiguranja</v>
      </c>
      <c r="C45" s="650"/>
      <c r="D45" s="650"/>
      <c r="E45" s="650"/>
      <c r="F45" s="650"/>
      <c r="G45" s="499">
        <v>34748.049999999996</v>
      </c>
      <c r="H45" s="499">
        <v>1222905.48</v>
      </c>
      <c r="I45" s="499">
        <v>2373259.1799999997</v>
      </c>
      <c r="J45" s="148"/>
      <c r="K45" s="148"/>
      <c r="L45" s="148"/>
      <c r="M45" s="148"/>
      <c r="N45" s="148"/>
      <c r="O45" s="148"/>
      <c r="P45" s="148"/>
      <c r="Q45" s="148"/>
      <c r="R45" s="148"/>
      <c r="S45" s="227">
        <f t="shared" si="7"/>
        <v>3630912.71</v>
      </c>
      <c r="T45" s="436">
        <f t="shared" si="6"/>
        <v>5.161945848734717E-2</v>
      </c>
      <c r="U45" s="472"/>
    </row>
    <row r="46" spans="1:24">
      <c r="A46" s="135">
        <v>43</v>
      </c>
      <c r="B46" s="572" t="str">
        <f>+VLOOKUP($A46,Master!$D$30:$G$226,4,FALSE)</f>
        <v xml:space="preserve">Transferi institucijama, pojedincima, nevladinom i javnom sektoru </v>
      </c>
      <c r="C46" s="573"/>
      <c r="D46" s="573"/>
      <c r="E46" s="573"/>
      <c r="F46" s="573"/>
      <c r="G46" s="160">
        <v>2958225.7800000003</v>
      </c>
      <c r="H46" s="160">
        <v>35873257.970000006</v>
      </c>
      <c r="I46" s="160">
        <v>38920245.800000004</v>
      </c>
      <c r="J46" s="160"/>
      <c r="K46" s="160"/>
      <c r="L46" s="160"/>
      <c r="M46" s="160"/>
      <c r="N46" s="160"/>
      <c r="O46" s="160"/>
      <c r="P46" s="160"/>
      <c r="Q46" s="160"/>
      <c r="R46" s="160"/>
      <c r="S46" s="521">
        <f t="shared" si="7"/>
        <v>77751729.550000012</v>
      </c>
      <c r="T46" s="522">
        <f t="shared" si="6"/>
        <v>1.1053700533124824</v>
      </c>
      <c r="U46" s="472"/>
    </row>
    <row r="47" spans="1:24">
      <c r="A47" s="135">
        <v>44</v>
      </c>
      <c r="B47" s="572" t="str">
        <f>+VLOOKUP($A47,Master!$D$30:$G$226,4,FALSE)</f>
        <v>Kapitalni izdaci</v>
      </c>
      <c r="C47" s="573"/>
      <c r="D47" s="573"/>
      <c r="E47" s="573"/>
      <c r="F47" s="573"/>
      <c r="G47" s="160">
        <v>3531423.4500000007</v>
      </c>
      <c r="H47" s="160">
        <v>9832570.8200000003</v>
      </c>
      <c r="I47" s="160">
        <v>15207243.570000002</v>
      </c>
      <c r="J47" s="160"/>
      <c r="K47" s="160"/>
      <c r="L47" s="160"/>
      <c r="M47" s="160"/>
      <c r="N47" s="160"/>
      <c r="O47" s="160"/>
      <c r="P47" s="160"/>
      <c r="Q47" s="160"/>
      <c r="R47" s="160"/>
      <c r="S47" s="521">
        <f t="shared" si="7"/>
        <v>28571237.840000004</v>
      </c>
      <c r="T47" s="522">
        <f t="shared" si="6"/>
        <v>0.40618762922945695</v>
      </c>
      <c r="U47" s="472"/>
      <c r="V47" s="275"/>
      <c r="W47" s="292"/>
      <c r="X47" s="292"/>
    </row>
    <row r="48" spans="1:24">
      <c r="A48" s="135">
        <v>451</v>
      </c>
      <c r="B48" s="651" t="str">
        <f>+VLOOKUP($A48,Master!$D$30:$G$226,4,FALSE)</f>
        <v>Pozajmice i krediti</v>
      </c>
      <c r="C48" s="652"/>
      <c r="D48" s="652"/>
      <c r="E48" s="652"/>
      <c r="F48" s="652"/>
      <c r="G48" s="499">
        <v>0</v>
      </c>
      <c r="H48" s="499">
        <v>0</v>
      </c>
      <c r="I48" s="499">
        <v>0</v>
      </c>
      <c r="J48" s="148"/>
      <c r="K48" s="148"/>
      <c r="L48" s="148"/>
      <c r="M48" s="148"/>
      <c r="N48" s="148"/>
      <c r="O48" s="148"/>
      <c r="P48" s="148"/>
      <c r="Q48" s="148"/>
      <c r="R48" s="148"/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43" t="str">
        <f>+VLOOKUP($A49,Master!$D$30:$G$226,4,FALSE)</f>
        <v>Rezerve</v>
      </c>
      <c r="C49" s="644"/>
      <c r="D49" s="644"/>
      <c r="E49" s="644"/>
      <c r="F49" s="644"/>
      <c r="G49" s="499">
        <v>0</v>
      </c>
      <c r="H49" s="499">
        <v>0</v>
      </c>
      <c r="I49" s="499">
        <v>754804.72</v>
      </c>
      <c r="J49" s="148"/>
      <c r="K49" s="148"/>
      <c r="L49" s="148"/>
      <c r="M49" s="148"/>
      <c r="N49" s="148"/>
      <c r="O49" s="148"/>
      <c r="P49" s="148"/>
      <c r="Q49" s="148"/>
      <c r="R49" s="148"/>
      <c r="S49" s="227">
        <f t="shared" si="7"/>
        <v>754804.72</v>
      </c>
      <c r="T49" s="436">
        <f t="shared" si="6"/>
        <v>1.0730803525732158E-2</v>
      </c>
      <c r="U49" s="472"/>
    </row>
    <row r="50" spans="1:21" ht="13.5" thickBot="1">
      <c r="A50" s="135">
        <v>462</v>
      </c>
      <c r="B50" s="578" t="str">
        <f>+VLOOKUP($A50,Master!$D$30:$G$226,4,FALSE)</f>
        <v>Otplata garancija</v>
      </c>
      <c r="C50" s="579"/>
      <c r="D50" s="579"/>
      <c r="E50" s="579"/>
      <c r="F50" s="579"/>
      <c r="G50" s="499">
        <v>0</v>
      </c>
      <c r="H50" s="499">
        <v>2301161.16</v>
      </c>
      <c r="I50" s="499">
        <v>0</v>
      </c>
      <c r="J50" s="148"/>
      <c r="K50" s="148"/>
      <c r="L50" s="148"/>
      <c r="M50" s="148"/>
      <c r="N50" s="148"/>
      <c r="O50" s="148"/>
      <c r="P50" s="148"/>
      <c r="Q50" s="148"/>
      <c r="R50" s="148"/>
      <c r="S50" s="227">
        <f t="shared" si="7"/>
        <v>2301161.16</v>
      </c>
      <c r="T50" s="436">
        <f t="shared" si="6"/>
        <v>3.2714830253056583E-2</v>
      </c>
      <c r="U50" s="472"/>
    </row>
    <row r="51" spans="1:21" ht="13.5" thickBot="1">
      <c r="A51" s="129">
        <v>4630</v>
      </c>
      <c r="B51" s="645" t="str">
        <f>+VLOOKUP($A51,Master!$D$30:$G$226,4,TRUE)</f>
        <v>Otplata obaveza iz prethodnog perioda</v>
      </c>
      <c r="C51" s="646"/>
      <c r="D51" s="646"/>
      <c r="E51" s="646"/>
      <c r="F51" s="646"/>
      <c r="G51" s="430">
        <v>1627323.71</v>
      </c>
      <c r="H51" s="430">
        <v>2293095.31</v>
      </c>
      <c r="I51" s="430">
        <v>2714121.0399999996</v>
      </c>
      <c r="J51" s="430"/>
      <c r="K51" s="430"/>
      <c r="L51" s="430"/>
      <c r="M51" s="430"/>
      <c r="N51" s="430"/>
      <c r="O51" s="430"/>
      <c r="P51" s="430"/>
      <c r="Q51" s="430"/>
      <c r="R51" s="430"/>
      <c r="S51" s="398">
        <f>+SUM(G51:R51)</f>
        <v>6634540.0599999996</v>
      </c>
      <c r="T51" s="440">
        <f t="shared" si="6"/>
        <v>9.4321013079328969E-2</v>
      </c>
      <c r="U51" s="472"/>
    </row>
    <row r="52" spans="1:21" ht="13.5" thickBot="1">
      <c r="A52" s="61">
        <v>1005</v>
      </c>
      <c r="B52" s="647" t="str">
        <f>+VLOOKUP($A52,Master!$D$30:$G$228,4,FALSE)</f>
        <v>Neto povećanje obaveza</v>
      </c>
      <c r="C52" s="648"/>
      <c r="D52" s="648"/>
      <c r="E52" s="648"/>
      <c r="F52" s="648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80" t="str">
        <f>+VLOOKUP($A53,Master!$D$30:$G$226,4,FALSE)</f>
        <v>Suficit / deficit</v>
      </c>
      <c r="C53" s="581"/>
      <c r="D53" s="581"/>
      <c r="E53" s="581"/>
      <c r="F53" s="581"/>
      <c r="G53" s="136">
        <f t="shared" ref="G53" si="18">+G10-G29</f>
        <v>15902053.299999982</v>
      </c>
      <c r="H53" s="136">
        <f t="shared" ref="H53:L53" si="19">+H10-H29</f>
        <v>-34224300.579999954</v>
      </c>
      <c r="I53" s="136">
        <f t="shared" si="19"/>
        <v>13394589.060000032</v>
      </c>
      <c r="J53" s="136">
        <f t="shared" si="19"/>
        <v>0</v>
      </c>
      <c r="K53" s="136">
        <f t="shared" si="19"/>
        <v>0</v>
      </c>
      <c r="L53" s="136">
        <f t="shared" si="19"/>
        <v>0</v>
      </c>
      <c r="M53" s="136">
        <f t="shared" ref="M53:R53" si="20">+M10-M29</f>
        <v>0</v>
      </c>
      <c r="N53" s="136">
        <f t="shared" si="20"/>
        <v>0</v>
      </c>
      <c r="O53" s="136">
        <f t="shared" si="20"/>
        <v>0</v>
      </c>
      <c r="P53" s="136">
        <f t="shared" si="20"/>
        <v>0</v>
      </c>
      <c r="Q53" s="136">
        <f t="shared" si="20"/>
        <v>0</v>
      </c>
      <c r="R53" s="136">
        <f t="shared" si="20"/>
        <v>0</v>
      </c>
      <c r="S53" s="530">
        <f>SUM(G53:R53)</f>
        <v>-4927658.2199999392</v>
      </c>
      <c r="T53" s="531">
        <f t="shared" si="6"/>
        <v>-7.0054851009382135E-2</v>
      </c>
    </row>
    <row r="54" spans="1:21" ht="13.5" thickBot="1">
      <c r="A54" s="129">
        <v>1001</v>
      </c>
      <c r="B54" s="582" t="str">
        <f>+VLOOKUP($A54,Master!$D$30:$G$226,4,FALSE)</f>
        <v>Primarni suficit/deficit</v>
      </c>
      <c r="C54" s="583"/>
      <c r="D54" s="583"/>
      <c r="E54" s="583"/>
      <c r="F54" s="583"/>
      <c r="G54" s="190">
        <f t="shared" ref="G54" si="21">+G53+G36</f>
        <v>19931382.769999981</v>
      </c>
      <c r="H54" s="190">
        <f t="shared" ref="H54:L54" si="22">+H53+H36</f>
        <v>-30095108.619999953</v>
      </c>
      <c r="I54" s="190">
        <f t="shared" si="22"/>
        <v>20582437.75000003</v>
      </c>
      <c r="J54" s="190">
        <f t="shared" si="22"/>
        <v>0</v>
      </c>
      <c r="K54" s="190">
        <f t="shared" si="22"/>
        <v>0</v>
      </c>
      <c r="L54" s="190">
        <f t="shared" si="22"/>
        <v>0</v>
      </c>
      <c r="M54" s="190">
        <f t="shared" ref="M54:R54" si="23">+M53+M36</f>
        <v>0</v>
      </c>
      <c r="N54" s="190">
        <f t="shared" si="23"/>
        <v>0</v>
      </c>
      <c r="O54" s="190">
        <f t="shared" si="23"/>
        <v>0</v>
      </c>
      <c r="P54" s="190">
        <f t="shared" si="23"/>
        <v>0</v>
      </c>
      <c r="Q54" s="190">
        <f t="shared" si="23"/>
        <v>0</v>
      </c>
      <c r="R54" s="190">
        <f t="shared" si="23"/>
        <v>0</v>
      </c>
      <c r="S54" s="530">
        <f t="shared" si="7"/>
        <v>10418711.900000058</v>
      </c>
      <c r="T54" s="531">
        <f t="shared" si="6"/>
        <v>0.14811930480523255</v>
      </c>
    </row>
    <row r="55" spans="1:21">
      <c r="A55" s="129">
        <v>46</v>
      </c>
      <c r="B55" s="604" t="str">
        <f>+VLOOKUP($A55,Master!$D$30:$G$226,4,FALSE)</f>
        <v>Otplata dugova</v>
      </c>
      <c r="C55" s="605"/>
      <c r="D55" s="605"/>
      <c r="E55" s="605"/>
      <c r="F55" s="605"/>
      <c r="G55" s="178">
        <f t="shared" ref="G55" si="24">+SUM(G56:G57)</f>
        <v>34807942.190000005</v>
      </c>
      <c r="H55" s="178">
        <f t="shared" ref="H55:L55" si="25">+SUM(H56:H57)</f>
        <v>6742029.2100000009</v>
      </c>
      <c r="I55" s="178">
        <f t="shared" si="25"/>
        <v>59757330.13000001</v>
      </c>
      <c r="J55" s="160">
        <f t="shared" si="25"/>
        <v>0</v>
      </c>
      <c r="K55" s="178">
        <f t="shared" si="25"/>
        <v>0</v>
      </c>
      <c r="L55" s="178">
        <f t="shared" si="25"/>
        <v>0</v>
      </c>
      <c r="M55" s="178">
        <f t="shared" ref="M55:R55" si="26">+SUM(M56:M57)</f>
        <v>0</v>
      </c>
      <c r="N55" s="178">
        <f t="shared" si="26"/>
        <v>0</v>
      </c>
      <c r="O55" s="178">
        <f t="shared" si="26"/>
        <v>0</v>
      </c>
      <c r="P55" s="178">
        <f t="shared" si="26"/>
        <v>0</v>
      </c>
      <c r="Q55" s="178">
        <f t="shared" si="26"/>
        <v>0</v>
      </c>
      <c r="R55" s="178">
        <f t="shared" si="26"/>
        <v>0</v>
      </c>
      <c r="S55" s="532">
        <f t="shared" si="7"/>
        <v>101307301.53000002</v>
      </c>
      <c r="T55" s="533">
        <f t="shared" si="6"/>
        <v>1.4402516566676147</v>
      </c>
    </row>
    <row r="56" spans="1:21">
      <c r="A56" s="129">
        <v>4611</v>
      </c>
      <c r="B56" s="600" t="str">
        <f>+VLOOKUP($A56,Master!$D$30:$G$226,4,FALSE)</f>
        <v>Otplata hartija od vrijednosti i kredita rezidentima</v>
      </c>
      <c r="C56" s="601"/>
      <c r="D56" s="601"/>
      <c r="E56" s="601"/>
      <c r="F56" s="601"/>
      <c r="G56" s="196">
        <v>2494755.4499999997</v>
      </c>
      <c r="H56" s="196">
        <v>2954245.6799999997</v>
      </c>
      <c r="I56" s="196">
        <v>23477657.120000005</v>
      </c>
      <c r="J56" s="196"/>
      <c r="K56" s="196"/>
      <c r="L56" s="196"/>
      <c r="M56" s="196"/>
      <c r="N56" s="196"/>
      <c r="O56" s="196"/>
      <c r="P56" s="196"/>
      <c r="Q56" s="196"/>
      <c r="R56" s="196"/>
      <c r="S56" s="235">
        <f t="shared" si="7"/>
        <v>28926658.250000004</v>
      </c>
      <c r="T56" s="444">
        <f t="shared" si="6"/>
        <v>0.41124052104065972</v>
      </c>
    </row>
    <row r="57" spans="1:21" ht="13.5" thickBot="1">
      <c r="A57" s="129">
        <v>4612</v>
      </c>
      <c r="B57" s="576" t="str">
        <f>+VLOOKUP($A57,Master!$D$30:$G$226,4,FALSE)</f>
        <v>Otplata hartija od vrijednosti i kredita nerezidentima</v>
      </c>
      <c r="C57" s="577"/>
      <c r="D57" s="577"/>
      <c r="E57" s="577"/>
      <c r="F57" s="577"/>
      <c r="G57" s="196">
        <v>32313186.740000002</v>
      </c>
      <c r="H57" s="196">
        <v>3787783.5300000007</v>
      </c>
      <c r="I57" s="196">
        <v>36279673.010000005</v>
      </c>
      <c r="J57" s="196"/>
      <c r="K57" s="196"/>
      <c r="L57" s="196"/>
      <c r="M57" s="196"/>
      <c r="N57" s="196"/>
      <c r="O57" s="196"/>
      <c r="P57" s="196"/>
      <c r="Q57" s="196"/>
      <c r="R57" s="196"/>
      <c r="S57" s="235">
        <f t="shared" si="7"/>
        <v>72380643.280000001</v>
      </c>
      <c r="T57" s="444">
        <f t="shared" si="6"/>
        <v>1.0290111356269549</v>
      </c>
    </row>
    <row r="58" spans="1:21" ht="13.5" thickBot="1">
      <c r="A58" s="129">
        <v>4418</v>
      </c>
      <c r="B58" s="568" t="str">
        <f>+VLOOKUP($A58,Master!$D$30:$G$226,4,FALSE)</f>
        <v>Izdaci za kupovinu hartija od vrijednosti</v>
      </c>
      <c r="C58" s="569"/>
      <c r="D58" s="569"/>
      <c r="E58" s="569"/>
      <c r="F58" s="569"/>
      <c r="G58" s="432">
        <v>0</v>
      </c>
      <c r="H58" s="432">
        <v>0</v>
      </c>
      <c r="I58" s="432">
        <v>1410390.76</v>
      </c>
      <c r="J58" s="432"/>
      <c r="K58" s="432"/>
      <c r="L58" s="432"/>
      <c r="M58" s="432"/>
      <c r="N58" s="432"/>
      <c r="O58" s="432"/>
      <c r="P58" s="432"/>
      <c r="Q58" s="432"/>
      <c r="R58" s="432"/>
      <c r="S58" s="532">
        <f>SUM(G58:R58)</f>
        <v>1410390.76</v>
      </c>
      <c r="T58" s="534">
        <f t="shared" si="6"/>
        <v>2.0051048620983794E-2</v>
      </c>
    </row>
    <row r="59" spans="1:21" ht="13.5" thickBot="1">
      <c r="A59" s="135">
        <v>451</v>
      </c>
      <c r="B59" s="568" t="str">
        <f>+VLOOKUP($A59,Master!$D$30:$G$226,4,FALSE)</f>
        <v>Pozajmice i krediti</v>
      </c>
      <c r="C59" s="569"/>
      <c r="D59" s="569"/>
      <c r="E59" s="569"/>
      <c r="F59" s="569"/>
      <c r="G59" s="432">
        <v>714721.61</v>
      </c>
      <c r="H59" s="432">
        <v>511310</v>
      </c>
      <c r="I59" s="432">
        <v>913671.44</v>
      </c>
      <c r="J59" s="432"/>
      <c r="K59" s="432"/>
      <c r="L59" s="432"/>
      <c r="M59" s="432"/>
      <c r="N59" s="432"/>
      <c r="O59" s="432"/>
      <c r="P59" s="432"/>
      <c r="Q59" s="432"/>
      <c r="R59" s="432"/>
      <c r="S59" s="532">
        <f>SUM(G59:R59)</f>
        <v>2139703.0499999998</v>
      </c>
      <c r="T59" s="534">
        <f t="shared" si="6"/>
        <v>3.0419434887688369E-2</v>
      </c>
    </row>
    <row r="60" spans="1:21" ht="13.5" thickBot="1">
      <c r="A60" s="129">
        <v>1002</v>
      </c>
      <c r="B60" s="602" t="str">
        <f>+VLOOKUP($A60,Master!$D$30:$G$226,4,FALSE)</f>
        <v>Nedostajuća sredstva</v>
      </c>
      <c r="C60" s="603"/>
      <c r="D60" s="603"/>
      <c r="E60" s="603"/>
      <c r="F60" s="603"/>
      <c r="G60" s="202">
        <f>+G53-G55-G58-G59</f>
        <v>-19620610.500000022</v>
      </c>
      <c r="H60" s="202">
        <f t="shared" ref="H60:L60" si="27">+H53-H55-H58-H59</f>
        <v>-41477639.789999954</v>
      </c>
      <c r="I60" s="202">
        <f t="shared" si="27"/>
        <v>-48686803.269999973</v>
      </c>
      <c r="J60" s="202">
        <f t="shared" si="27"/>
        <v>0</v>
      </c>
      <c r="K60" s="202">
        <f t="shared" si="27"/>
        <v>0</v>
      </c>
      <c r="L60" s="202">
        <f t="shared" si="27"/>
        <v>0</v>
      </c>
      <c r="M60" s="202">
        <f t="shared" ref="M60" si="28">+M53-M55-M58-M59</f>
        <v>0</v>
      </c>
      <c r="N60" s="202">
        <f t="shared" ref="N60" si="29">+N53-N55-N58-N59</f>
        <v>0</v>
      </c>
      <c r="O60" s="202">
        <f t="shared" ref="O60" si="30">+O53-O55-O58-O59</f>
        <v>0</v>
      </c>
      <c r="P60" s="202">
        <f t="shared" ref="P60" si="31">+P53-P55-P58-P59</f>
        <v>0</v>
      </c>
      <c r="Q60" s="202">
        <f t="shared" ref="Q60" si="32">+Q53-Q55-Q58-Q59</f>
        <v>0</v>
      </c>
      <c r="R60" s="202">
        <f t="shared" ref="R60:S60" si="33">+R53-R55-R58-R59</f>
        <v>0</v>
      </c>
      <c r="S60" s="532">
        <f t="shared" si="33"/>
        <v>-109785053.55999996</v>
      </c>
      <c r="T60" s="535">
        <f t="shared" si="6"/>
        <v>-1.560776991185669</v>
      </c>
    </row>
    <row r="61" spans="1:21" ht="13.5" thickBot="1">
      <c r="A61" s="129">
        <v>1003</v>
      </c>
      <c r="B61" s="566" t="str">
        <f>+VLOOKUP($A61,Master!$D$30:$G$226,4,FALSE)</f>
        <v>Finansiranje</v>
      </c>
      <c r="C61" s="567"/>
      <c r="D61" s="567"/>
      <c r="E61" s="567"/>
      <c r="F61" s="567"/>
      <c r="G61" s="136">
        <f>+SUM(G62:G66)</f>
        <v>19620610.500000022</v>
      </c>
      <c r="H61" s="136">
        <f t="shared" ref="H61:L61" si="34">+SUM(H62:H66)</f>
        <v>41477639.789999954</v>
      </c>
      <c r="I61" s="136">
        <f t="shared" si="34"/>
        <v>48686803.269999981</v>
      </c>
      <c r="J61" s="136">
        <f t="shared" si="34"/>
        <v>0</v>
      </c>
      <c r="K61" s="136">
        <f t="shared" si="34"/>
        <v>0</v>
      </c>
      <c r="L61" s="136">
        <f t="shared" si="34"/>
        <v>0</v>
      </c>
      <c r="M61" s="136">
        <f t="shared" ref="M61:R61" si="35">+SUM(M62:M66)</f>
        <v>0</v>
      </c>
      <c r="N61" s="136">
        <f t="shared" si="35"/>
        <v>0</v>
      </c>
      <c r="O61" s="136">
        <f t="shared" si="35"/>
        <v>0</v>
      </c>
      <c r="P61" s="136">
        <f t="shared" si="35"/>
        <v>0</v>
      </c>
      <c r="Q61" s="136">
        <f t="shared" si="35"/>
        <v>0</v>
      </c>
      <c r="R61" s="136">
        <f t="shared" si="35"/>
        <v>0</v>
      </c>
      <c r="S61" s="536">
        <f t="shared" si="7"/>
        <v>109785053.55999996</v>
      </c>
      <c r="T61" s="537">
        <f t="shared" si="6"/>
        <v>1.560776991185669</v>
      </c>
    </row>
    <row r="62" spans="1:21">
      <c r="A62" s="129">
        <v>7511</v>
      </c>
      <c r="B62" s="600" t="str">
        <f>+VLOOKUP($A62,Master!$D$30:$G$226,4,FALSE)</f>
        <v>Pozajmice i krediti od domaćih izvora</v>
      </c>
      <c r="C62" s="601"/>
      <c r="D62" s="601"/>
      <c r="E62" s="601"/>
      <c r="F62" s="601"/>
      <c r="G62" s="196">
        <v>0</v>
      </c>
      <c r="H62" s="196">
        <v>0</v>
      </c>
      <c r="I62" s="196">
        <v>0</v>
      </c>
      <c r="J62" s="196"/>
      <c r="K62" s="196"/>
      <c r="L62" s="196"/>
      <c r="M62" s="196"/>
      <c r="N62" s="196"/>
      <c r="O62" s="196"/>
      <c r="P62" s="196"/>
      <c r="Q62" s="196"/>
      <c r="R62" s="196"/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76" t="str">
        <f>+VLOOKUP($A63,Master!$D$30:$G$226,4,FALSE)</f>
        <v>Pozajmice i krediti od inostranih izvora</v>
      </c>
      <c r="C63" s="577"/>
      <c r="D63" s="577"/>
      <c r="E63" s="577"/>
      <c r="F63" s="577"/>
      <c r="G63" s="196">
        <v>1632246.65</v>
      </c>
      <c r="H63" s="196">
        <v>1941356.99</v>
      </c>
      <c r="I63" s="196">
        <v>691926160.88999999</v>
      </c>
      <c r="J63" s="196"/>
      <c r="K63" s="196"/>
      <c r="L63" s="196"/>
      <c r="M63" s="196"/>
      <c r="N63" s="196"/>
      <c r="O63" s="196"/>
      <c r="P63" s="196"/>
      <c r="Q63" s="196"/>
      <c r="R63" s="196"/>
      <c r="S63" s="235">
        <f t="shared" si="7"/>
        <v>695499764.52999997</v>
      </c>
      <c r="T63" s="444">
        <f t="shared" si="6"/>
        <v>9.8876850231731588</v>
      </c>
    </row>
    <row r="64" spans="1:21">
      <c r="A64" s="129">
        <v>72</v>
      </c>
      <c r="B64" s="576" t="str">
        <f>+VLOOKUP($A64,Master!$D$30:$G$226,4,FALSE)</f>
        <v>Primici od prodaje imovine</v>
      </c>
      <c r="C64" s="577"/>
      <c r="D64" s="577"/>
      <c r="E64" s="577"/>
      <c r="F64" s="577"/>
      <c r="G64" s="196">
        <v>29140.719999999998</v>
      </c>
      <c r="H64" s="196">
        <v>223106.54</v>
      </c>
      <c r="I64" s="196">
        <v>24726.440000000002</v>
      </c>
      <c r="J64" s="196"/>
      <c r="K64" s="196"/>
      <c r="L64" s="196"/>
      <c r="M64" s="196"/>
      <c r="N64" s="196"/>
      <c r="O64" s="196"/>
      <c r="P64" s="196"/>
      <c r="Q64" s="196"/>
      <c r="R64" s="196"/>
      <c r="S64" s="235">
        <f t="shared" si="7"/>
        <v>276973.7</v>
      </c>
      <c r="T64" s="444">
        <f t="shared" si="6"/>
        <v>3.9376414557861818E-3</v>
      </c>
    </row>
    <row r="65" spans="1:20">
      <c r="A65" s="129">
        <v>73</v>
      </c>
      <c r="B65" s="576" t="s">
        <v>101</v>
      </c>
      <c r="C65" s="577"/>
      <c r="D65" s="577"/>
      <c r="E65" s="577"/>
      <c r="F65" s="577"/>
      <c r="G65" s="196">
        <v>284803.10000000003</v>
      </c>
      <c r="H65" s="196">
        <v>1296535.4000000001</v>
      </c>
      <c r="I65" s="196">
        <v>960869.5</v>
      </c>
      <c r="J65" s="196"/>
      <c r="K65" s="196"/>
      <c r="L65" s="196"/>
      <c r="M65" s="196"/>
      <c r="N65" s="196"/>
      <c r="O65" s="196"/>
      <c r="P65" s="196"/>
      <c r="Q65" s="196"/>
      <c r="R65" s="196"/>
      <c r="S65" s="235">
        <f t="shared" si="7"/>
        <v>2542208</v>
      </c>
      <c r="T65" s="444">
        <f t="shared" si="6"/>
        <v>3.6141711686096104E-2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17674420.030000024</v>
      </c>
      <c r="H66" s="210">
        <f t="shared" ref="H66:L66" si="36">-H60-SUM(H62:H65)</f>
        <v>38016640.859999955</v>
      </c>
      <c r="I66" s="210">
        <f t="shared" si="36"/>
        <v>-644224953.56000006</v>
      </c>
      <c r="J66" s="210">
        <f t="shared" si="36"/>
        <v>0</v>
      </c>
      <c r="K66" s="210">
        <f t="shared" si="36"/>
        <v>0</v>
      </c>
      <c r="L66" s="210">
        <f t="shared" si="36"/>
        <v>0</v>
      </c>
      <c r="M66" s="210">
        <f t="shared" ref="M66:S66" si="37">-M60-SUM(M62:M65)</f>
        <v>0</v>
      </c>
      <c r="N66" s="210">
        <f t="shared" si="37"/>
        <v>0</v>
      </c>
      <c r="O66" s="210">
        <f t="shared" si="37"/>
        <v>0</v>
      </c>
      <c r="P66" s="210">
        <f t="shared" si="37"/>
        <v>0</v>
      </c>
      <c r="Q66" s="210">
        <f t="shared" si="37"/>
        <v>0</v>
      </c>
      <c r="R66" s="210">
        <f t="shared" si="37"/>
        <v>0</v>
      </c>
      <c r="S66" s="238">
        <f t="shared" si="37"/>
        <v>-588533892.67000008</v>
      </c>
      <c r="T66" s="448">
        <f t="shared" si="6"/>
        <v>-8.3669873851293719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32" t="str">
        <f>+Master!G253</f>
        <v>Plan ostvarenja budžeta</v>
      </c>
      <c r="C83" s="633"/>
      <c r="D83" s="633"/>
      <c r="E83" s="633"/>
      <c r="F83" s="633"/>
      <c r="G83" s="640">
        <v>2024</v>
      </c>
      <c r="H83" s="641"/>
      <c r="I83" s="641"/>
      <c r="J83" s="641"/>
      <c r="K83" s="641"/>
      <c r="L83" s="641"/>
      <c r="M83" s="641"/>
      <c r="N83" s="641"/>
      <c r="O83" s="641"/>
      <c r="P83" s="641"/>
      <c r="Q83" s="641"/>
      <c r="R83" s="642"/>
      <c r="S83" s="96" t="str">
        <f>+S7</f>
        <v>BDP</v>
      </c>
      <c r="T83" s="97">
        <v>7034000000</v>
      </c>
    </row>
    <row r="84" spans="1:26" ht="15.75" customHeight="1">
      <c r="B84" s="634"/>
      <c r="C84" s="635"/>
      <c r="D84" s="635"/>
      <c r="E84" s="635"/>
      <c r="F84" s="636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</v>
      </c>
      <c r="N84" s="62" t="str">
        <f t="shared" si="41"/>
        <v>Avgust</v>
      </c>
      <c r="O84" s="62" t="str">
        <f t="shared" si="41"/>
        <v>Septembar</v>
      </c>
      <c r="P84" s="62" t="str">
        <f t="shared" si="41"/>
        <v>Oktobar</v>
      </c>
      <c r="Q84" s="62" t="str">
        <f t="shared" si="41"/>
        <v>Novembar</v>
      </c>
      <c r="R84" s="62" t="str">
        <f t="shared" si="41"/>
        <v>Decembar</v>
      </c>
      <c r="S84" s="640" t="str">
        <f>+Master!G247</f>
        <v>Jan - Dec</v>
      </c>
      <c r="T84" s="642">
        <f>+T8</f>
        <v>0</v>
      </c>
    </row>
    <row r="85" spans="1:26" ht="13.5" thickBot="1">
      <c r="B85" s="637"/>
      <c r="C85" s="638"/>
      <c r="D85" s="638"/>
      <c r="E85" s="638"/>
      <c r="F85" s="639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42">+CONCATENATE(A10,"p")</f>
        <v>7p</v>
      </c>
      <c r="B86" s="606" t="str">
        <f>+VLOOKUP(LEFT($A86,LEN(A86)-1)*1,Master!$D$30:$G$226,4,FALSE)</f>
        <v>Prihodi budžeta</v>
      </c>
      <c r="C86" s="607"/>
      <c r="D86" s="607"/>
      <c r="E86" s="607"/>
      <c r="F86" s="607"/>
      <c r="G86" s="504">
        <f t="shared" ref="G86:L86" si="43">+G87+G95+SUM(G100:G104)</f>
        <v>148772496.12504369</v>
      </c>
      <c r="H86" s="504">
        <f t="shared" si="43"/>
        <v>158113558.17313686</v>
      </c>
      <c r="I86" s="504">
        <f t="shared" si="43"/>
        <v>226012505.71659711</v>
      </c>
      <c r="J86" s="504">
        <f t="shared" si="43"/>
        <v>276575922.35471165</v>
      </c>
      <c r="K86" s="504">
        <f t="shared" si="43"/>
        <v>202370960.75834674</v>
      </c>
      <c r="L86" s="504">
        <f t="shared" si="43"/>
        <v>221931557.19007117</v>
      </c>
      <c r="M86" s="504">
        <f t="shared" ref="M86:Q86" si="44">+M87+M95+SUM(M100:M104)</f>
        <v>239840109.13525739</v>
      </c>
      <c r="N86" s="504">
        <f t="shared" si="44"/>
        <v>272049279.02293092</v>
      </c>
      <c r="O86" s="504">
        <f t="shared" si="44"/>
        <v>250826710.01184744</v>
      </c>
      <c r="P86" s="504">
        <f t="shared" si="44"/>
        <v>243206119.80349156</v>
      </c>
      <c r="Q86" s="504">
        <f t="shared" si="44"/>
        <v>209400426.87586257</v>
      </c>
      <c r="R86" s="504">
        <f>+R87+R95+SUM(R100:R104)</f>
        <v>268154122.822703</v>
      </c>
      <c r="S86" s="538">
        <f>+SUM(G86:R86)</f>
        <v>2717253767.9899998</v>
      </c>
      <c r="T86" s="539">
        <f>+S86/$T$83*100</f>
        <v>38.630278191498434</v>
      </c>
      <c r="U86" s="243"/>
    </row>
    <row r="87" spans="1:26">
      <c r="A87" s="105" t="str">
        <f t="shared" si="42"/>
        <v>711p</v>
      </c>
      <c r="B87" s="630" t="str">
        <f>+VLOOKUP(LEFT($A87,LEN(A87)-1)*1,Master!$D$30:$G$226,4,FALSE)</f>
        <v>Porezi</v>
      </c>
      <c r="C87" s="631"/>
      <c r="D87" s="631"/>
      <c r="E87" s="631"/>
      <c r="F87" s="631"/>
      <c r="G87" s="540">
        <f t="shared" ref="G87:L87" si="45">+SUM(G88:G94)</f>
        <v>120138427.04115422</v>
      </c>
      <c r="H87" s="540">
        <f t="shared" si="45"/>
        <v>104149284.03317438</v>
      </c>
      <c r="I87" s="540">
        <f t="shared" si="45"/>
        <v>169447357.55468205</v>
      </c>
      <c r="J87" s="540">
        <f t="shared" si="45"/>
        <v>211701078.28476781</v>
      </c>
      <c r="K87" s="540">
        <f t="shared" si="45"/>
        <v>141387167.73744527</v>
      </c>
      <c r="L87" s="540">
        <f t="shared" si="45"/>
        <v>151720280.57414097</v>
      </c>
      <c r="M87" s="540">
        <f t="shared" ref="M87:R87" si="46">+SUM(M88:M94)</f>
        <v>161274945.54288816</v>
      </c>
      <c r="N87" s="540">
        <f t="shared" si="46"/>
        <v>187405726.52360511</v>
      </c>
      <c r="O87" s="540">
        <f t="shared" si="46"/>
        <v>174959844.19682884</v>
      </c>
      <c r="P87" s="540">
        <f t="shared" si="46"/>
        <v>165156163.28658262</v>
      </c>
      <c r="Q87" s="540">
        <f t="shared" si="46"/>
        <v>139953378.33863863</v>
      </c>
      <c r="R87" s="541">
        <f t="shared" si="46"/>
        <v>156175298.44609201</v>
      </c>
      <c r="S87" s="542">
        <f t="shared" ref="S87:S141" si="47">+SUM(G87:R87)</f>
        <v>1883468951.5599999</v>
      </c>
      <c r="T87" s="519">
        <f t="shared" ref="T87:T142" si="48">+S87/$T$83*100</f>
        <v>26.776641335797553</v>
      </c>
      <c r="V87" s="292"/>
    </row>
    <row r="88" spans="1:26">
      <c r="A88" s="105" t="str">
        <f t="shared" si="42"/>
        <v>7111p</v>
      </c>
      <c r="B88" s="622" t="str">
        <f>+VLOOKUP(LEFT($A88,LEN(A88)-1)*1,Master!$D$30:$G$229,4,FALSE)</f>
        <v>Porez na dohodak fizičkih lica</v>
      </c>
      <c r="C88" s="623"/>
      <c r="D88" s="623"/>
      <c r="E88" s="623"/>
      <c r="F88" s="623"/>
      <c r="G88" s="77">
        <v>1801825.5334530019</v>
      </c>
      <c r="H88" s="77">
        <v>4797498.8725749766</v>
      </c>
      <c r="I88" s="77">
        <v>5058808.8901446629</v>
      </c>
      <c r="J88" s="77">
        <v>6551317.4334513247</v>
      </c>
      <c r="K88" s="77">
        <v>6354534.9348088503</v>
      </c>
      <c r="L88" s="77">
        <v>6384865.2399824038</v>
      </c>
      <c r="M88" s="77">
        <v>7316280.3532713847</v>
      </c>
      <c r="N88" s="77">
        <v>7257242.9681147542</v>
      </c>
      <c r="O88" s="77">
        <v>7168345.1062709643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80771569.449999988</v>
      </c>
      <c r="T88" s="436">
        <f t="shared" si="48"/>
        <v>1.1483020962468011</v>
      </c>
      <c r="V88" s="292"/>
    </row>
    <row r="89" spans="1:26">
      <c r="A89" s="105" t="str">
        <f t="shared" si="42"/>
        <v>7112p</v>
      </c>
      <c r="B89" s="622" t="str">
        <f>+VLOOKUP(LEFT($A89,LEN(A89)-1)*1,Master!$D$30:$G$229,4,FALSE)</f>
        <v>Porez na dobit pravnih lica</v>
      </c>
      <c r="C89" s="623"/>
      <c r="D89" s="623"/>
      <c r="E89" s="623"/>
      <c r="F89" s="623"/>
      <c r="G89" s="77">
        <v>1369765.6788657729</v>
      </c>
      <c r="H89" s="77">
        <v>4097750.9290820062</v>
      </c>
      <c r="I89" s="77">
        <v>40990734.989670277</v>
      </c>
      <c r="J89" s="77">
        <v>82072475.918768093</v>
      </c>
      <c r="K89" s="77">
        <v>7598554.4799611485</v>
      </c>
      <c r="L89" s="77">
        <v>5102445.9317580881</v>
      </c>
      <c r="M89" s="77">
        <v>4518923.1926221987</v>
      </c>
      <c r="N89" s="77">
        <v>3667425.793923636</v>
      </c>
      <c r="O89" s="77">
        <v>3031043.3402888682</v>
      </c>
      <c r="P89" s="77">
        <v>3498970.8755320241</v>
      </c>
      <c r="Q89" s="77">
        <v>3851456.9221399422</v>
      </c>
      <c r="R89" s="77">
        <v>4851508.0273879413</v>
      </c>
      <c r="S89" s="101">
        <f t="shared" si="47"/>
        <v>164651056.08000001</v>
      </c>
      <c r="T89" s="436">
        <f t="shared" si="48"/>
        <v>2.3407884003412001</v>
      </c>
      <c r="V89" s="292"/>
    </row>
    <row r="90" spans="1:26">
      <c r="A90" s="105" t="str">
        <f t="shared" si="42"/>
        <v>7113p</v>
      </c>
      <c r="B90" s="622" t="str">
        <f>+VLOOKUP(LEFT($A90,LEN(A90)-1)*1,Master!$D$30:$G$229,4,FALSE)</f>
        <v>Porez na promet nepokretnosti</v>
      </c>
      <c r="C90" s="623"/>
      <c r="D90" s="623"/>
      <c r="E90" s="623"/>
      <c r="F90" s="623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22" t="str">
        <f>+VLOOKUP(LEFT($A91,LEN(A91)-1)*1,Master!$D$30:$G$229,4,FALSE)</f>
        <v>Porez na dodatu vrijednost</v>
      </c>
      <c r="C91" s="623"/>
      <c r="D91" s="623"/>
      <c r="E91" s="623"/>
      <c r="F91" s="623"/>
      <c r="G91" s="77">
        <v>90392579.434542105</v>
      </c>
      <c r="H91" s="77">
        <v>70110183.355581105</v>
      </c>
      <c r="I91" s="77">
        <v>91649985.128395304</v>
      </c>
      <c r="J91" s="77">
        <v>91035705.503332198</v>
      </c>
      <c r="K91" s="77">
        <v>93750264.273905918</v>
      </c>
      <c r="L91" s="77">
        <v>99669954.964028701</v>
      </c>
      <c r="M91" s="77">
        <v>104980576.46239747</v>
      </c>
      <c r="N91" s="77">
        <v>126842944.99737209</v>
      </c>
      <c r="O91" s="77">
        <v>120744196.841892</v>
      </c>
      <c r="P91" s="77">
        <v>115092102.58641601</v>
      </c>
      <c r="Q91" s="77">
        <v>95782845.757082894</v>
      </c>
      <c r="R91" s="77">
        <v>99581108.985054299</v>
      </c>
      <c r="S91" s="101">
        <f t="shared" si="47"/>
        <v>1199632448.2900002</v>
      </c>
      <c r="T91" s="436">
        <f t="shared" si="48"/>
        <v>17.054768954933184</v>
      </c>
      <c r="V91" s="292"/>
    </row>
    <row r="92" spans="1:26">
      <c r="A92" s="105" t="str">
        <f t="shared" si="42"/>
        <v>7115p</v>
      </c>
      <c r="B92" s="622" t="str">
        <f>+VLOOKUP(LEFT($A92,LEN(A92)-1)*1,Master!$D$30:$G$229,4,FALSE)</f>
        <v>Akcize</v>
      </c>
      <c r="C92" s="623"/>
      <c r="D92" s="623"/>
      <c r="E92" s="623"/>
      <c r="F92" s="623"/>
      <c r="G92" s="77">
        <v>22805003.605203237</v>
      </c>
      <c r="H92" s="77">
        <v>20592857.793570951</v>
      </c>
      <c r="I92" s="77">
        <v>25607651.370289065</v>
      </c>
      <c r="J92" s="77">
        <v>26354503.905432209</v>
      </c>
      <c r="K92" s="77">
        <v>27199796.80399929</v>
      </c>
      <c r="L92" s="77">
        <v>33707423.847654335</v>
      </c>
      <c r="M92" s="77">
        <v>37914208.164682284</v>
      </c>
      <c r="N92" s="77">
        <v>42617140.779784925</v>
      </c>
      <c r="O92" s="77">
        <v>37411081.022537023</v>
      </c>
      <c r="P92" s="77">
        <v>31963707.2157037</v>
      </c>
      <c r="Q92" s="77">
        <v>27368867.618220858</v>
      </c>
      <c r="R92" s="77">
        <v>32257757.872922163</v>
      </c>
      <c r="S92" s="101">
        <f t="shared" si="47"/>
        <v>365800000.00000006</v>
      </c>
      <c r="T92" s="436">
        <f t="shared" si="48"/>
        <v>5.2004549331816898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22" t="str">
        <f>+VLOOKUP(LEFT($A93,LEN(A93)-1)*1,Master!$D$30:$G$229,4,FALSE)</f>
        <v>Porez na međunarodnu trgovinu i transakcije</v>
      </c>
      <c r="C93" s="623"/>
      <c r="D93" s="623"/>
      <c r="E93" s="623"/>
      <c r="F93" s="623"/>
      <c r="G93" s="77">
        <v>2756177.5797694027</v>
      </c>
      <c r="H93" s="77">
        <v>3597080.8322044765</v>
      </c>
      <c r="I93" s="77">
        <v>5080642.3039190965</v>
      </c>
      <c r="J93" s="77">
        <v>4566217.8601228138</v>
      </c>
      <c r="K93" s="77">
        <v>5315794.5622604089</v>
      </c>
      <c r="L93" s="77">
        <v>5532491.7635528967</v>
      </c>
      <c r="M93" s="77">
        <v>5355802.238618318</v>
      </c>
      <c r="N93" s="77">
        <v>5706699.2805261482</v>
      </c>
      <c r="O93" s="77">
        <v>5186142.2097657854</v>
      </c>
      <c r="P93" s="77">
        <v>5014923.9993494628</v>
      </c>
      <c r="Q93" s="77">
        <v>4765187.6368120126</v>
      </c>
      <c r="R93" s="77">
        <v>5418029.1830991814</v>
      </c>
      <c r="S93" s="101">
        <f t="shared" si="47"/>
        <v>58295189.450000003</v>
      </c>
      <c r="T93" s="436">
        <f t="shared" si="48"/>
        <v>0.82876300042649986</v>
      </c>
      <c r="V93" s="292"/>
    </row>
    <row r="94" spans="1:26">
      <c r="A94" s="105" t="str">
        <f t="shared" si="42"/>
        <v>7118p</v>
      </c>
      <c r="B94" s="622" t="str">
        <f>+VLOOKUP(LEFT($A94,LEN(A94)-1)*1,Master!$D$30:$G$229,4,FALSE)</f>
        <v>Ostali državni porezi</v>
      </c>
      <c r="C94" s="623"/>
      <c r="D94" s="623"/>
      <c r="E94" s="623"/>
      <c r="F94" s="623"/>
      <c r="G94" s="77">
        <v>1013075.2093207003</v>
      </c>
      <c r="H94" s="77">
        <v>953912.25016085315</v>
      </c>
      <c r="I94" s="77">
        <v>1059534.8722636329</v>
      </c>
      <c r="J94" s="77">
        <v>1120857.6636611964</v>
      </c>
      <c r="K94" s="77">
        <v>1168222.682509661</v>
      </c>
      <c r="L94" s="77">
        <v>1323098.8271645412</v>
      </c>
      <c r="M94" s="77">
        <v>1189155.1312965241</v>
      </c>
      <c r="N94" s="77">
        <v>1314272.7038835543</v>
      </c>
      <c r="O94" s="77">
        <v>1419035.6760742143</v>
      </c>
      <c r="P94" s="77">
        <v>1305475.5819203202</v>
      </c>
      <c r="Q94" s="77">
        <v>1274869.5732153796</v>
      </c>
      <c r="R94" s="77">
        <v>1177178.1185294199</v>
      </c>
      <c r="S94" s="101">
        <f t="shared" si="47"/>
        <v>14318688.289999997</v>
      </c>
      <c r="T94" s="436">
        <f t="shared" si="48"/>
        <v>0.20356395066818306</v>
      </c>
      <c r="V94" s="292"/>
    </row>
    <row r="95" spans="1:26">
      <c r="A95" s="105" t="str">
        <f t="shared" si="42"/>
        <v>712p</v>
      </c>
      <c r="B95" s="628" t="str">
        <f>+VLOOKUP(LEFT($A95,LEN(A95)-1)*1,Master!$D$30:$G$229,4,FALSE)</f>
        <v>Doprinosi</v>
      </c>
      <c r="C95" s="629"/>
      <c r="D95" s="629"/>
      <c r="E95" s="629"/>
      <c r="F95" s="629"/>
      <c r="G95" s="543">
        <f>+SUM(G96:G99)</f>
        <v>16352055.41693222</v>
      </c>
      <c r="H95" s="543">
        <f t="shared" ref="H95:L95" si="49">+SUM(H96:H99)</f>
        <v>43548052.584407724</v>
      </c>
      <c r="I95" s="544">
        <f t="shared" si="49"/>
        <v>44933194.735314272</v>
      </c>
      <c r="J95" s="543">
        <f t="shared" si="49"/>
        <v>50076292.309714273</v>
      </c>
      <c r="K95" s="543">
        <f t="shared" si="49"/>
        <v>48321180.060848266</v>
      </c>
      <c r="L95" s="543">
        <f t="shared" si="49"/>
        <v>50551963.338566609</v>
      </c>
      <c r="M95" s="543">
        <f t="shared" ref="M95:R95" si="50">+SUM(M96:M99)</f>
        <v>50964232.425356537</v>
      </c>
      <c r="N95" s="543">
        <f t="shared" si="50"/>
        <v>52474361.259312101</v>
      </c>
      <c r="O95" s="543">
        <f t="shared" si="50"/>
        <v>50349013.984039314</v>
      </c>
      <c r="P95" s="543">
        <f t="shared" si="50"/>
        <v>54363640.398909025</v>
      </c>
      <c r="Q95" s="543">
        <f t="shared" si="50"/>
        <v>49713551.309563525</v>
      </c>
      <c r="R95" s="545">
        <f t="shared" si="50"/>
        <v>93751510.127036065</v>
      </c>
      <c r="S95" s="546">
        <f t="shared" si="47"/>
        <v>605399047.94999993</v>
      </c>
      <c r="T95" s="522">
        <f t="shared" si="48"/>
        <v>8.6067535961046335</v>
      </c>
      <c r="V95" s="292"/>
    </row>
    <row r="96" spans="1:26">
      <c r="A96" s="105" t="str">
        <f t="shared" si="42"/>
        <v>7121p</v>
      </c>
      <c r="B96" s="622" t="str">
        <f>+VLOOKUP(LEFT($A96,LEN(A96)-1)*1,Master!$D$30:$G$229,4,FALSE)</f>
        <v>Doprinosi za penzijsko i invalidsko osiguranje</v>
      </c>
      <c r="C96" s="623"/>
      <c r="D96" s="623"/>
      <c r="E96" s="623"/>
      <c r="F96" s="623"/>
      <c r="G96" s="77">
        <v>15107540.897000929</v>
      </c>
      <c r="H96" s="77">
        <v>40305437.222684398</v>
      </c>
      <c r="I96" s="77">
        <v>41579529.6672429</v>
      </c>
      <c r="J96" s="77">
        <v>46231459.004317187</v>
      </c>
      <c r="K96" s="77">
        <v>44651588.880563311</v>
      </c>
      <c r="L96" s="77">
        <v>46822646.22277157</v>
      </c>
      <c r="M96" s="77">
        <v>47257904.543847948</v>
      </c>
      <c r="N96" s="77">
        <v>48709049.092347272</v>
      </c>
      <c r="O96" s="77">
        <v>46357711.69623474</v>
      </c>
      <c r="P96" s="77">
        <v>50246198.769257635</v>
      </c>
      <c r="Q96" s="77">
        <v>45838849.938908279</v>
      </c>
      <c r="R96" s="77">
        <v>86674431.954823792</v>
      </c>
      <c r="S96" s="101">
        <f t="shared" si="47"/>
        <v>559782347.88999999</v>
      </c>
      <c r="T96" s="436">
        <f t="shared" si="48"/>
        <v>7.9582363930907025</v>
      </c>
      <c r="V96" s="292"/>
      <c r="W96" s="292"/>
    </row>
    <row r="97" spans="1:23">
      <c r="A97" s="105" t="str">
        <f t="shared" si="42"/>
        <v>7122p</v>
      </c>
      <c r="B97" s="622" t="str">
        <f>+VLOOKUP(LEFT($A97,LEN(A97)-1)*1,Master!$D$30:$G$229,4,FALSE)</f>
        <v>Doprinosi za zdravstveno osiguranje</v>
      </c>
      <c r="C97" s="623"/>
      <c r="D97" s="623"/>
      <c r="E97" s="623"/>
      <c r="F97" s="623"/>
      <c r="G97" s="77">
        <v>128998.53121441192</v>
      </c>
      <c r="H97" s="77">
        <v>275556.51165052858</v>
      </c>
      <c r="I97" s="77">
        <v>180181.08257484142</v>
      </c>
      <c r="J97" s="77">
        <v>229244.65815501672</v>
      </c>
      <c r="K97" s="77">
        <v>255605.92274265984</v>
      </c>
      <c r="L97" s="77">
        <v>237031.78373634661</v>
      </c>
      <c r="M97" s="77">
        <v>208441.15359945668</v>
      </c>
      <c r="N97" s="77">
        <v>183197.86811796174</v>
      </c>
      <c r="O97" s="77">
        <v>439037.7087866519</v>
      </c>
      <c r="P97" s="77">
        <v>198177.17517812611</v>
      </c>
      <c r="Q97" s="77">
        <v>252339.37554671103</v>
      </c>
      <c r="R97" s="77">
        <v>412188.22869728797</v>
      </c>
      <c r="S97" s="101">
        <f t="shared" si="47"/>
        <v>3000000</v>
      </c>
      <c r="T97" s="436">
        <f t="shared" si="48"/>
        <v>4.2649985783338069E-2</v>
      </c>
      <c r="V97" s="292"/>
    </row>
    <row r="98" spans="1:23">
      <c r="A98" s="105" t="str">
        <f t="shared" si="42"/>
        <v>7123p</v>
      </c>
      <c r="B98" s="622" t="str">
        <f>+VLOOKUP(LEFT($A98,LEN(A98)-1)*1,Master!$D$30:$G$229,4,FALSE)</f>
        <v>Doprinosi za osiguranje od nezaposlenosti</v>
      </c>
      <c r="C98" s="623"/>
      <c r="D98" s="623"/>
      <c r="E98" s="623"/>
      <c r="F98" s="623"/>
      <c r="G98" s="77">
        <v>652800.53008117527</v>
      </c>
      <c r="H98" s="77">
        <v>1715642.9051287719</v>
      </c>
      <c r="I98" s="77">
        <v>1754023.8579447954</v>
      </c>
      <c r="J98" s="77">
        <v>1982407.8906747878</v>
      </c>
      <c r="K98" s="77">
        <v>1897711.3195239312</v>
      </c>
      <c r="L98" s="77">
        <v>1960821.9840019587</v>
      </c>
      <c r="M98" s="77">
        <v>1975020.7772685695</v>
      </c>
      <c r="N98" s="77">
        <v>2096351.9564830353</v>
      </c>
      <c r="O98" s="77">
        <v>2032210.9670301753</v>
      </c>
      <c r="P98" s="77">
        <v>2198914.888620181</v>
      </c>
      <c r="Q98" s="77">
        <v>2000429.4325449851</v>
      </c>
      <c r="R98" s="77">
        <v>3731281.5306976326</v>
      </c>
      <c r="S98" s="101">
        <f t="shared" si="47"/>
        <v>23997618.039999995</v>
      </c>
      <c r="T98" s="436">
        <f t="shared" si="48"/>
        <v>0.34116602274665903</v>
      </c>
      <c r="V98" s="292"/>
    </row>
    <row r="99" spans="1:23">
      <c r="A99" s="105" t="str">
        <f t="shared" si="42"/>
        <v>7124p</v>
      </c>
      <c r="B99" s="622" t="str">
        <f>+VLOOKUP(LEFT($A99,LEN(A99)-1)*1,Master!$D$30:$G$229,4,FALSE)</f>
        <v>Ostali doprinosi</v>
      </c>
      <c r="C99" s="623"/>
      <c r="D99" s="623"/>
      <c r="E99" s="623"/>
      <c r="F99" s="623"/>
      <c r="G99" s="77">
        <v>462715.45863570302</v>
      </c>
      <c r="H99" s="77">
        <v>1251415.9449440332</v>
      </c>
      <c r="I99" s="77">
        <v>1419460.1275517347</v>
      </c>
      <c r="J99" s="77">
        <v>1633180.7565672826</v>
      </c>
      <c r="K99" s="77">
        <v>1516273.9380183634</v>
      </c>
      <c r="L99" s="77">
        <v>1531463.3480567331</v>
      </c>
      <c r="M99" s="77">
        <v>1522865.9506405692</v>
      </c>
      <c r="N99" s="77">
        <v>1485762.3423638348</v>
      </c>
      <c r="O99" s="77">
        <v>1520053.6119877459</v>
      </c>
      <c r="P99" s="77">
        <v>1720349.5658530837</v>
      </c>
      <c r="Q99" s="77">
        <v>1621932.5625635546</v>
      </c>
      <c r="R99" s="77">
        <v>2933608.4128173613</v>
      </c>
      <c r="S99" s="101">
        <f t="shared" si="47"/>
        <v>18619082.02</v>
      </c>
      <c r="T99" s="436">
        <f t="shared" si="48"/>
        <v>0.26470119448393514</v>
      </c>
      <c r="V99" s="292"/>
    </row>
    <row r="100" spans="1:23">
      <c r="A100" s="105" t="str">
        <f t="shared" si="42"/>
        <v>713p</v>
      </c>
      <c r="B100" s="628" t="str">
        <f>+VLOOKUP(LEFT($A100,LEN(A100)-1)*1,Master!$D$30:$G$229,4,FALSE)</f>
        <v>Takse</v>
      </c>
      <c r="C100" s="629"/>
      <c r="D100" s="629"/>
      <c r="E100" s="629"/>
      <c r="F100" s="629"/>
      <c r="G100" s="510">
        <v>748860.49593329686</v>
      </c>
      <c r="H100" s="510">
        <v>953485.20987465465</v>
      </c>
      <c r="I100" s="510">
        <v>1089304.8526208741</v>
      </c>
      <c r="J100" s="510">
        <v>1026263.3154744842</v>
      </c>
      <c r="K100" s="510">
        <v>1352524.7555279485</v>
      </c>
      <c r="L100" s="510">
        <v>1432990.8665296927</v>
      </c>
      <c r="M100" s="510">
        <v>1590359.9048749318</v>
      </c>
      <c r="N100" s="510">
        <v>1811559.3329411284</v>
      </c>
      <c r="O100" s="510">
        <v>1526095.1346786334</v>
      </c>
      <c r="P100" s="510">
        <v>1507019.7783381043</v>
      </c>
      <c r="Q100" s="510">
        <v>1214632.6297800925</v>
      </c>
      <c r="R100" s="510">
        <v>1598448.2234261595</v>
      </c>
      <c r="S100" s="546">
        <f t="shared" si="47"/>
        <v>15851544.500000004</v>
      </c>
      <c r="T100" s="522">
        <f t="shared" si="48"/>
        <v>0.2253560491896503</v>
      </c>
      <c r="V100" s="292"/>
    </row>
    <row r="101" spans="1:23">
      <c r="A101" s="105" t="str">
        <f t="shared" si="42"/>
        <v>714p</v>
      </c>
      <c r="B101" s="628" t="str">
        <f>+VLOOKUP(LEFT($A101,LEN(A101)-1)*1,Master!$D$30:$G$229,4,FALSE)</f>
        <v>Naknade</v>
      </c>
      <c r="C101" s="629"/>
      <c r="D101" s="629"/>
      <c r="E101" s="629"/>
      <c r="F101" s="629"/>
      <c r="G101" s="510">
        <v>2682300.8007396669</v>
      </c>
      <c r="H101" s="510">
        <v>3068842.3901493941</v>
      </c>
      <c r="I101" s="510">
        <v>3887539.9432760077</v>
      </c>
      <c r="J101" s="510">
        <v>3944624.4181581014</v>
      </c>
      <c r="K101" s="510">
        <v>4975153.702935664</v>
      </c>
      <c r="L101" s="510">
        <v>5391338.4291397706</v>
      </c>
      <c r="M101" s="510">
        <v>4551170.0714253988</v>
      </c>
      <c r="N101" s="510">
        <v>6300259.5139867421</v>
      </c>
      <c r="O101" s="510">
        <v>4876357.2568455562</v>
      </c>
      <c r="P101" s="510">
        <v>7715065.1027632868</v>
      </c>
      <c r="Q101" s="510">
        <v>9181200.883062087</v>
      </c>
      <c r="R101" s="510">
        <v>6249228.1375183258</v>
      </c>
      <c r="S101" s="546">
        <f t="shared" si="47"/>
        <v>62823080.649999999</v>
      </c>
      <c r="T101" s="522">
        <f t="shared" si="48"/>
        <v>0.89313449886266705</v>
      </c>
      <c r="V101" s="292"/>
    </row>
    <row r="102" spans="1:23">
      <c r="A102" s="105" t="str">
        <f t="shared" si="42"/>
        <v>715p</v>
      </c>
      <c r="B102" s="628" t="str">
        <f>+VLOOKUP(LEFT($A102,LEN(A102)-1)*1,Master!$D$30:$G$229,4,FALSE)</f>
        <v>Ostali prihodi</v>
      </c>
      <c r="C102" s="629"/>
      <c r="D102" s="629"/>
      <c r="E102" s="629"/>
      <c r="F102" s="629"/>
      <c r="G102" s="510">
        <v>4850852.370284291</v>
      </c>
      <c r="H102" s="510">
        <v>4543893.9555307049</v>
      </c>
      <c r="I102" s="510">
        <v>5155108.6307039</v>
      </c>
      <c r="J102" s="510">
        <v>8577664.0265969969</v>
      </c>
      <c r="K102" s="510">
        <v>4181225.1038118028</v>
      </c>
      <c r="L102" s="510">
        <v>8484983.9839163478</v>
      </c>
      <c r="M102" s="510">
        <v>17098272.995156821</v>
      </c>
      <c r="N102" s="510">
        <v>20053662.995308049</v>
      </c>
      <c r="O102" s="510">
        <v>14711690.041677319</v>
      </c>
      <c r="P102" s="510">
        <v>10010521.839120742</v>
      </c>
      <c r="Q102" s="510">
        <v>4813954.3170404471</v>
      </c>
      <c r="R102" s="510">
        <v>5929313.0708526587</v>
      </c>
      <c r="S102" s="546">
        <f t="shared" si="47"/>
        <v>108411143.33000009</v>
      </c>
      <c r="T102" s="522">
        <f t="shared" si="48"/>
        <v>1.5412445739266434</v>
      </c>
      <c r="V102" s="292"/>
    </row>
    <row r="103" spans="1:23">
      <c r="A103" s="105" t="str">
        <f t="shared" si="42"/>
        <v>73p</v>
      </c>
      <c r="B103" s="628" t="str">
        <f>+VLOOKUP(LEFT($A103,LEN(A103)-1)*1,Master!$D$30:$G$229,4,FALSE)</f>
        <v>Primici od otplate kredita i sredstva prenesena iz prethodne godine</v>
      </c>
      <c r="C103" s="629"/>
      <c r="D103" s="629"/>
      <c r="E103" s="629"/>
      <c r="F103" s="629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47"/>
        <v>0</v>
      </c>
      <c r="T103" s="522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24" t="str">
        <f>+VLOOKUP(LEFT($A104,LEN(A104)-1)*1,Master!$D$30:$G$229,4,FALSE)</f>
        <v>Donacije i transferi</v>
      </c>
      <c r="C104" s="625"/>
      <c r="D104" s="625"/>
      <c r="E104" s="625"/>
      <c r="F104" s="625"/>
      <c r="G104" s="510">
        <v>4000000</v>
      </c>
      <c r="H104" s="510">
        <v>1850000</v>
      </c>
      <c r="I104" s="510">
        <v>1500000</v>
      </c>
      <c r="J104" s="510">
        <v>1250000</v>
      </c>
      <c r="K104" s="510">
        <v>2153709.39777778</v>
      </c>
      <c r="L104" s="510">
        <v>4349999.9977777796</v>
      </c>
      <c r="M104" s="510">
        <v>4361128.1955555324</v>
      </c>
      <c r="N104" s="510">
        <v>4003709.39777778</v>
      </c>
      <c r="O104" s="510">
        <v>4403709.39777778</v>
      </c>
      <c r="P104" s="510">
        <v>4453709.39777778</v>
      </c>
      <c r="Q104" s="510">
        <v>4523709.39777778</v>
      </c>
      <c r="R104" s="510">
        <v>4450324.8177777799</v>
      </c>
      <c r="S104" s="547">
        <f t="shared" si="47"/>
        <v>41300000</v>
      </c>
      <c r="T104" s="524">
        <f t="shared" si="48"/>
        <v>0.58714813761728746</v>
      </c>
      <c r="V104" s="292"/>
    </row>
    <row r="105" spans="1:23" ht="13.5" thickBot="1">
      <c r="A105" s="105" t="str">
        <f t="shared" si="42"/>
        <v>4p</v>
      </c>
      <c r="B105" s="606" t="str">
        <f>+VLOOKUP(LEFT($A105,LEN(A105)-1)*1,Master!$D$30:$G$229,4,FALSE)</f>
        <v>Izdaci budžeta</v>
      </c>
      <c r="C105" s="607"/>
      <c r="D105" s="607"/>
      <c r="E105" s="607"/>
      <c r="F105" s="607"/>
      <c r="G105" s="505">
        <f t="shared" ref="G105:L105" si="51">+G106+G116+G122+SUM(G123:G127)</f>
        <v>184919053.78499997</v>
      </c>
      <c r="H105" s="505">
        <f t="shared" si="51"/>
        <v>232561234.48499998</v>
      </c>
      <c r="I105" s="505">
        <f t="shared" si="51"/>
        <v>238081263.40500003</v>
      </c>
      <c r="J105" s="505">
        <f t="shared" si="51"/>
        <v>255682841.11500001</v>
      </c>
      <c r="K105" s="505">
        <f t="shared" si="51"/>
        <v>241962982.43500003</v>
      </c>
      <c r="L105" s="505">
        <f t="shared" si="51"/>
        <v>234003907.77500001</v>
      </c>
      <c r="M105" s="505">
        <f t="shared" ref="M105:R105" si="52">+M106+M116+M122+SUM(M123:M127)</f>
        <v>264700451.39499998</v>
      </c>
      <c r="N105" s="505">
        <f t="shared" si="52"/>
        <v>232010503.685</v>
      </c>
      <c r="O105" s="505">
        <f t="shared" si="52"/>
        <v>242368363.40499997</v>
      </c>
      <c r="P105" s="505">
        <f t="shared" si="52"/>
        <v>248749473.49499997</v>
      </c>
      <c r="Q105" s="505">
        <f t="shared" si="52"/>
        <v>263598346.51499999</v>
      </c>
      <c r="R105" s="505">
        <f t="shared" si="52"/>
        <v>314228950.07499999</v>
      </c>
      <c r="S105" s="548">
        <f>+SUM(G105:R105)</f>
        <v>2952867371.5699997</v>
      </c>
      <c r="T105" s="549">
        <f t="shared" si="48"/>
        <v>41.979917139181119</v>
      </c>
      <c r="V105" s="275"/>
    </row>
    <row r="106" spans="1:23">
      <c r="A106" s="105" t="str">
        <f t="shared" si="42"/>
        <v>41p</v>
      </c>
      <c r="B106" s="626" t="str">
        <f>+VLOOKUP(LEFT($A106,LEN(A106)-1)*1,Master!$D$30:$G$229,4,FALSE)</f>
        <v>Tekući izdaci</v>
      </c>
      <c r="C106" s="627"/>
      <c r="D106" s="627"/>
      <c r="E106" s="627"/>
      <c r="F106" s="627"/>
      <c r="G106" s="511">
        <f t="shared" ref="G106:L106" si="53">+SUM(G107:G115)</f>
        <v>87878650.644999996</v>
      </c>
      <c r="H106" s="511">
        <f t="shared" si="53"/>
        <v>86906152.424999982</v>
      </c>
      <c r="I106" s="511">
        <f t="shared" si="53"/>
        <v>95451885.045000017</v>
      </c>
      <c r="J106" s="511">
        <f t="shared" si="53"/>
        <v>106856668.84499998</v>
      </c>
      <c r="K106" s="511">
        <f t="shared" si="53"/>
        <v>97851421.115000039</v>
      </c>
      <c r="L106" s="511">
        <f t="shared" si="53"/>
        <v>89489132.13499999</v>
      </c>
      <c r="M106" s="511">
        <f t="shared" ref="M106:R106" si="54">+SUM(M107:M115)</f>
        <v>93027671.495000005</v>
      </c>
      <c r="N106" s="511">
        <f t="shared" si="54"/>
        <v>85997595.745000005</v>
      </c>
      <c r="O106" s="511">
        <f t="shared" si="54"/>
        <v>93577491.554999977</v>
      </c>
      <c r="P106" s="511">
        <f t="shared" si="54"/>
        <v>102706807.965</v>
      </c>
      <c r="Q106" s="511">
        <f t="shared" si="54"/>
        <v>96849062.034999996</v>
      </c>
      <c r="R106" s="512">
        <f t="shared" si="54"/>
        <v>129450330.31499998</v>
      </c>
      <c r="S106" s="542">
        <f t="shared" si="47"/>
        <v>1166042869.3199999</v>
      </c>
      <c r="T106" s="519">
        <f t="shared" si="48"/>
        <v>16.577237266420244</v>
      </c>
      <c r="V106" s="275"/>
      <c r="W106" s="275"/>
    </row>
    <row r="107" spans="1:23">
      <c r="A107" s="105" t="str">
        <f t="shared" si="42"/>
        <v>411p</v>
      </c>
      <c r="B107" s="622" t="str">
        <f>+VLOOKUP(LEFT($A107,LEN(A107)-1)*1,Master!$D$30:$G$229,4,FALSE)</f>
        <v>Bruto zarade i doprinosi na teret poslodavca</v>
      </c>
      <c r="C107" s="623"/>
      <c r="D107" s="623"/>
      <c r="E107" s="623"/>
      <c r="F107" s="623"/>
      <c r="G107" s="77">
        <v>57236559.594999999</v>
      </c>
      <c r="H107" s="77">
        <v>55816093.644999981</v>
      </c>
      <c r="I107" s="77">
        <v>56488796.335000001</v>
      </c>
      <c r="J107" s="77">
        <v>56489142.515000008</v>
      </c>
      <c r="K107" s="77">
        <v>56540382.745000005</v>
      </c>
      <c r="L107" s="77">
        <v>56491886.404999994</v>
      </c>
      <c r="M107" s="77">
        <v>56491988.854999997</v>
      </c>
      <c r="N107" s="77">
        <v>56492266.684999995</v>
      </c>
      <c r="O107" s="77">
        <v>56492339.675000004</v>
      </c>
      <c r="P107" s="77">
        <v>56496440.484999992</v>
      </c>
      <c r="Q107" s="77">
        <v>56495043.11500001</v>
      </c>
      <c r="R107" s="77">
        <v>56488380.25499998</v>
      </c>
      <c r="S107" s="101">
        <f t="shared" si="47"/>
        <v>678019320.31000006</v>
      </c>
      <c r="T107" s="436">
        <f t="shared" si="48"/>
        <v>9.6391714573500149</v>
      </c>
      <c r="V107" s="488"/>
    </row>
    <row r="108" spans="1:23">
      <c r="A108" s="105" t="str">
        <f t="shared" si="42"/>
        <v>412p</v>
      </c>
      <c r="B108" s="622" t="str">
        <f>+VLOOKUP(LEFT($A108,LEN(A108)-1)*1,Master!$D$30:$G$229,4,FALSE)</f>
        <v>Ostala lična primanja</v>
      </c>
      <c r="C108" s="623"/>
      <c r="D108" s="623"/>
      <c r="E108" s="623"/>
      <c r="F108" s="623"/>
      <c r="G108" s="77">
        <v>2100463.6400000006</v>
      </c>
      <c r="H108" s="77">
        <v>1740741.4700000007</v>
      </c>
      <c r="I108" s="77">
        <v>1753124.9700000007</v>
      </c>
      <c r="J108" s="77">
        <v>1673330.2600000009</v>
      </c>
      <c r="K108" s="77">
        <v>1703169.2100000009</v>
      </c>
      <c r="L108" s="77">
        <v>1690210.7300000009</v>
      </c>
      <c r="M108" s="77">
        <v>1580765.9100000006</v>
      </c>
      <c r="N108" s="77">
        <v>1509788.27</v>
      </c>
      <c r="O108" s="77">
        <v>1478140.4400000002</v>
      </c>
      <c r="P108" s="77">
        <v>1471283.5899999999</v>
      </c>
      <c r="Q108" s="77">
        <v>1474746.63</v>
      </c>
      <c r="R108" s="77">
        <v>1592508.5300000003</v>
      </c>
      <c r="S108" s="101">
        <f t="shared" si="47"/>
        <v>19768273.650000006</v>
      </c>
      <c r="T108" s="436">
        <f t="shared" si="48"/>
        <v>0.28103886337787892</v>
      </c>
      <c r="V108" s="488"/>
    </row>
    <row r="109" spans="1:23">
      <c r="A109" s="105" t="str">
        <f t="shared" si="42"/>
        <v>413p</v>
      </c>
      <c r="B109" s="622" t="str">
        <f>+VLOOKUP(LEFT($A109,LEN(A109)-1)*1,Master!$D$30:$G$229,4,FALSE)</f>
        <v>Rashodi za materijal</v>
      </c>
      <c r="C109" s="623"/>
      <c r="D109" s="623"/>
      <c r="E109" s="623"/>
      <c r="F109" s="623"/>
      <c r="G109" s="77">
        <v>2592981.6999999997</v>
      </c>
      <c r="H109" s="77">
        <v>4515110.08</v>
      </c>
      <c r="I109" s="77">
        <v>4746218.3499999987</v>
      </c>
      <c r="J109" s="77">
        <v>3300771.2399999998</v>
      </c>
      <c r="K109" s="77">
        <v>3656056.06</v>
      </c>
      <c r="L109" s="77">
        <v>3933495.0999999992</v>
      </c>
      <c r="M109" s="77">
        <v>3252425.830000001</v>
      </c>
      <c r="N109" s="77">
        <v>4247306.54</v>
      </c>
      <c r="O109" s="77">
        <v>4898294.7299999995</v>
      </c>
      <c r="P109" s="77">
        <v>4877488.2399999993</v>
      </c>
      <c r="Q109" s="77">
        <v>3741414.1999999993</v>
      </c>
      <c r="R109" s="77">
        <v>8382271.0100000016</v>
      </c>
      <c r="S109" s="101">
        <f t="shared" si="47"/>
        <v>52143833.079999998</v>
      </c>
      <c r="T109" s="436">
        <f t="shared" si="48"/>
        <v>0.74131124651691782</v>
      </c>
      <c r="V109" s="488"/>
    </row>
    <row r="110" spans="1:23">
      <c r="A110" s="105" t="str">
        <f t="shared" si="42"/>
        <v>414p</v>
      </c>
      <c r="B110" s="622" t="str">
        <f>+VLOOKUP(LEFT($A110,LEN(A110)-1)*1,Master!$D$30:$G$229,4,FALSE)</f>
        <v>Rashodi za usluge</v>
      </c>
      <c r="C110" s="623"/>
      <c r="D110" s="623"/>
      <c r="E110" s="623"/>
      <c r="F110" s="623"/>
      <c r="G110" s="77">
        <v>3340743.4700000011</v>
      </c>
      <c r="H110" s="77">
        <v>6097662.4100000001</v>
      </c>
      <c r="I110" s="77">
        <v>5978418.9100000011</v>
      </c>
      <c r="J110" s="77">
        <v>5854559.3200000003</v>
      </c>
      <c r="K110" s="77">
        <v>5703795.0300000012</v>
      </c>
      <c r="L110" s="77">
        <v>6644319.4900000021</v>
      </c>
      <c r="M110" s="77">
        <v>6131057.3700000001</v>
      </c>
      <c r="N110" s="77">
        <v>5400846.6300000008</v>
      </c>
      <c r="O110" s="77">
        <v>6228111.6400000025</v>
      </c>
      <c r="P110" s="77">
        <v>6383895.8200000003</v>
      </c>
      <c r="Q110" s="77">
        <v>5837864.5599999996</v>
      </c>
      <c r="R110" s="77">
        <v>9975968.3799999971</v>
      </c>
      <c r="S110" s="101">
        <f t="shared" si="47"/>
        <v>73577243.030000016</v>
      </c>
      <c r="T110" s="436">
        <f t="shared" si="48"/>
        <v>1.0460227897355703</v>
      </c>
      <c r="V110" s="488"/>
    </row>
    <row r="111" spans="1:23">
      <c r="A111" s="105" t="str">
        <f t="shared" si="42"/>
        <v>415p</v>
      </c>
      <c r="B111" s="622" t="str">
        <f>+VLOOKUP(LEFT($A111,LEN(A111)-1)*1,Master!$D$30:$G$229,4,FALSE)</f>
        <v>Rashodi za tekuće održavanje</v>
      </c>
      <c r="C111" s="623"/>
      <c r="D111" s="623"/>
      <c r="E111" s="623"/>
      <c r="F111" s="623"/>
      <c r="G111" s="77">
        <v>1533230.38</v>
      </c>
      <c r="H111" s="77">
        <v>2906620.62</v>
      </c>
      <c r="I111" s="77">
        <v>3471949</v>
      </c>
      <c r="J111" s="77">
        <v>2074494.46</v>
      </c>
      <c r="K111" s="77">
        <v>2536527.75</v>
      </c>
      <c r="L111" s="77">
        <v>2985743.0999999996</v>
      </c>
      <c r="M111" s="77">
        <v>3203540.1100000003</v>
      </c>
      <c r="N111" s="77">
        <v>3414396.59</v>
      </c>
      <c r="O111" s="77">
        <v>2851647.1499999985</v>
      </c>
      <c r="P111" s="77">
        <v>4359813.2799999993</v>
      </c>
      <c r="Q111" s="77">
        <v>3607336.46</v>
      </c>
      <c r="R111" s="77">
        <v>6711210.7199999997</v>
      </c>
      <c r="S111" s="101">
        <f t="shared" si="47"/>
        <v>39656509.619999997</v>
      </c>
      <c r="T111" s="436">
        <f t="shared" si="48"/>
        <v>0.56378319050326986</v>
      </c>
      <c r="V111" s="488"/>
    </row>
    <row r="112" spans="1:23">
      <c r="A112" s="105" t="str">
        <f t="shared" si="42"/>
        <v>416p</v>
      </c>
      <c r="B112" s="622" t="str">
        <f>+VLOOKUP(LEFT($A112,LEN(A112)-1)*1,Master!$D$30:$G$229,4,FALSE)</f>
        <v>Kamate</v>
      </c>
      <c r="C112" s="623"/>
      <c r="D112" s="623"/>
      <c r="E112" s="623"/>
      <c r="F112" s="623"/>
      <c r="G112" s="77">
        <v>7863506.3399999999</v>
      </c>
      <c r="H112" s="77">
        <v>3853520.3899999992</v>
      </c>
      <c r="I112" s="77">
        <v>7002612.4900000021</v>
      </c>
      <c r="J112" s="77">
        <v>25979515.719999999</v>
      </c>
      <c r="K112" s="77">
        <v>14697879.240000002</v>
      </c>
      <c r="L112" s="77">
        <v>5859746.7600000016</v>
      </c>
      <c r="M112" s="77">
        <v>7379836.4300000006</v>
      </c>
      <c r="N112" s="77">
        <v>3537784.6200000006</v>
      </c>
      <c r="O112" s="77">
        <v>5550692.9700000016</v>
      </c>
      <c r="P112" s="77">
        <v>17060783.899999999</v>
      </c>
      <c r="Q112" s="77">
        <v>12954508.439999999</v>
      </c>
      <c r="R112" s="77">
        <v>26653631.520000003</v>
      </c>
      <c r="S112" s="101">
        <f t="shared" si="47"/>
        <v>138394018.82000002</v>
      </c>
      <c r="T112" s="436">
        <f t="shared" si="48"/>
        <v>1.9675009783906743</v>
      </c>
      <c r="V112" s="488"/>
    </row>
    <row r="113" spans="1:22">
      <c r="A113" s="105" t="str">
        <f t="shared" si="42"/>
        <v>417p</v>
      </c>
      <c r="B113" s="622" t="str">
        <f>+VLOOKUP(LEFT($A113,LEN(A113)-1)*1,Master!$D$30:$G$229,4,FALSE)</f>
        <v>Renta</v>
      </c>
      <c r="C113" s="623"/>
      <c r="D113" s="623"/>
      <c r="E113" s="623"/>
      <c r="F113" s="623"/>
      <c r="G113" s="77">
        <v>1176076.0799999998</v>
      </c>
      <c r="H113" s="77">
        <v>1161701.6599999999</v>
      </c>
      <c r="I113" s="77">
        <v>1156431.0099999998</v>
      </c>
      <c r="J113" s="77">
        <v>1194352.0699999998</v>
      </c>
      <c r="K113" s="77">
        <v>1202203.7899999998</v>
      </c>
      <c r="L113" s="77">
        <v>1154047.0699999998</v>
      </c>
      <c r="M113" s="77">
        <v>1152607.0699999998</v>
      </c>
      <c r="N113" s="77">
        <v>1139907.0699999998</v>
      </c>
      <c r="O113" s="77">
        <v>1137807.0699999998</v>
      </c>
      <c r="P113" s="77">
        <v>1136957.1399999997</v>
      </c>
      <c r="Q113" s="77">
        <v>1144485.0599999998</v>
      </c>
      <c r="R113" s="77">
        <v>1103438.5100000002</v>
      </c>
      <c r="S113" s="101">
        <f t="shared" si="47"/>
        <v>13860013.600000001</v>
      </c>
      <c r="T113" s="436">
        <f t="shared" si="48"/>
        <v>0.19704312766562412</v>
      </c>
      <c r="V113" s="488"/>
    </row>
    <row r="114" spans="1:22">
      <c r="A114" s="105" t="str">
        <f t="shared" si="42"/>
        <v>418p</v>
      </c>
      <c r="B114" s="622" t="str">
        <f>+VLOOKUP(LEFT($A114,LEN(A114)-1)*1,Master!$D$30:$G$229,4,FALSE)</f>
        <v>Subvencije</v>
      </c>
      <c r="C114" s="623"/>
      <c r="D114" s="623"/>
      <c r="E114" s="623"/>
      <c r="F114" s="623"/>
      <c r="G114" s="77">
        <v>2842083.57</v>
      </c>
      <c r="H114" s="77">
        <v>3401967.33</v>
      </c>
      <c r="I114" s="77">
        <v>6003432.1100000013</v>
      </c>
      <c r="J114" s="77">
        <v>4923572.21</v>
      </c>
      <c r="K114" s="77">
        <v>6362355.2300000004</v>
      </c>
      <c r="L114" s="77">
        <v>4867109.51</v>
      </c>
      <c r="M114" s="77">
        <v>6273241.120000001</v>
      </c>
      <c r="N114" s="77">
        <v>5041530.7700000005</v>
      </c>
      <c r="O114" s="77">
        <v>7541341.7899999982</v>
      </c>
      <c r="P114" s="77">
        <v>4558113.120000001</v>
      </c>
      <c r="Q114" s="77">
        <v>6140335.8600000003</v>
      </c>
      <c r="R114" s="77">
        <v>9191186.3399999943</v>
      </c>
      <c r="S114" s="101">
        <f t="shared" si="47"/>
        <v>67146268.959999993</v>
      </c>
      <c r="T114" s="436">
        <f t="shared" si="48"/>
        <v>0.95459580551606471</v>
      </c>
      <c r="V114" s="488"/>
    </row>
    <row r="115" spans="1:22">
      <c r="A115" s="105" t="str">
        <f t="shared" si="42"/>
        <v>419p</v>
      </c>
      <c r="B115" s="622" t="str">
        <f>+VLOOKUP(LEFT($A115,LEN(A115)-1)*1,Master!$D$30:$G$229,4,FALSE)</f>
        <v>Ostali izdaci</v>
      </c>
      <c r="C115" s="623"/>
      <c r="D115" s="623"/>
      <c r="E115" s="623"/>
      <c r="F115" s="623"/>
      <c r="G115" s="77">
        <v>9193005.8699999992</v>
      </c>
      <c r="H115" s="77">
        <v>7412734.8200000003</v>
      </c>
      <c r="I115" s="77">
        <v>8850901.870000001</v>
      </c>
      <c r="J115" s="77">
        <v>5366931.0500000007</v>
      </c>
      <c r="K115" s="77">
        <v>5449052.0600000005</v>
      </c>
      <c r="L115" s="77">
        <v>5862573.9700000007</v>
      </c>
      <c r="M115" s="77">
        <v>7562208.8000000007</v>
      </c>
      <c r="N115" s="77">
        <v>5213768.57</v>
      </c>
      <c r="O115" s="77">
        <v>7399116.0900000017</v>
      </c>
      <c r="P115" s="77">
        <v>6362032.3899999997</v>
      </c>
      <c r="Q115" s="77">
        <v>5453327.71</v>
      </c>
      <c r="R115" s="77">
        <v>9351735.0500000026</v>
      </c>
      <c r="S115" s="101">
        <f t="shared" si="47"/>
        <v>83477388.249999985</v>
      </c>
      <c r="T115" s="436">
        <f t="shared" si="48"/>
        <v>1.1867698073642308</v>
      </c>
      <c r="V115" s="488"/>
    </row>
    <row r="116" spans="1:22">
      <c r="A116" s="105" t="str">
        <f t="shared" si="42"/>
        <v>42p</v>
      </c>
      <c r="B116" s="618" t="str">
        <f>+VLOOKUP(LEFT($A116,LEN(A116)-1)*1,Master!$D$30:$G$229,4,FALSE)</f>
        <v>Transferi za socijalnu zaštitu</v>
      </c>
      <c r="C116" s="619"/>
      <c r="D116" s="619"/>
      <c r="E116" s="619"/>
      <c r="F116" s="619"/>
      <c r="G116" s="507">
        <f t="shared" ref="G116:L116" si="55">+SUM(G117:G121)</f>
        <v>75443525</v>
      </c>
      <c r="H116" s="507">
        <f t="shared" si="55"/>
        <v>84394445.159999996</v>
      </c>
      <c r="I116" s="507">
        <f t="shared" si="55"/>
        <v>83399809.099999994</v>
      </c>
      <c r="J116" s="507">
        <f t="shared" si="55"/>
        <v>83769996.049999997</v>
      </c>
      <c r="K116" s="507">
        <f t="shared" si="55"/>
        <v>83769996.049999997</v>
      </c>
      <c r="L116" s="507">
        <f t="shared" si="55"/>
        <v>87049024.140000001</v>
      </c>
      <c r="M116" s="507">
        <f t="shared" ref="M116:R116" si="56">+SUM(M117:M121)</f>
        <v>85963012.349999994</v>
      </c>
      <c r="N116" s="507">
        <f t="shared" si="56"/>
        <v>86096697.659999996</v>
      </c>
      <c r="O116" s="507">
        <f t="shared" si="56"/>
        <v>86097697.659999996</v>
      </c>
      <c r="P116" s="507">
        <f t="shared" si="56"/>
        <v>86972569.239999995</v>
      </c>
      <c r="Q116" s="507">
        <f t="shared" si="56"/>
        <v>86972569.239999995</v>
      </c>
      <c r="R116" s="507">
        <f t="shared" si="56"/>
        <v>81090155.569999993</v>
      </c>
      <c r="S116" s="546">
        <f t="shared" si="47"/>
        <v>1011019497.22</v>
      </c>
      <c r="T116" s="522">
        <f t="shared" si="48"/>
        <v>14.373322394370202</v>
      </c>
      <c r="V116" s="292"/>
    </row>
    <row r="117" spans="1:22">
      <c r="A117" s="105" t="str">
        <f t="shared" si="42"/>
        <v>421p</v>
      </c>
      <c r="B117" s="622" t="str">
        <f>+VLOOKUP(LEFT($A117,LEN(A117)-1)*1,Master!$D$30:$G$229,4,FALSE)</f>
        <v>Prava iz oblasti socijalne zaštite</v>
      </c>
      <c r="C117" s="623"/>
      <c r="D117" s="623"/>
      <c r="E117" s="623"/>
      <c r="F117" s="623"/>
      <c r="G117" s="499">
        <v>18712760.859999999</v>
      </c>
      <c r="H117" s="499">
        <v>17947481.420000002</v>
      </c>
      <c r="I117" s="499">
        <v>17207107.52</v>
      </c>
      <c r="J117" s="499">
        <v>17577294.469999999</v>
      </c>
      <c r="K117" s="499">
        <v>17577294.469999999</v>
      </c>
      <c r="L117" s="499">
        <v>17577294.469999999</v>
      </c>
      <c r="M117" s="499">
        <v>17577294.469999999</v>
      </c>
      <c r="N117" s="499">
        <v>17577294.469999999</v>
      </c>
      <c r="O117" s="499">
        <v>17577294.469999999</v>
      </c>
      <c r="P117" s="499">
        <v>17577294.469999999</v>
      </c>
      <c r="Q117" s="499">
        <v>17577294.469999999</v>
      </c>
      <c r="R117" s="499">
        <v>17577294.440000001</v>
      </c>
      <c r="S117" s="101">
        <f t="shared" si="47"/>
        <v>212062999.99999997</v>
      </c>
      <c r="T117" s="436">
        <f t="shared" si="48"/>
        <v>3.0148279783906733</v>
      </c>
      <c r="V117" s="488"/>
    </row>
    <row r="118" spans="1:22">
      <c r="A118" s="105" t="str">
        <f t="shared" ref="A118:A134" si="57">+CONCATENATE(A42,"p")</f>
        <v>422p</v>
      </c>
      <c r="B118" s="622" t="str">
        <f>+VLOOKUP(LEFT($A118,LEN(A118)-1)*1,Master!$D$30:$G$229,4,FALSE)</f>
        <v>Sredstva za tehnološke viškove</v>
      </c>
      <c r="C118" s="623"/>
      <c r="D118" s="623"/>
      <c r="E118" s="623"/>
      <c r="F118" s="623"/>
      <c r="G118" s="499">
        <v>2092191.6600000001</v>
      </c>
      <c r="H118" s="499">
        <v>2092191.6600000001</v>
      </c>
      <c r="I118" s="499">
        <v>2092191.6600000001</v>
      </c>
      <c r="J118" s="499">
        <v>2092191.6600000001</v>
      </c>
      <c r="K118" s="499">
        <v>2092191.6600000001</v>
      </c>
      <c r="L118" s="499">
        <v>2092191.6600000001</v>
      </c>
      <c r="M118" s="499">
        <v>2092191.6600000001</v>
      </c>
      <c r="N118" s="499">
        <v>2092191.6600000001</v>
      </c>
      <c r="O118" s="499">
        <v>2092191.6600000001</v>
      </c>
      <c r="P118" s="499">
        <v>2092191.6600000001</v>
      </c>
      <c r="Q118" s="499">
        <v>2092191.6600000001</v>
      </c>
      <c r="R118" s="499">
        <v>2092191.7400000002</v>
      </c>
      <c r="S118" s="101">
        <f t="shared" si="47"/>
        <v>25106300</v>
      </c>
      <c r="T118" s="436">
        <f t="shared" si="48"/>
        <v>0.35692777935740688</v>
      </c>
      <c r="V118" s="488"/>
    </row>
    <row r="119" spans="1:22">
      <c r="A119" s="105" t="str">
        <f t="shared" si="57"/>
        <v>423p</v>
      </c>
      <c r="B119" s="622" t="str">
        <f>+VLOOKUP(LEFT($A119,LEN(A119)-1)*1,Master!$D$30:$G$229,4,FALSE)</f>
        <v>Prava iz oblasti penzijskog i invalidskog osiguranja</v>
      </c>
      <c r="C119" s="623"/>
      <c r="D119" s="623"/>
      <c r="E119" s="623"/>
      <c r="F119" s="623"/>
      <c r="G119" s="499">
        <v>51583572.480000004</v>
      </c>
      <c r="H119" s="499">
        <v>61299772.079999998</v>
      </c>
      <c r="I119" s="499">
        <v>61045509.920000002</v>
      </c>
      <c r="J119" s="499">
        <v>61045509.920000002</v>
      </c>
      <c r="K119" s="499">
        <v>61045509.920000002</v>
      </c>
      <c r="L119" s="499">
        <v>64324538.009999998</v>
      </c>
      <c r="M119" s="499">
        <v>63238526.219999999</v>
      </c>
      <c r="N119" s="499">
        <v>63372211.530000001</v>
      </c>
      <c r="O119" s="499">
        <v>63373211.530000001</v>
      </c>
      <c r="P119" s="499">
        <v>64248083.109999999</v>
      </c>
      <c r="Q119" s="499">
        <v>64248083.109999999</v>
      </c>
      <c r="R119" s="499">
        <v>58365669.389999993</v>
      </c>
      <c r="S119" s="101">
        <f t="shared" si="47"/>
        <v>737190197.22000003</v>
      </c>
      <c r="T119" s="436">
        <f t="shared" si="48"/>
        <v>10.48038381034973</v>
      </c>
      <c r="V119" s="488"/>
    </row>
    <row r="120" spans="1:22">
      <c r="A120" s="105" t="str">
        <f t="shared" si="57"/>
        <v>424p</v>
      </c>
      <c r="B120" s="622" t="str">
        <f>+VLOOKUP(LEFT($A120,LEN(A120)-1)*1,Master!$D$30:$G$229,4,FALSE)</f>
        <v>Ostala prava iz oblasti zdravstvene zaštite</v>
      </c>
      <c r="C120" s="623"/>
      <c r="D120" s="623"/>
      <c r="E120" s="623"/>
      <c r="F120" s="623"/>
      <c r="G120" s="499">
        <v>1755000</v>
      </c>
      <c r="H120" s="499">
        <v>1755000</v>
      </c>
      <c r="I120" s="499">
        <v>1755000</v>
      </c>
      <c r="J120" s="499">
        <v>1755000</v>
      </c>
      <c r="K120" s="499">
        <v>1755000</v>
      </c>
      <c r="L120" s="499">
        <v>1755000</v>
      </c>
      <c r="M120" s="499">
        <v>1755000</v>
      </c>
      <c r="N120" s="499">
        <v>1755000</v>
      </c>
      <c r="O120" s="499">
        <v>1755000</v>
      </c>
      <c r="P120" s="499">
        <v>1755000</v>
      </c>
      <c r="Q120" s="499">
        <v>1755000</v>
      </c>
      <c r="R120" s="499">
        <v>1755000</v>
      </c>
      <c r="S120" s="101">
        <f t="shared" si="47"/>
        <v>21060000</v>
      </c>
      <c r="T120" s="436">
        <f t="shared" si="48"/>
        <v>0.29940290019903326</v>
      </c>
      <c r="V120" s="488"/>
    </row>
    <row r="121" spans="1:22">
      <c r="A121" s="105" t="str">
        <f t="shared" si="57"/>
        <v>425p</v>
      </c>
      <c r="B121" s="622" t="str">
        <f>+VLOOKUP(LEFT($A121,LEN(A121)-1)*1,Master!$D$30:$G$229,4,FALSE)</f>
        <v>Ostala prava iz zdravstvenog osiguranja</v>
      </c>
      <c r="C121" s="623"/>
      <c r="D121" s="623"/>
      <c r="E121" s="623"/>
      <c r="F121" s="623"/>
      <c r="G121" s="499">
        <v>1300000</v>
      </c>
      <c r="H121" s="499">
        <v>1300000</v>
      </c>
      <c r="I121" s="499">
        <v>1300000</v>
      </c>
      <c r="J121" s="499">
        <v>1300000</v>
      </c>
      <c r="K121" s="499">
        <v>1300000</v>
      </c>
      <c r="L121" s="499">
        <v>1300000</v>
      </c>
      <c r="M121" s="499">
        <v>1300000</v>
      </c>
      <c r="N121" s="499">
        <v>1300000</v>
      </c>
      <c r="O121" s="499">
        <v>1300000</v>
      </c>
      <c r="P121" s="499">
        <v>1300000</v>
      </c>
      <c r="Q121" s="499">
        <v>1300000</v>
      </c>
      <c r="R121" s="499">
        <v>1300000</v>
      </c>
      <c r="S121" s="101">
        <f t="shared" si="47"/>
        <v>15600000</v>
      </c>
      <c r="T121" s="436">
        <f t="shared" si="48"/>
        <v>0.22177992607335795</v>
      </c>
      <c r="V121" s="488"/>
    </row>
    <row r="122" spans="1:22">
      <c r="A122" s="105" t="str">
        <f t="shared" si="57"/>
        <v>43p</v>
      </c>
      <c r="B122" s="620" t="str">
        <f>+VLOOKUP(LEFT($A122,LEN(A122)-1)*1,Master!$D$30:$G$229,4,FALSE)</f>
        <v xml:space="preserve">Transferi institucijama, pojedincima, nevladinom i javnom sektoru </v>
      </c>
      <c r="C122" s="621"/>
      <c r="D122" s="621"/>
      <c r="E122" s="621"/>
      <c r="F122" s="621"/>
      <c r="G122" s="510">
        <v>15240044.790000003</v>
      </c>
      <c r="H122" s="510">
        <v>42312688.720000006</v>
      </c>
      <c r="I122" s="510">
        <v>37042176.149999999</v>
      </c>
      <c r="J122" s="510">
        <v>34958741.610000007</v>
      </c>
      <c r="K122" s="510">
        <v>37678023.580000006</v>
      </c>
      <c r="L122" s="510">
        <v>34190161.800000004</v>
      </c>
      <c r="M122" s="510">
        <v>45619705.909999996</v>
      </c>
      <c r="N122" s="510">
        <v>34678448.779999994</v>
      </c>
      <c r="O122" s="510">
        <v>37482586.479999997</v>
      </c>
      <c r="P122" s="510">
        <v>33245009.419999998</v>
      </c>
      <c r="Q122" s="510">
        <v>32522248.050000001</v>
      </c>
      <c r="R122" s="510">
        <v>30088892.829999998</v>
      </c>
      <c r="S122" s="546">
        <f>+SUM(G122:R122)</f>
        <v>415058728.12000006</v>
      </c>
      <c r="T122" s="522">
        <f t="shared" si="48"/>
        <v>5.9007496178561283</v>
      </c>
      <c r="V122" s="488"/>
    </row>
    <row r="123" spans="1:22">
      <c r="A123" s="105" t="str">
        <f t="shared" si="57"/>
        <v>44p</v>
      </c>
      <c r="B123" s="620" t="str">
        <f>+VLOOKUP(LEFT($A123,LEN(A123)-1)*1,Master!$D$30:$G$229,4,FALSE)</f>
        <v>Kapitalni izdaci</v>
      </c>
      <c r="C123" s="621"/>
      <c r="D123" s="621"/>
      <c r="E123" s="621"/>
      <c r="F123" s="621"/>
      <c r="G123" s="510">
        <v>4245371.3800000018</v>
      </c>
      <c r="H123" s="510">
        <v>15541125.270000001</v>
      </c>
      <c r="I123" s="510">
        <v>15136141.080000002</v>
      </c>
      <c r="J123" s="510">
        <v>17196664.280000001</v>
      </c>
      <c r="K123" s="510">
        <v>17164187.290000007</v>
      </c>
      <c r="L123" s="510">
        <v>19765724.190000005</v>
      </c>
      <c r="M123" s="510">
        <v>23529457.550000001</v>
      </c>
      <c r="N123" s="510">
        <v>19891820.990000002</v>
      </c>
      <c r="O123" s="510">
        <v>23471698.850000001</v>
      </c>
      <c r="P123" s="510">
        <v>21978883.32</v>
      </c>
      <c r="Q123" s="510">
        <v>43693719.969999999</v>
      </c>
      <c r="R123" s="510">
        <v>52895384.790000007</v>
      </c>
      <c r="S123" s="546">
        <f>+SUM(G123:R123)</f>
        <v>274510178.95999998</v>
      </c>
      <c r="T123" s="522">
        <f t="shared" si="48"/>
        <v>3.9026184100085302</v>
      </c>
      <c r="U123" s="292"/>
      <c r="V123" s="488"/>
    </row>
    <row r="124" spans="1:22">
      <c r="A124" s="105" t="str">
        <f t="shared" si="57"/>
        <v>451p</v>
      </c>
      <c r="B124" s="612" t="str">
        <f>+VLOOKUP(LEFT($A124,LEN(A124)-1)*1,Master!$D$30:$G$229,4,FALSE)</f>
        <v>Pozajmice i krediti</v>
      </c>
      <c r="C124" s="613"/>
      <c r="D124" s="613"/>
      <c r="E124" s="613"/>
      <c r="F124" s="613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12" t="str">
        <f>+VLOOKUP(LEFT($A125,LEN(A125)-1)*1,Master!$D$30:$G$229,4,FALSE)</f>
        <v>Rezerve</v>
      </c>
      <c r="C125" s="613"/>
      <c r="D125" s="613"/>
      <c r="E125" s="613"/>
      <c r="F125" s="613"/>
      <c r="G125" s="501">
        <v>0</v>
      </c>
      <c r="H125" s="501">
        <v>661809.78</v>
      </c>
      <c r="I125" s="501">
        <v>5125404.93</v>
      </c>
      <c r="J125" s="501">
        <v>11177691.52</v>
      </c>
      <c r="K125" s="501">
        <v>3559533.49</v>
      </c>
      <c r="L125" s="501">
        <v>1492299.3</v>
      </c>
      <c r="M125" s="501">
        <v>14834317.01</v>
      </c>
      <c r="N125" s="501">
        <v>3648971.46</v>
      </c>
      <c r="O125" s="501">
        <v>33326.18</v>
      </c>
      <c r="P125" s="501">
        <v>2096508.51</v>
      </c>
      <c r="Q125" s="501">
        <v>224133.9</v>
      </c>
      <c r="R125" s="501">
        <v>18026003.920000002</v>
      </c>
      <c r="S125" s="101">
        <f t="shared" si="47"/>
        <v>60880000</v>
      </c>
      <c r="T125" s="436">
        <f t="shared" si="48"/>
        <v>0.86551037816320719</v>
      </c>
      <c r="U125" s="292"/>
      <c r="V125" s="488"/>
    </row>
    <row r="126" spans="1:22">
      <c r="A126" s="105" t="str">
        <f t="shared" si="57"/>
        <v>462p</v>
      </c>
      <c r="B126" s="612" t="str">
        <f>+VLOOKUP(LEFT($A126,LEN(A126)-1)*1,Master!$D$30:$G$229,4,FALSE)</f>
        <v>Otplata garancija</v>
      </c>
      <c r="C126" s="613"/>
      <c r="D126" s="613"/>
      <c r="E126" s="613"/>
      <c r="F126" s="613"/>
      <c r="G126" s="499">
        <v>2</v>
      </c>
      <c r="H126" s="499">
        <v>0</v>
      </c>
      <c r="I126" s="499">
        <v>0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</v>
      </c>
      <c r="P126" s="499">
        <v>0</v>
      </c>
      <c r="Q126" s="499">
        <v>0</v>
      </c>
      <c r="R126" s="499">
        <v>0</v>
      </c>
      <c r="S126" s="101">
        <f t="shared" si="47"/>
        <v>2</v>
      </c>
      <c r="T126" s="436">
        <f t="shared" si="48"/>
        <v>2.8433323855558715E-8</v>
      </c>
      <c r="U126" s="292"/>
      <c r="V126" s="488"/>
    </row>
    <row r="127" spans="1:22">
      <c r="A127" s="106" t="str">
        <f t="shared" si="57"/>
        <v>4630p</v>
      </c>
      <c r="B127" s="612" t="str">
        <f>+VLOOKUP(LEFT($A127,LEN(A127)-1)*1,Master!$D$30:$G$229,4,FALSE)</f>
        <v>Otplata obaveza iz prethodnog perioda</v>
      </c>
      <c r="C127" s="613"/>
      <c r="D127" s="613"/>
      <c r="E127" s="613"/>
      <c r="F127" s="613"/>
      <c r="G127" s="502">
        <v>2111459.9700000007</v>
      </c>
      <c r="H127" s="501">
        <v>2745013.1300000013</v>
      </c>
      <c r="I127" s="501">
        <v>1925847.0999999996</v>
      </c>
      <c r="J127" s="501">
        <v>1723078.81</v>
      </c>
      <c r="K127" s="501">
        <v>1939820.9100000001</v>
      </c>
      <c r="L127" s="501">
        <v>2017566.2100000002</v>
      </c>
      <c r="M127" s="501">
        <v>1726287.08</v>
      </c>
      <c r="N127" s="501">
        <v>1696969.05</v>
      </c>
      <c r="O127" s="501">
        <v>1705562.68</v>
      </c>
      <c r="P127" s="501">
        <v>1749695.04</v>
      </c>
      <c r="Q127" s="501">
        <v>3336613.3200000012</v>
      </c>
      <c r="R127" s="501">
        <v>2678182.65</v>
      </c>
      <c r="S127" s="92">
        <f>+SUM(G127:R127)</f>
        <v>25356095.950000003</v>
      </c>
      <c r="T127" s="444">
        <f t="shared" si="48"/>
        <v>0.36047904392948538</v>
      </c>
      <c r="U127" s="292"/>
      <c r="V127" s="488"/>
    </row>
    <row r="128" spans="1:22" ht="13.5" thickBot="1">
      <c r="A128" s="105" t="str">
        <f t="shared" si="57"/>
        <v>1005p</v>
      </c>
      <c r="B128" s="612" t="str">
        <f>+VLOOKUP(LEFT($A128,LEN(A128)-1)*1,Master!$D$30:$G$229,4,FALSE)</f>
        <v>Neto povećanje obaveza</v>
      </c>
      <c r="C128" s="613"/>
      <c r="D128" s="613"/>
      <c r="E128" s="613"/>
      <c r="F128" s="613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14" t="str">
        <f>+VLOOKUP(LEFT($A129,LEN(A129)-1)*1,Master!$D$30:$G$226,4,FALSE)</f>
        <v>Suficit / deficit</v>
      </c>
      <c r="C129" s="615"/>
      <c r="D129" s="615"/>
      <c r="E129" s="615"/>
      <c r="F129" s="615"/>
      <c r="G129" s="504">
        <f t="shared" ref="G129:L129" si="58">+G86-G105</f>
        <v>-36146557.659956276</v>
      </c>
      <c r="H129" s="505">
        <f t="shared" si="58"/>
        <v>-74447676.311863124</v>
      </c>
      <c r="I129" s="504">
        <f t="shared" si="58"/>
        <v>-12068757.688402921</v>
      </c>
      <c r="J129" s="504">
        <f t="shared" si="58"/>
        <v>20893081.239711642</v>
      </c>
      <c r="K129" s="504">
        <f t="shared" si="58"/>
        <v>-39592021.676653296</v>
      </c>
      <c r="L129" s="504">
        <f t="shared" si="58"/>
        <v>-12072350.58492884</v>
      </c>
      <c r="M129" s="504">
        <f t="shared" ref="M129:R129" si="59">+M86-M105</f>
        <v>-24860342.259742588</v>
      </c>
      <c r="N129" s="504">
        <f t="shared" si="59"/>
        <v>40038775.337930918</v>
      </c>
      <c r="O129" s="504">
        <f t="shared" si="59"/>
        <v>8458346.606847465</v>
      </c>
      <c r="P129" s="504">
        <f t="shared" si="59"/>
        <v>-5543353.6915084124</v>
      </c>
      <c r="Q129" s="504">
        <f t="shared" si="59"/>
        <v>-54197919.639137417</v>
      </c>
      <c r="R129" s="504">
        <f t="shared" si="59"/>
        <v>-46074827.252296984</v>
      </c>
      <c r="S129" s="550">
        <f t="shared" si="47"/>
        <v>-235613603.57999983</v>
      </c>
      <c r="T129" s="531">
        <f t="shared" si="48"/>
        <v>-3.3496389476826813</v>
      </c>
      <c r="U129" s="292"/>
      <c r="V129" s="292"/>
    </row>
    <row r="130" spans="1:22" ht="13.5" thickBot="1">
      <c r="A130" s="106" t="str">
        <f t="shared" si="57"/>
        <v>1001p</v>
      </c>
      <c r="B130" s="616" t="str">
        <f>+VLOOKUP(LEFT($A130,LEN(A130)-1)*1,Master!$D$30:$G$226,4,FALSE)</f>
        <v>Primarni suficit/deficit</v>
      </c>
      <c r="C130" s="617"/>
      <c r="D130" s="617"/>
      <c r="E130" s="617"/>
      <c r="F130" s="617"/>
      <c r="G130" s="506">
        <f>+G129+G112</f>
        <v>-28283051.319956277</v>
      </c>
      <c r="H130" s="506">
        <f t="shared" ref="H130:L130" si="60">+H129+H112</f>
        <v>-70594155.921863124</v>
      </c>
      <c r="I130" s="506">
        <f t="shared" si="60"/>
        <v>-5066145.1984029189</v>
      </c>
      <c r="J130" s="506">
        <f t="shared" si="60"/>
        <v>46872596.959711641</v>
      </c>
      <c r="K130" s="506">
        <f t="shared" si="60"/>
        <v>-24894142.436653294</v>
      </c>
      <c r="L130" s="506">
        <f t="shared" si="60"/>
        <v>-6212603.8249288388</v>
      </c>
      <c r="M130" s="506">
        <f t="shared" ref="M130:R130" si="61">+M129+M112</f>
        <v>-17480505.829742588</v>
      </c>
      <c r="N130" s="506">
        <f t="shared" si="61"/>
        <v>43576559.957930915</v>
      </c>
      <c r="O130" s="506">
        <f t="shared" si="61"/>
        <v>14009039.576847468</v>
      </c>
      <c r="P130" s="506">
        <f t="shared" si="61"/>
        <v>11517430.208491586</v>
      </c>
      <c r="Q130" s="506">
        <f t="shared" si="61"/>
        <v>-41243411.199137419</v>
      </c>
      <c r="R130" s="506">
        <f t="shared" si="61"/>
        <v>-19421195.732296981</v>
      </c>
      <c r="S130" s="550">
        <f t="shared" si="47"/>
        <v>-97219584.759999812</v>
      </c>
      <c r="T130" s="531">
        <f t="shared" si="48"/>
        <v>-1.3821379692920075</v>
      </c>
      <c r="U130" s="292"/>
      <c r="V130" s="292"/>
    </row>
    <row r="131" spans="1:22">
      <c r="A131" s="106" t="str">
        <f t="shared" si="57"/>
        <v>46p</v>
      </c>
      <c r="B131" s="618" t="str">
        <f>+VLOOKUP(LEFT($A131,LEN(A131)-1)*1,Master!$D$30:$G$226,4,FALSE)</f>
        <v>Otplata dugova</v>
      </c>
      <c r="C131" s="619"/>
      <c r="D131" s="619"/>
      <c r="E131" s="619"/>
      <c r="F131" s="619"/>
      <c r="G131" s="507">
        <f>+SUM(G132:G133)</f>
        <v>35630564.469999999</v>
      </c>
      <c r="H131" s="507">
        <f t="shared" ref="H131:L131" si="62">+SUM(H132:H133)</f>
        <v>7154150.5</v>
      </c>
      <c r="I131" s="507">
        <f t="shared" si="62"/>
        <v>60631846.180000007</v>
      </c>
      <c r="J131" s="507">
        <f t="shared" si="62"/>
        <v>108888546.09</v>
      </c>
      <c r="K131" s="507">
        <f t="shared" si="62"/>
        <v>55363179.799999997</v>
      </c>
      <c r="L131" s="507">
        <f t="shared" si="62"/>
        <v>53121043.689999998</v>
      </c>
      <c r="M131" s="508">
        <f t="shared" ref="M131" si="63">+SUM(M132:M133)</f>
        <v>36154424.719999999</v>
      </c>
      <c r="N131" s="507">
        <f t="shared" ref="N131:R131" si="64">+SUM(N132:N133)</f>
        <v>7862619.1600000001</v>
      </c>
      <c r="O131" s="507">
        <f t="shared" si="64"/>
        <v>45456209.350000001</v>
      </c>
      <c r="P131" s="507">
        <f t="shared" si="64"/>
        <v>15064801.279999999</v>
      </c>
      <c r="Q131" s="507">
        <f t="shared" si="64"/>
        <v>55442433.469999999</v>
      </c>
      <c r="R131" s="507">
        <f t="shared" si="64"/>
        <v>37949577.590000004</v>
      </c>
      <c r="S131" s="551">
        <f t="shared" si="47"/>
        <v>518719396.30000007</v>
      </c>
      <c r="T131" s="533">
        <f t="shared" si="48"/>
        <v>7.3744582925789031</v>
      </c>
      <c r="U131" s="292"/>
      <c r="V131" s="292"/>
    </row>
    <row r="132" spans="1:22">
      <c r="A132" s="106" t="str">
        <f t="shared" si="57"/>
        <v>4611p</v>
      </c>
      <c r="B132" s="610" t="str">
        <f>+VLOOKUP(LEFT($A132,LEN(A132)-1)*1,Master!$D$30:$G$226,4,FALSE)</f>
        <v>Otplata hartija od vrijednosti i kredita rezidentima</v>
      </c>
      <c r="C132" s="611"/>
      <c r="D132" s="611"/>
      <c r="E132" s="611"/>
      <c r="F132" s="611"/>
      <c r="G132" s="502">
        <v>2501123.7999999998</v>
      </c>
      <c r="H132" s="502">
        <v>2954258.2399999998</v>
      </c>
      <c r="I132" s="502">
        <v>23478199.010000002</v>
      </c>
      <c r="J132" s="502">
        <v>94983890.560000002</v>
      </c>
      <c r="K132" s="502">
        <v>9862224.459999999</v>
      </c>
      <c r="L132" s="502">
        <v>30959521.580000002</v>
      </c>
      <c r="M132" s="503">
        <v>2591776.0299999998</v>
      </c>
      <c r="N132" s="503">
        <v>3040506.12</v>
      </c>
      <c r="O132" s="503">
        <v>13592239.709999999</v>
      </c>
      <c r="P132" s="503">
        <v>2636972.52</v>
      </c>
      <c r="Q132" s="503">
        <v>9977461.7899999991</v>
      </c>
      <c r="R132" s="503">
        <v>16241222.48</v>
      </c>
      <c r="S132" s="92">
        <f t="shared" si="47"/>
        <v>212819396.30000001</v>
      </c>
      <c r="T132" s="444">
        <f t="shared" si="48"/>
        <v>3.0255814088711972</v>
      </c>
      <c r="U132" s="292"/>
      <c r="V132" s="292"/>
    </row>
    <row r="133" spans="1:22" ht="13.5" thickBot="1">
      <c r="A133" s="106" t="str">
        <f t="shared" si="57"/>
        <v>4612p</v>
      </c>
      <c r="B133" s="612" t="str">
        <f>+VLOOKUP(LEFT($A133,LEN(A133)-1)*1,Master!$D$30:$G$226,4,FALSE)</f>
        <v>Otplata hartija od vrijednosti i kredita nerezidentima</v>
      </c>
      <c r="C133" s="613"/>
      <c r="D133" s="613"/>
      <c r="E133" s="613"/>
      <c r="F133" s="613"/>
      <c r="G133" s="502">
        <v>33129440.670000002</v>
      </c>
      <c r="H133" s="502">
        <v>4199892.26</v>
      </c>
      <c r="I133" s="502">
        <v>37153647.170000002</v>
      </c>
      <c r="J133" s="502">
        <v>13904655.529999999</v>
      </c>
      <c r="K133" s="502">
        <v>45500955.339999996</v>
      </c>
      <c r="L133" s="502">
        <v>22161522.109999999</v>
      </c>
      <c r="M133" s="503">
        <v>33562648.689999998</v>
      </c>
      <c r="N133" s="503">
        <v>4822113.04</v>
      </c>
      <c r="O133" s="503">
        <v>31863969.640000001</v>
      </c>
      <c r="P133" s="503">
        <v>12427828.76</v>
      </c>
      <c r="Q133" s="503">
        <v>45464971.68</v>
      </c>
      <c r="R133" s="503">
        <v>21708355.109999999</v>
      </c>
      <c r="S133" s="92">
        <f t="shared" si="47"/>
        <v>305900000</v>
      </c>
      <c r="T133" s="444">
        <f t="shared" si="48"/>
        <v>4.3488768837077059</v>
      </c>
      <c r="U133" s="292"/>
      <c r="V133" s="292"/>
    </row>
    <row r="134" spans="1:22" ht="13.5" thickBot="1">
      <c r="A134" s="106" t="str">
        <f t="shared" si="57"/>
        <v>4418p</v>
      </c>
      <c r="B134" s="606" t="str">
        <f>+VLOOKUP(LEFT($A134,LEN(A134)-1)*1,Master!$D$30:$G$226,4,FALSE)</f>
        <v>Izdaci za kupovinu hartija od vrijednosti</v>
      </c>
      <c r="C134" s="607"/>
      <c r="D134" s="607"/>
      <c r="E134" s="607"/>
      <c r="F134" s="607"/>
      <c r="G134" s="504">
        <v>0.16</v>
      </c>
      <c r="H134" s="504">
        <v>0.16</v>
      </c>
      <c r="I134" s="504">
        <v>0.16</v>
      </c>
      <c r="J134" s="504">
        <v>1200000.1599999999</v>
      </c>
      <c r="K134" s="504">
        <v>0.16</v>
      </c>
      <c r="L134" s="504">
        <v>1000000.16</v>
      </c>
      <c r="M134" s="504">
        <v>0.16</v>
      </c>
      <c r="N134" s="504">
        <v>0.16</v>
      </c>
      <c r="O134" s="504">
        <v>0.16</v>
      </c>
      <c r="P134" s="504">
        <v>0.16</v>
      </c>
      <c r="Q134" s="504">
        <v>0.16</v>
      </c>
      <c r="R134" s="504">
        <v>79000.239999999991</v>
      </c>
      <c r="S134" s="550">
        <f t="shared" si="47"/>
        <v>2279002.0000000009</v>
      </c>
      <c r="T134" s="531">
        <f t="shared" si="48"/>
        <v>3.2399800966733026E-2</v>
      </c>
      <c r="U134" s="292"/>
      <c r="V134" s="292"/>
    </row>
    <row r="135" spans="1:22" ht="13.5" thickBot="1">
      <c r="A135" s="106" t="s">
        <v>856</v>
      </c>
      <c r="B135" s="606" t="s">
        <v>113</v>
      </c>
      <c r="C135" s="607"/>
      <c r="D135" s="607"/>
      <c r="E135" s="607"/>
      <c r="F135" s="607"/>
      <c r="G135" s="500">
        <v>6.24</v>
      </c>
      <c r="H135" s="500">
        <v>1111649.98</v>
      </c>
      <c r="I135" s="500">
        <v>0.24</v>
      </c>
      <c r="J135" s="500">
        <v>491625.72</v>
      </c>
      <c r="K135" s="500">
        <v>524490.84</v>
      </c>
      <c r="L135" s="500">
        <v>453253.16</v>
      </c>
      <c r="M135" s="500">
        <v>460435.14</v>
      </c>
      <c r="N135" s="500">
        <v>0.24</v>
      </c>
      <c r="O135" s="500">
        <v>497757.56</v>
      </c>
      <c r="P135" s="500">
        <v>446294.08999999997</v>
      </c>
      <c r="Q135" s="500">
        <v>0.24</v>
      </c>
      <c r="R135" s="500">
        <v>514495.55</v>
      </c>
      <c r="S135" s="550">
        <f t="shared" si="47"/>
        <v>4500009.0000000009</v>
      </c>
      <c r="T135" s="531">
        <f t="shared" si="48"/>
        <v>6.3975106624964473E-2</v>
      </c>
      <c r="U135" s="292"/>
      <c r="V135" s="292"/>
    </row>
    <row r="136" spans="1:22" ht="13.5" thickBot="1">
      <c r="A136" s="106" t="str">
        <f>+CONCATENATE(A60,"p")</f>
        <v>1002p</v>
      </c>
      <c r="B136" s="608" t="str">
        <f>+VLOOKUP(LEFT($A136,LEN(A136)-1)*1,Master!$D$30:$G$226,4,FALSE)</f>
        <v>Nedostajuća sredstva</v>
      </c>
      <c r="C136" s="609"/>
      <c r="D136" s="609"/>
      <c r="E136" s="609"/>
      <c r="F136" s="609"/>
      <c r="G136" s="509">
        <f>+G129-G131-G134-G135</f>
        <v>-71777128.529956266</v>
      </c>
      <c r="H136" s="509">
        <f t="shared" ref="H136:R136" si="65">+H129-H131-H134-H135</f>
        <v>-82713476.951863125</v>
      </c>
      <c r="I136" s="509">
        <f t="shared" si="65"/>
        <v>-72700604.268402919</v>
      </c>
      <c r="J136" s="509">
        <f t="shared" si="65"/>
        <v>-89687090.730288357</v>
      </c>
      <c r="K136" s="509">
        <f t="shared" si="65"/>
        <v>-95479692.476653293</v>
      </c>
      <c r="L136" s="509">
        <f t="shared" si="65"/>
        <v>-66646647.594928831</v>
      </c>
      <c r="M136" s="509">
        <f t="shared" si="65"/>
        <v>-61475202.279742584</v>
      </c>
      <c r="N136" s="509">
        <f t="shared" si="65"/>
        <v>32176155.777930919</v>
      </c>
      <c r="O136" s="509">
        <f t="shared" si="65"/>
        <v>-37495620.463152535</v>
      </c>
      <c r="P136" s="509">
        <f t="shared" si="65"/>
        <v>-21054449.221508414</v>
      </c>
      <c r="Q136" s="509">
        <f t="shared" si="65"/>
        <v>-109640353.50913741</v>
      </c>
      <c r="R136" s="509">
        <f t="shared" si="65"/>
        <v>-84617900.632296979</v>
      </c>
      <c r="S136" s="552">
        <f t="shared" si="47"/>
        <v>-761112010.87999988</v>
      </c>
      <c r="T136" s="535">
        <f t="shared" si="48"/>
        <v>-10.820472147853282</v>
      </c>
      <c r="U136" s="292"/>
      <c r="V136" s="292"/>
    </row>
    <row r="137" spans="1:22" ht="13.5" thickBot="1">
      <c r="A137" s="106" t="str">
        <f>+CONCATENATE(A61,"p")</f>
        <v>1003p</v>
      </c>
      <c r="B137" s="606" t="str">
        <f>+VLOOKUP(LEFT($A137,LEN(A137)-1)*1,Master!$D$30:$G$226,4,FALSE)</f>
        <v>Finansiranje</v>
      </c>
      <c r="C137" s="607"/>
      <c r="D137" s="607"/>
      <c r="E137" s="607"/>
      <c r="F137" s="607"/>
      <c r="G137" s="504">
        <f t="shared" ref="G137:L137" si="66">+SUM(G138:G142)</f>
        <v>71777128.529956266</v>
      </c>
      <c r="H137" s="504">
        <f t="shared" si="66"/>
        <v>82713476.951863125</v>
      </c>
      <c r="I137" s="504">
        <f t="shared" si="66"/>
        <v>72700604.268402934</v>
      </c>
      <c r="J137" s="504">
        <f t="shared" si="66"/>
        <v>89687090.730288357</v>
      </c>
      <c r="K137" s="504">
        <f t="shared" si="66"/>
        <v>95479692.476653293</v>
      </c>
      <c r="L137" s="504">
        <f t="shared" si="66"/>
        <v>66646647.594928831</v>
      </c>
      <c r="M137" s="504">
        <f t="shared" ref="M137:R137" si="67">+SUM(M138:M142)</f>
        <v>61475202.279742584</v>
      </c>
      <c r="N137" s="504">
        <f t="shared" si="67"/>
        <v>-32176155.777930923</v>
      </c>
      <c r="O137" s="504">
        <f t="shared" si="67"/>
        <v>37495620.463152535</v>
      </c>
      <c r="P137" s="504">
        <f t="shared" si="67"/>
        <v>21054449.221508414</v>
      </c>
      <c r="Q137" s="504">
        <f t="shared" si="67"/>
        <v>109640353.50913741</v>
      </c>
      <c r="R137" s="504">
        <f t="shared" si="67"/>
        <v>84617900.632296979</v>
      </c>
      <c r="S137" s="553">
        <f t="shared" si="47"/>
        <v>761112010.87999988</v>
      </c>
      <c r="T137" s="537">
        <f t="shared" si="48"/>
        <v>10.820472147853282</v>
      </c>
      <c r="U137" s="292"/>
      <c r="V137" s="292"/>
    </row>
    <row r="138" spans="1:22">
      <c r="A138" s="106" t="str">
        <f>+CONCATENATE(A62,"p")</f>
        <v>7511p</v>
      </c>
      <c r="B138" s="610" t="str">
        <f>+VLOOKUP(LEFT($A138,LEN(A138)-1)*1,Master!$D$30:$G$226,4,FALSE)</f>
        <v>Pozajmice i krediti od domaćih izvora</v>
      </c>
      <c r="C138" s="611"/>
      <c r="D138" s="611"/>
      <c r="E138" s="611"/>
      <c r="F138" s="611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12" t="str">
        <f>+VLOOKUP(LEFT($A139,LEN(A139)-1)*1,Master!$D$30:$G$226,4,FALSE)</f>
        <v>Pozajmice i krediti od inostranih izvora</v>
      </c>
      <c r="C139" s="613"/>
      <c r="D139" s="613"/>
      <c r="E139" s="613"/>
      <c r="F139" s="613"/>
      <c r="G139" s="502">
        <v>0</v>
      </c>
      <c r="H139" s="502">
        <v>0</v>
      </c>
      <c r="I139" s="502">
        <v>687000000</v>
      </c>
      <c r="J139" s="502">
        <v>0</v>
      </c>
      <c r="K139" s="502">
        <v>0</v>
      </c>
      <c r="L139" s="502">
        <v>0</v>
      </c>
      <c r="M139" s="502">
        <v>180000000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47"/>
        <v>867000000</v>
      </c>
      <c r="T139" s="444">
        <f t="shared" si="48"/>
        <v>12.325845891384702</v>
      </c>
      <c r="U139" s="292"/>
      <c r="V139" s="292"/>
    </row>
    <row r="140" spans="1:22">
      <c r="A140" s="106" t="str">
        <f>+CONCATENATE(A64,"p")</f>
        <v>72p</v>
      </c>
      <c r="B140" s="612" t="str">
        <f>+VLOOKUP(LEFT($A140,LEN(A140)-1)*1,Master!$D$30:$G$226,4,FALSE)</f>
        <v>Primici od prodaje imovine</v>
      </c>
      <c r="C140" s="613"/>
      <c r="D140" s="613"/>
      <c r="E140" s="613"/>
      <c r="F140" s="613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47"/>
        <v>6000000</v>
      </c>
      <c r="T140" s="444">
        <f t="shared" si="48"/>
        <v>8.5299971566676139E-2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47"/>
        <v>9747904</v>
      </c>
      <c r="T141" s="444">
        <f t="shared" si="48"/>
        <v>0.13858265567244812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71195606.193441555</v>
      </c>
      <c r="H142" s="86">
        <f t="shared" ref="H142:R142" si="69">-H136-SUM(H138:H141)</f>
        <v>81767503.838747412</v>
      </c>
      <c r="I142" s="86">
        <f t="shared" si="69"/>
        <v>-615102543.24089813</v>
      </c>
      <c r="J142" s="86">
        <f t="shared" si="69"/>
        <v>88775419.438368663</v>
      </c>
      <c r="K142" s="86">
        <f t="shared" si="69"/>
        <v>94026473.66647625</v>
      </c>
      <c r="L142" s="86">
        <f t="shared" si="69"/>
        <v>64615717.002232969</v>
      </c>
      <c r="M142" s="86">
        <f t="shared" si="69"/>
        <v>-119183517.58451484</v>
      </c>
      <c r="N142" s="86">
        <f t="shared" si="69"/>
        <v>-34203608.743059181</v>
      </c>
      <c r="O142" s="86">
        <f t="shared" si="69"/>
        <v>36779183.653442524</v>
      </c>
      <c r="P142" s="86">
        <f t="shared" si="69"/>
        <v>20291262.531748489</v>
      </c>
      <c r="Q142" s="86">
        <f t="shared" si="69"/>
        <v>107436761.03342117</v>
      </c>
      <c r="R142" s="86">
        <f t="shared" si="69"/>
        <v>81965849.090592906</v>
      </c>
      <c r="S142" s="94">
        <f>+SUM(G142:R142)</f>
        <v>-121635893.12000026</v>
      </c>
      <c r="T142" s="448">
        <f t="shared" si="48"/>
        <v>-1.7292563707705468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ooouEhtNlyofHyUp7+KPgolTD+RTmfXlYfpb48Y0FZ7fqHwaQijhNuRePMwLWSVzlD2CVjl8km5cjutoYA83rQ==" saltValue="VHILDL+QTO0egggPPXbLKA==" spinCount="100000" sheet="1" objects="1" scenarios="1"/>
  <mergeCells count="117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50"/>
  <sheetViews>
    <sheetView zoomScale="90" zoomScaleNormal="90" workbookViewId="0">
      <pane ySplit="1" topLeftCell="A2" activePane="bottomLeft" state="frozen"/>
      <selection pane="bottomLeft" activeCell="I19" sqref="I19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86" t="str">
        <f>+Master!G252</f>
        <v>Ostvarenje budžeta</v>
      </c>
      <c r="C7" s="587"/>
      <c r="D7" s="587"/>
      <c r="E7" s="587"/>
      <c r="F7" s="587"/>
      <c r="G7" s="595">
        <v>2023</v>
      </c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9"/>
      <c r="S7" s="220" t="str">
        <f>+Master!G249</f>
        <v>BDP</v>
      </c>
      <c r="T7" s="221">
        <v>6847118000</v>
      </c>
    </row>
    <row r="8" spans="1:24" ht="16.5" customHeight="1">
      <c r="A8" s="129"/>
      <c r="B8" s="588"/>
      <c r="C8" s="589"/>
      <c r="D8" s="589"/>
      <c r="E8" s="589"/>
      <c r="F8" s="590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95" t="str">
        <f>+Master!G247</f>
        <v>Jan - Dec</v>
      </c>
      <c r="T8" s="599"/>
    </row>
    <row r="9" spans="1:24" ht="13.5" thickBot="1">
      <c r="A9" s="129"/>
      <c r="B9" s="591"/>
      <c r="C9" s="592"/>
      <c r="D9" s="592"/>
      <c r="E9" s="592"/>
      <c r="F9" s="59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66" t="str">
        <f>+VLOOKUP($A10,Master!$D$30:$G$226,4,FALSE)</f>
        <v>Prihodi budžeta</v>
      </c>
      <c r="C10" s="567"/>
      <c r="D10" s="567"/>
      <c r="E10" s="567"/>
      <c r="F10" s="567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252458486.69999999</v>
      </c>
      <c r="M10" s="136">
        <f t="shared" ref="M10:R10" si="2">+M11+M19+SUM(M24:M28)</f>
        <v>207966597.42000002</v>
      </c>
      <c r="N10" s="136">
        <f t="shared" si="2"/>
        <v>243418911.19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188891736.35999998</v>
      </c>
      <c r="R10" s="136">
        <f t="shared" si="2"/>
        <v>253804047.09000003</v>
      </c>
      <c r="S10" s="224">
        <f>+SUM(G10:R10)</f>
        <v>2566458309.9500003</v>
      </c>
      <c r="T10" s="434">
        <f>+S10/$T$7*100</f>
        <v>37.482314602289613</v>
      </c>
      <c r="V10" s="493"/>
    </row>
    <row r="11" spans="1:24">
      <c r="A11" s="135">
        <v>711</v>
      </c>
      <c r="B11" s="556" t="str">
        <f>+VLOOKUP($A11,Master!$D$30:$G$226,4,FALSE)</f>
        <v>Porezi</v>
      </c>
      <c r="C11" s="557"/>
      <c r="D11" s="557"/>
      <c r="E11" s="557"/>
      <c r="F11" s="557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24.331645511732088</v>
      </c>
      <c r="V11" s="276"/>
    </row>
    <row r="12" spans="1:24">
      <c r="A12" s="135">
        <v>7111</v>
      </c>
      <c r="B12" s="558" t="str">
        <f>+VLOOKUP($A12,Master!$D$30:$G$226,4,FALSE)</f>
        <v>Porez na dohodak fizičkih lica</v>
      </c>
      <c r="C12" s="559"/>
      <c r="D12" s="559"/>
      <c r="E12" s="559"/>
      <c r="F12" s="559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0.96992035189111681</v>
      </c>
    </row>
    <row r="13" spans="1:24">
      <c r="A13" s="135">
        <v>7112</v>
      </c>
      <c r="B13" s="558" t="str">
        <f>+VLOOKUP($A13,Master!$D$30:$G$226,4,FALSE)</f>
        <v>Porez na dobit pravnih lica</v>
      </c>
      <c r="C13" s="559"/>
      <c r="D13" s="559"/>
      <c r="E13" s="559"/>
      <c r="F13" s="559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2.2094620900355451</v>
      </c>
      <c r="V13" s="276"/>
      <c r="W13" s="276"/>
      <c r="X13" s="494"/>
    </row>
    <row r="14" spans="1:24">
      <c r="A14" s="135">
        <v>7113</v>
      </c>
      <c r="B14" s="558" t="str">
        <f>+VLOOKUP($A14,Master!$D$30:$G$226,4,FALSE)</f>
        <v>Porez na promet nepokretnosti</v>
      </c>
      <c r="C14" s="559"/>
      <c r="D14" s="559"/>
      <c r="E14" s="559"/>
      <c r="F14" s="559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558" t="str">
        <f>+VLOOKUP($A15,Master!$D$30:$G$226,4,FALSE)</f>
        <v>Porez na dodatu vrijednost</v>
      </c>
      <c r="C15" s="559"/>
      <c r="D15" s="559"/>
      <c r="E15" s="559"/>
      <c r="F15" s="559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15.470261757866597</v>
      </c>
      <c r="V15" s="276"/>
      <c r="W15" s="276"/>
      <c r="X15" s="494"/>
    </row>
    <row r="16" spans="1:24">
      <c r="A16" s="135">
        <v>7115</v>
      </c>
      <c r="B16" s="558" t="str">
        <f>+VLOOKUP($A16,Master!$D$30:$G$226,4,FALSE)</f>
        <v>Akcize</v>
      </c>
      <c r="C16" s="559"/>
      <c r="D16" s="559"/>
      <c r="E16" s="559"/>
      <c r="F16" s="559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4.7190897682791499</v>
      </c>
      <c r="V16" s="276"/>
      <c r="W16" s="276"/>
      <c r="X16" s="494"/>
    </row>
    <row r="17" spans="1:24">
      <c r="A17" s="135">
        <v>7116</v>
      </c>
      <c r="B17" s="558" t="str">
        <f>+VLOOKUP($A17,Master!$D$30:$G$226,4,FALSE)</f>
        <v>Porez na međunarodnu trgovinu i transakcije</v>
      </c>
      <c r="C17" s="559"/>
      <c r="D17" s="559"/>
      <c r="E17" s="559"/>
      <c r="F17" s="559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0.76223764085853352</v>
      </c>
      <c r="V17" s="276"/>
      <c r="W17" s="276"/>
      <c r="X17" s="494"/>
    </row>
    <row r="18" spans="1:24">
      <c r="A18" s="135">
        <v>7118</v>
      </c>
      <c r="B18" s="558" t="str">
        <f>+VLOOKUP($A18,Master!$D$30:$G$226,4,FALSE)</f>
        <v>Ostali državni porezi</v>
      </c>
      <c r="C18" s="559"/>
      <c r="D18" s="559"/>
      <c r="E18" s="559"/>
      <c r="F18" s="559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0.20067390280114938</v>
      </c>
      <c r="V18" s="276"/>
      <c r="W18" s="276"/>
      <c r="X18" s="494"/>
    </row>
    <row r="19" spans="1:24">
      <c r="A19" s="135">
        <v>712</v>
      </c>
      <c r="B19" s="560" t="str">
        <f>+VLOOKUP($A19,Master!$D$30:$G$226,4,FALSE)</f>
        <v>Doprinosi</v>
      </c>
      <c r="C19" s="561"/>
      <c r="D19" s="561"/>
      <c r="E19" s="561"/>
      <c r="F19" s="561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8.4083637853181443</v>
      </c>
      <c r="V19" s="276"/>
      <c r="W19" s="276"/>
      <c r="X19" s="494"/>
    </row>
    <row r="20" spans="1:24">
      <c r="A20" s="135">
        <v>7121</v>
      </c>
      <c r="B20" s="558" t="str">
        <f>+VLOOKUP($A20,Master!$D$30:$G$226,4,FALSE)</f>
        <v>Doprinosi za penzijsko i invalidsko osiguranje</v>
      </c>
      <c r="C20" s="559"/>
      <c r="D20" s="559"/>
      <c r="E20" s="559"/>
      <c r="F20" s="559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7.6895453878551523</v>
      </c>
      <c r="V20" s="276"/>
      <c r="W20" s="276"/>
      <c r="X20" s="494"/>
    </row>
    <row r="21" spans="1:24">
      <c r="A21" s="135">
        <v>7122</v>
      </c>
      <c r="B21" s="558" t="str">
        <f>+VLOOKUP($A21,Master!$D$30:$G$226,4,FALSE)</f>
        <v>Doprinosi za zdravstveno osiguranje</v>
      </c>
      <c r="C21" s="559"/>
      <c r="D21" s="559"/>
      <c r="E21" s="559"/>
      <c r="F21" s="559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0.10267886196791115</v>
      </c>
      <c r="V21" s="276"/>
      <c r="W21" s="276"/>
      <c r="X21" s="494"/>
    </row>
    <row r="22" spans="1:24">
      <c r="A22" s="135">
        <v>7123</v>
      </c>
      <c r="B22" s="558" t="str">
        <f>+VLOOKUP($A22,Master!$D$30:$G$226,4,FALSE)</f>
        <v>Doprinosi za osiguranje od nezaposlenosti</v>
      </c>
      <c r="C22" s="559"/>
      <c r="D22" s="559"/>
      <c r="E22" s="559"/>
      <c r="F22" s="559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0.35372790552171002</v>
      </c>
    </row>
    <row r="23" spans="1:24">
      <c r="A23" s="135">
        <v>7124</v>
      </c>
      <c r="B23" s="558" t="str">
        <f>+VLOOKUP($A23,Master!$D$30:$G$226,4,FALSE)</f>
        <v>Ostali doprinosi</v>
      </c>
      <c r="C23" s="559"/>
      <c r="D23" s="559"/>
      <c r="E23" s="559"/>
      <c r="F23" s="559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0.26241162997336981</v>
      </c>
      <c r="V23" s="495"/>
      <c r="W23" s="495"/>
      <c r="X23" s="494"/>
    </row>
    <row r="24" spans="1:24">
      <c r="A24" s="135">
        <v>713</v>
      </c>
      <c r="B24" s="560" t="str">
        <f>+VLOOKUP($A24,Master!$D$30:$G$226,4,FALSE)</f>
        <v>Takse</v>
      </c>
      <c r="C24" s="561"/>
      <c r="D24" s="561"/>
      <c r="E24" s="561"/>
      <c r="F24" s="561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1288575.6000000001</v>
      </c>
      <c r="R24" s="160">
        <v>1671271.48</v>
      </c>
      <c r="S24" s="228">
        <f t="shared" si="6"/>
        <v>16017153.060000001</v>
      </c>
      <c r="T24" s="437">
        <f t="shared" si="5"/>
        <v>0.23392547141731748</v>
      </c>
    </row>
    <row r="25" spans="1:24">
      <c r="A25" s="135">
        <v>714</v>
      </c>
      <c r="B25" s="560" t="str">
        <f>+VLOOKUP($A25,Master!$D$30:$G$226,4,FALSE)</f>
        <v>Naknade</v>
      </c>
      <c r="C25" s="561"/>
      <c r="D25" s="561"/>
      <c r="E25" s="561"/>
      <c r="F25" s="561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0.81373777580582074</v>
      </c>
    </row>
    <row r="26" spans="1:24">
      <c r="A26" s="135">
        <v>715</v>
      </c>
      <c r="B26" s="560" t="str">
        <f>+VLOOKUP($A26,Master!$D$30:$G$226,4,FALSE)</f>
        <v>Ostali prihodi</v>
      </c>
      <c r="C26" s="561"/>
      <c r="D26" s="561"/>
      <c r="E26" s="561"/>
      <c r="F26" s="561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62831828.380000003</v>
      </c>
      <c r="M26" s="160">
        <v>7395159.46</v>
      </c>
      <c r="N26" s="160">
        <v>20718448.5</v>
      </c>
      <c r="O26" s="160">
        <v>2202381.48</v>
      </c>
      <c r="P26" s="160">
        <v>14370883.219999999</v>
      </c>
      <c r="Q26" s="160">
        <v>15509901.460000001</v>
      </c>
      <c r="R26" s="160">
        <v>8722052.1400000006</v>
      </c>
      <c r="S26" s="228">
        <f t="shared" si="6"/>
        <v>181712353.56</v>
      </c>
      <c r="T26" s="437">
        <f t="shared" si="5"/>
        <v>2.653851643275317</v>
      </c>
    </row>
    <row r="27" spans="1:24">
      <c r="A27" s="135">
        <v>73</v>
      </c>
      <c r="B27" s="560" t="str">
        <f>+VLOOKUP($A27,Master!$D$30:$G$226,4,FALSE)</f>
        <v>Primici od otplate kredita i sredstva prenesena iz prethodne godine</v>
      </c>
      <c r="C27" s="561"/>
      <c r="D27" s="561"/>
      <c r="E27" s="561"/>
      <c r="F27" s="561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564" t="str">
        <f>+VLOOKUP($A28,Master!$D$30:$G$226,4,FALSE)</f>
        <v>Donacije i transferi</v>
      </c>
      <c r="C28" s="565"/>
      <c r="D28" s="565"/>
      <c r="E28" s="565"/>
      <c r="F28" s="565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13533408.050000001</v>
      </c>
      <c r="S28" s="228">
        <f t="shared" si="6"/>
        <v>71264147.830000013</v>
      </c>
      <c r="T28" s="438">
        <f t="shared" si="5"/>
        <v>1.0407904147409175</v>
      </c>
    </row>
    <row r="29" spans="1:24" ht="13.5" thickBot="1">
      <c r="A29" s="135">
        <v>4</v>
      </c>
      <c r="B29" s="566" t="str">
        <f>+VLOOKUP($A29,Master!$D$30:$G$226,4,FALSE)</f>
        <v>Izdaci budžeta</v>
      </c>
      <c r="C29" s="567"/>
      <c r="D29" s="567"/>
      <c r="E29" s="567"/>
      <c r="F29" s="567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37.322608122570692</v>
      </c>
    </row>
    <row r="30" spans="1:24">
      <c r="A30" s="135">
        <v>41</v>
      </c>
      <c r="B30" s="570" t="str">
        <f>+VLOOKUP($A30,Master!$D$30:$G$226,4,FALSE)</f>
        <v>Tekući izdaci</v>
      </c>
      <c r="C30" s="571"/>
      <c r="D30" s="571"/>
      <c r="E30" s="571"/>
      <c r="F30" s="571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15.673441382053003</v>
      </c>
      <c r="U30" s="472"/>
    </row>
    <row r="31" spans="1:24">
      <c r="A31" s="135">
        <v>411</v>
      </c>
      <c r="B31" s="558" t="str">
        <f>+VLOOKUP($A31,Master!$D$30:$G$226,4,FALSE)</f>
        <v>Bruto zarade i doprinosi na teret poslodavca</v>
      </c>
      <c r="C31" s="559"/>
      <c r="D31" s="559"/>
      <c r="E31" s="559"/>
      <c r="F31" s="559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98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9.3928385465242457</v>
      </c>
      <c r="U31" s="472"/>
    </row>
    <row r="32" spans="1:24">
      <c r="A32" s="135">
        <v>412</v>
      </c>
      <c r="B32" s="558" t="str">
        <f>+VLOOKUP($A32,Master!$D$30:$G$226,4,FALSE)</f>
        <v>Ostala lična primanja</v>
      </c>
      <c r="C32" s="559"/>
      <c r="D32" s="559"/>
      <c r="E32" s="559"/>
      <c r="F32" s="559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0.26899141843327362</v>
      </c>
      <c r="U32" s="472"/>
      <c r="V32" s="275"/>
    </row>
    <row r="33" spans="1:24">
      <c r="A33" s="135">
        <v>413</v>
      </c>
      <c r="B33" s="558" t="str">
        <f>+VLOOKUP($A33,Master!$D$30:$G$226,4,FALSE)</f>
        <v>Rashodi za materijal</v>
      </c>
      <c r="C33" s="559"/>
      <c r="D33" s="559"/>
      <c r="E33" s="559"/>
      <c r="F33" s="559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0.66798315408030062</v>
      </c>
      <c r="U33" s="472"/>
    </row>
    <row r="34" spans="1:24" s="334" customFormat="1">
      <c r="A34" s="333">
        <v>414</v>
      </c>
      <c r="B34" s="653" t="str">
        <f>+VLOOKUP($A34,Master!$D$30:$G$226,4,FALSE)</f>
        <v>Rashodi za usluge</v>
      </c>
      <c r="C34" s="654"/>
      <c r="D34" s="654"/>
      <c r="E34" s="654"/>
      <c r="F34" s="654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1.0574641110318239</v>
      </c>
      <c r="U34" s="472"/>
    </row>
    <row r="35" spans="1:24">
      <c r="A35" s="135">
        <v>415</v>
      </c>
      <c r="B35" s="558" t="str">
        <f>+VLOOKUP($A35,Master!$D$30:$G$226,4,FALSE)</f>
        <v>Rashodi za tekuće održavanje</v>
      </c>
      <c r="C35" s="559"/>
      <c r="D35" s="559"/>
      <c r="E35" s="559"/>
      <c r="F35" s="559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0.44055275504234043</v>
      </c>
      <c r="U35" s="472"/>
    </row>
    <row r="36" spans="1:24">
      <c r="A36" s="135">
        <v>416</v>
      </c>
      <c r="B36" s="558" t="str">
        <f>+VLOOKUP($A36,Master!$D$30:$G$226,4,FALSE)</f>
        <v>Kamate</v>
      </c>
      <c r="C36" s="559"/>
      <c r="D36" s="559"/>
      <c r="E36" s="559"/>
      <c r="F36" s="559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1.8189109087940354</v>
      </c>
      <c r="U36" s="472"/>
      <c r="V36" s="275"/>
    </row>
    <row r="37" spans="1:24">
      <c r="A37" s="135">
        <v>417</v>
      </c>
      <c r="B37" s="558" t="str">
        <f>+VLOOKUP($A37,Master!$D$30:$G$226,4,FALSE)</f>
        <v>Renta</v>
      </c>
      <c r="C37" s="559"/>
      <c r="D37" s="559"/>
      <c r="E37" s="559"/>
      <c r="F37" s="559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0.17081277977099271</v>
      </c>
      <c r="U37" s="472"/>
      <c r="V37" s="275"/>
    </row>
    <row r="38" spans="1:24">
      <c r="A38" s="135">
        <v>418</v>
      </c>
      <c r="B38" s="558" t="str">
        <f>+VLOOKUP($A38,Master!$D$30:$G$226,4,FALSE)</f>
        <v>Subvencije</v>
      </c>
      <c r="C38" s="559"/>
      <c r="D38" s="559"/>
      <c r="E38" s="559"/>
      <c r="F38" s="559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1.0862959572187889</v>
      </c>
      <c r="U38" s="472"/>
    </row>
    <row r="39" spans="1:24">
      <c r="A39" s="135">
        <v>419</v>
      </c>
      <c r="B39" s="558" t="str">
        <f>+VLOOKUP($A39,Master!$D$30:$G$226,4,FALSE)</f>
        <v>Ostali izdaci</v>
      </c>
      <c r="C39" s="559"/>
      <c r="D39" s="559"/>
      <c r="E39" s="559"/>
      <c r="F39" s="559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0.76959175115720213</v>
      </c>
      <c r="U39" s="472"/>
      <c r="V39" s="275"/>
    </row>
    <row r="40" spans="1:24">
      <c r="A40" s="135">
        <v>42</v>
      </c>
      <c r="B40" s="574" t="str">
        <f>+VLOOKUP($A40,Master!$D$30:$G$226,4,FALSE)</f>
        <v>Transferi za socijalnu zaštitu</v>
      </c>
      <c r="C40" s="575"/>
      <c r="D40" s="575"/>
      <c r="E40" s="575"/>
      <c r="F40" s="575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12.042402838537324</v>
      </c>
      <c r="U40" s="472"/>
    </row>
    <row r="41" spans="1:24">
      <c r="A41" s="135">
        <v>421</v>
      </c>
      <c r="B41" s="558" t="str">
        <f>+VLOOKUP($A41,Master!$D$30:$G$226,4,FALSE)</f>
        <v>Prava iz oblasti socijalne zaštite</v>
      </c>
      <c r="C41" s="559"/>
      <c r="D41" s="559"/>
      <c r="E41" s="559"/>
      <c r="F41" s="559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3.0653364138021284</v>
      </c>
      <c r="U41" s="472"/>
    </row>
    <row r="42" spans="1:24">
      <c r="A42" s="135">
        <v>422</v>
      </c>
      <c r="B42" s="558" t="str">
        <f>+VLOOKUP($A42,Master!$D$30:$G$226,4,FALSE)</f>
        <v>Sredstva za tehnološke viškove</v>
      </c>
      <c r="C42" s="559"/>
      <c r="D42" s="559"/>
      <c r="E42" s="559"/>
      <c r="F42" s="559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0.34618637826893006</v>
      </c>
      <c r="U42" s="472"/>
      <c r="V42" s="275"/>
    </row>
    <row r="43" spans="1:24">
      <c r="A43" s="135">
        <v>423</v>
      </c>
      <c r="B43" s="558" t="str">
        <f>+VLOOKUP($A43,Master!$D$30:$G$226,4,FALSE)</f>
        <v>Prava iz oblasti penzijskog i invalidskog osiguranja</v>
      </c>
      <c r="C43" s="559"/>
      <c r="D43" s="559"/>
      <c r="E43" s="559"/>
      <c r="F43" s="559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8.0882306732555218</v>
      </c>
      <c r="U43" s="472"/>
    </row>
    <row r="44" spans="1:24">
      <c r="A44" s="135">
        <v>424</v>
      </c>
      <c r="B44" s="558" t="str">
        <f>+VLOOKUP($A44,Master!$D$30:$G$226,4,FALSE)</f>
        <v>Ostala prava iz oblasti zdravstvene zaštite</v>
      </c>
      <c r="C44" s="559"/>
      <c r="D44" s="559"/>
      <c r="E44" s="559"/>
      <c r="F44" s="559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0.30026638229398123</v>
      </c>
      <c r="U44" s="472"/>
    </row>
    <row r="45" spans="1:24" s="334" customFormat="1">
      <c r="A45" s="333">
        <v>425</v>
      </c>
      <c r="B45" s="649" t="str">
        <f>+VLOOKUP($A45,Master!$D$30:$G$226,4,FALSE)</f>
        <v>Ostala prava iz zdravstvenog osiguranja</v>
      </c>
      <c r="C45" s="650"/>
      <c r="D45" s="650"/>
      <c r="E45" s="650"/>
      <c r="F45" s="650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0.24238299091676238</v>
      </c>
      <c r="U45" s="472"/>
    </row>
    <row r="46" spans="1:24">
      <c r="A46" s="135">
        <v>43</v>
      </c>
      <c r="B46" s="572" t="str">
        <f>+VLOOKUP($A46,Master!$D$30:$G$226,4,FALSE)</f>
        <v xml:space="preserve">Transferi institucijama, pojedincima, nevladinom i javnom sektoru </v>
      </c>
      <c r="C46" s="573"/>
      <c r="D46" s="573"/>
      <c r="E46" s="573"/>
      <c r="F46" s="573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5.5599594502387717</v>
      </c>
      <c r="U46" s="472"/>
    </row>
    <row r="47" spans="1:24">
      <c r="A47" s="135">
        <v>44</v>
      </c>
      <c r="B47" s="572" t="str">
        <f>+VLOOKUP($A47,Master!$D$30:$G$226,4,FALSE)</f>
        <v>Kapitalni izdaci</v>
      </c>
      <c r="C47" s="573"/>
      <c r="D47" s="573"/>
      <c r="E47" s="573"/>
      <c r="F47" s="573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3.485287545212453</v>
      </c>
      <c r="U47" s="472"/>
      <c r="V47" s="275"/>
      <c r="W47" s="292"/>
      <c r="X47" s="292"/>
    </row>
    <row r="48" spans="1:24">
      <c r="A48" s="135">
        <v>451</v>
      </c>
      <c r="B48" s="651" t="str">
        <f>+VLOOKUP($A48,Master!$D$30:$G$226,4,FALSE)</f>
        <v>Pozajmice i krediti</v>
      </c>
      <c r="C48" s="652"/>
      <c r="D48" s="652"/>
      <c r="E48" s="652"/>
      <c r="F48" s="652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43" t="str">
        <f>+VLOOKUP($A49,Master!$D$30:$G$226,4,FALSE)</f>
        <v>Rezerve</v>
      </c>
      <c r="C49" s="644"/>
      <c r="D49" s="644"/>
      <c r="E49" s="644"/>
      <c r="F49" s="644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0.26679720299840015</v>
      </c>
      <c r="U49" s="472"/>
    </row>
    <row r="50" spans="1:21" ht="13.5" thickBot="1">
      <c r="A50" s="135">
        <v>462</v>
      </c>
      <c r="B50" s="578" t="str">
        <f>+VLOOKUP($A50,Master!$D$30:$G$226,4,FALSE)</f>
        <v>Otplata garancija</v>
      </c>
      <c r="C50" s="579"/>
      <c r="D50" s="579"/>
      <c r="E50" s="579"/>
      <c r="F50" s="579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4.1091334485545597E-2</v>
      </c>
      <c r="U50" s="472"/>
    </row>
    <row r="51" spans="1:21" ht="13.5" thickBot="1">
      <c r="A51" s="129">
        <v>4630</v>
      </c>
      <c r="B51" s="645" t="str">
        <f>+VLOOKUP($A51,Master!$D$30:$G$226,4,TRUE)</f>
        <v>Otplata obaveza iz prethodnog perioda</v>
      </c>
      <c r="C51" s="646"/>
      <c r="D51" s="646"/>
      <c r="E51" s="646"/>
      <c r="F51" s="646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0.25362836904519537</v>
      </c>
      <c r="U51" s="472"/>
    </row>
    <row r="52" spans="1:21" ht="13.5" thickBot="1">
      <c r="A52" s="61">
        <v>1005</v>
      </c>
      <c r="B52" s="647" t="str">
        <f>+VLOOKUP($A52,Master!$D$30:$G$228,4,FALSE)</f>
        <v>Neto povećanje obaveza</v>
      </c>
      <c r="C52" s="648"/>
      <c r="D52" s="648"/>
      <c r="E52" s="648"/>
      <c r="F52" s="648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0" t="str">
        <f>+VLOOKUP($A53,Master!$D$30:$G$226,4,FALSE)</f>
        <v>Suficit / deficit</v>
      </c>
      <c r="C53" s="581"/>
      <c r="D53" s="581"/>
      <c r="E53" s="581"/>
      <c r="F53" s="581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56007482.090000033</v>
      </c>
      <c r="M53" s="136">
        <f t="shared" si="14"/>
        <v>-15757829.629999965</v>
      </c>
      <c r="N53" s="136">
        <f t="shared" si="14"/>
        <v>43107080.789999992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-26356845.580000013</v>
      </c>
      <c r="R53" s="136">
        <f t="shared" si="14"/>
        <v>-146305166.79999995</v>
      </c>
      <c r="S53" s="233">
        <f>SUM(G53:R53)</f>
        <v>10935291.120000303</v>
      </c>
      <c r="T53" s="442">
        <f t="shared" si="5"/>
        <v>0.15970647971891683</v>
      </c>
    </row>
    <row r="54" spans="1:21" ht="13.5" thickBot="1">
      <c r="A54" s="129">
        <v>1001</v>
      </c>
      <c r="B54" s="582" t="str">
        <f>+VLOOKUP($A54,Master!$D$30:$G$226,4,FALSE)</f>
        <v>Primarni suficit/deficit</v>
      </c>
      <c r="C54" s="583"/>
      <c r="D54" s="583"/>
      <c r="E54" s="583"/>
      <c r="F54" s="583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58925946.200000033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33">
        <f t="shared" si="6"/>
        <v>135478267.36000025</v>
      </c>
      <c r="T54" s="442">
        <f t="shared" si="5"/>
        <v>1.9786173885129519</v>
      </c>
    </row>
    <row r="55" spans="1:21">
      <c r="A55" s="129">
        <v>46</v>
      </c>
      <c r="B55" s="604" t="str">
        <f>+VLOOKUP($A55,Master!$D$30:$G$226,4,FALSE)</f>
        <v>Otplata dugova</v>
      </c>
      <c r="C55" s="605"/>
      <c r="D55" s="605"/>
      <c r="E55" s="605"/>
      <c r="F55" s="605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4.3990188845876474</v>
      </c>
    </row>
    <row r="56" spans="1:21">
      <c r="A56" s="129">
        <v>4611</v>
      </c>
      <c r="B56" s="600" t="str">
        <f>+VLOOKUP($A56,Master!$D$30:$G$226,4,FALSE)</f>
        <v>Otplata hartija od vrijednosti i kredita rezidentima</v>
      </c>
      <c r="C56" s="601"/>
      <c r="D56" s="601"/>
      <c r="E56" s="601"/>
      <c r="F56" s="601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1.0885684298123677</v>
      </c>
    </row>
    <row r="57" spans="1:21" ht="13.5" thickBot="1">
      <c r="A57" s="129">
        <v>4612</v>
      </c>
      <c r="B57" s="576" t="str">
        <f>+VLOOKUP($A57,Master!$D$30:$G$226,4,FALSE)</f>
        <v>Otplata hartija od vrijednosti i kredita nerezidentima</v>
      </c>
      <c r="C57" s="577"/>
      <c r="D57" s="577"/>
      <c r="E57" s="577"/>
      <c r="F57" s="577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3.3104504547752787</v>
      </c>
    </row>
    <row r="58" spans="1:21" ht="13.5" thickBot="1">
      <c r="A58" s="129">
        <v>4418</v>
      </c>
      <c r="B58" s="568" t="str">
        <f>+VLOOKUP($A58,Master!$D$30:$G$226,4,FALSE)</f>
        <v>Izdaci za kupovinu hartija od vrijednosti</v>
      </c>
      <c r="C58" s="569"/>
      <c r="D58" s="569"/>
      <c r="E58" s="569"/>
      <c r="F58" s="569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1.2546105091222321E-2</v>
      </c>
    </row>
    <row r="59" spans="1:21" ht="13.5" thickBot="1">
      <c r="A59" s="135">
        <v>451</v>
      </c>
      <c r="B59" s="568" t="str">
        <f>+VLOOKUP($A59,Master!$D$30:$G$226,4,FALSE)</f>
        <v>Pozajmice i krediti</v>
      </c>
      <c r="C59" s="569"/>
      <c r="D59" s="569"/>
      <c r="E59" s="569"/>
      <c r="F59" s="569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0.14767666732193016</v>
      </c>
    </row>
    <row r="60" spans="1:21" ht="13.5" thickBot="1">
      <c r="A60" s="129">
        <v>1002</v>
      </c>
      <c r="B60" s="602" t="str">
        <f>+VLOOKUP($A60,Master!$D$30:$G$226,4,FALSE)</f>
        <v>Nedostajuća sredstva</v>
      </c>
      <c r="C60" s="603"/>
      <c r="D60" s="603"/>
      <c r="E60" s="603"/>
      <c r="F60" s="603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38766370.240000039</v>
      </c>
      <c r="M60" s="202">
        <f t="shared" si="18"/>
        <v>-48152171.959999964</v>
      </c>
      <c r="N60" s="202">
        <f t="shared" si="18"/>
        <v>36278249.029999994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-80018796.060000002</v>
      </c>
      <c r="R60" s="202">
        <f t="shared" si="18"/>
        <v>-172186893.32999998</v>
      </c>
      <c r="S60" s="234">
        <f t="shared" si="18"/>
        <v>-301241365.03999972</v>
      </c>
      <c r="T60" s="446">
        <f t="shared" si="5"/>
        <v>-4.3995351772818836</v>
      </c>
    </row>
    <row r="61" spans="1:21" ht="13.5" thickBot="1">
      <c r="A61" s="129">
        <v>1003</v>
      </c>
      <c r="B61" s="566" t="str">
        <f>+VLOOKUP($A61,Master!$D$30:$G$226,4,FALSE)</f>
        <v>Finansiranje</v>
      </c>
      <c r="C61" s="567"/>
      <c r="D61" s="567"/>
      <c r="E61" s="567"/>
      <c r="F61" s="567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-38766370.240000039</v>
      </c>
      <c r="M61" s="136">
        <f t="shared" ref="M61:R61" si="20">+SUM(M62:M66)</f>
        <v>48152171.959999964</v>
      </c>
      <c r="N61" s="136">
        <f t="shared" si="20"/>
        <v>-36278249.029999994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80018796.060000002</v>
      </c>
      <c r="R61" s="136">
        <f t="shared" si="20"/>
        <v>172186893.32999998</v>
      </c>
      <c r="S61" s="237">
        <f t="shared" si="6"/>
        <v>301241365.03999972</v>
      </c>
      <c r="T61" s="447">
        <f t="shared" si="5"/>
        <v>4.3995351772818836</v>
      </c>
    </row>
    <row r="62" spans="1:21">
      <c r="A62" s="129">
        <v>7511</v>
      </c>
      <c r="B62" s="600" t="str">
        <f>+VLOOKUP($A62,Master!$D$30:$G$226,4,FALSE)</f>
        <v>Pozajmice i krediti od domaćih izvora</v>
      </c>
      <c r="C62" s="601"/>
      <c r="D62" s="601"/>
      <c r="E62" s="601"/>
      <c r="F62" s="601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2.3221448790571451</v>
      </c>
    </row>
    <row r="63" spans="1:21">
      <c r="A63" s="129">
        <v>7512</v>
      </c>
      <c r="B63" s="576" t="str">
        <f>+VLOOKUP($A63,Master!$D$30:$G$226,4,FALSE)</f>
        <v>Pozajmice i krediti od inostranih izvora</v>
      </c>
      <c r="C63" s="577"/>
      <c r="D63" s="577"/>
      <c r="E63" s="577"/>
      <c r="F63" s="577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2.3255334955524352</v>
      </c>
    </row>
    <row r="64" spans="1:21">
      <c r="A64" s="129">
        <v>72</v>
      </c>
      <c r="B64" s="576" t="str">
        <f>+VLOOKUP($A64,Master!$D$30:$G$226,4,FALSE)</f>
        <v>Primici od prodaje imovine</v>
      </c>
      <c r="C64" s="577"/>
      <c r="D64" s="577"/>
      <c r="E64" s="577"/>
      <c r="F64" s="577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3.9693627742358177E-2</v>
      </c>
    </row>
    <row r="65" spans="1:20">
      <c r="A65" s="129">
        <v>73</v>
      </c>
      <c r="B65" s="576" t="s">
        <v>101</v>
      </c>
      <c r="C65" s="577"/>
      <c r="D65" s="577"/>
      <c r="E65" s="577"/>
      <c r="F65" s="577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0.20239250835168901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-48524108.570000038</v>
      </c>
      <c r="M66" s="210">
        <f t="shared" ref="M66:S66" si="22">-M60-SUM(M62:M65)</f>
        <v>46705521.759999961</v>
      </c>
      <c r="N66" s="210">
        <f t="shared" si="22"/>
        <v>-37506281.589999996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75858028.210000008</v>
      </c>
      <c r="R66" s="210">
        <f t="shared" si="22"/>
        <v>-19396917.860000014</v>
      </c>
      <c r="S66" s="490">
        <f t="shared" si="22"/>
        <v>-33566580.930000246</v>
      </c>
      <c r="T66" s="448">
        <f t="shared" si="5"/>
        <v>-0.49022933342174396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32" t="str">
        <f>+Master!G253</f>
        <v>Plan ostvarenja budžeta</v>
      </c>
      <c r="C83" s="633"/>
      <c r="D83" s="633"/>
      <c r="E83" s="633"/>
      <c r="F83" s="633"/>
      <c r="G83" s="640">
        <v>2023</v>
      </c>
      <c r="H83" s="641"/>
      <c r="I83" s="641"/>
      <c r="J83" s="641"/>
      <c r="K83" s="641"/>
      <c r="L83" s="641"/>
      <c r="M83" s="641"/>
      <c r="N83" s="641"/>
      <c r="O83" s="641"/>
      <c r="P83" s="641"/>
      <c r="Q83" s="641"/>
      <c r="R83" s="642"/>
      <c r="S83" s="96" t="str">
        <f>+S7</f>
        <v>BDP</v>
      </c>
      <c r="T83" s="97">
        <v>6624340418</v>
      </c>
    </row>
    <row r="84" spans="1:26" ht="15.75" customHeight="1">
      <c r="B84" s="634"/>
      <c r="C84" s="635"/>
      <c r="D84" s="635"/>
      <c r="E84" s="635"/>
      <c r="F84" s="636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</v>
      </c>
      <c r="N84" s="62" t="str">
        <f t="shared" si="24"/>
        <v>Avgust</v>
      </c>
      <c r="O84" s="62" t="str">
        <f t="shared" si="24"/>
        <v>Septembar</v>
      </c>
      <c r="P84" s="62" t="str">
        <f t="shared" si="24"/>
        <v>Oktobar</v>
      </c>
      <c r="Q84" s="62" t="str">
        <f t="shared" si="24"/>
        <v>Novembar</v>
      </c>
      <c r="R84" s="62" t="str">
        <f t="shared" si="24"/>
        <v>Decembar</v>
      </c>
      <c r="S84" s="640" t="str">
        <f>+Master!G247</f>
        <v>Jan - Dec</v>
      </c>
      <c r="T84" s="642">
        <f>+T8</f>
        <v>0</v>
      </c>
    </row>
    <row r="85" spans="1:26" ht="13.5" thickBot="1">
      <c r="B85" s="637"/>
      <c r="C85" s="638"/>
      <c r="D85" s="638"/>
      <c r="E85" s="638"/>
      <c r="F85" s="639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34" si="25">+CONCATENATE(A10,"p")</f>
        <v>7p</v>
      </c>
      <c r="B86" s="606" t="str">
        <f>+VLOOKUP(LEFT($A86,LEN(A86)-1)*1,Master!$D$30:$G$226,4,FALSE)</f>
        <v>Prihodi budžeta</v>
      </c>
      <c r="C86" s="607"/>
      <c r="D86" s="607"/>
      <c r="E86" s="607"/>
      <c r="F86" s="607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30" t="str">
        <f>+VLOOKUP(LEFT($A87,LEN(A87)-1)*1,Master!$D$30:$G$226,4,FALSE)</f>
        <v>Porezi</v>
      </c>
      <c r="C87" s="631"/>
      <c r="D87" s="631"/>
      <c r="E87" s="631"/>
      <c r="F87" s="631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22" t="str">
        <f>+VLOOKUP(LEFT($A88,LEN(A88)-1)*1,Master!$D$30:$G$229,4,FALSE)</f>
        <v>Porez na dohodak fizičkih lica</v>
      </c>
      <c r="C88" s="623"/>
      <c r="D88" s="623"/>
      <c r="E88" s="623"/>
      <c r="F88" s="623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22" t="str">
        <f>+VLOOKUP(LEFT($A89,LEN(A89)-1)*1,Master!$D$30:$G$229,4,FALSE)</f>
        <v>Porez na dobit pravnih lica</v>
      </c>
      <c r="C89" s="623"/>
      <c r="D89" s="623"/>
      <c r="E89" s="623"/>
      <c r="F89" s="623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22" t="str">
        <f>+VLOOKUP(LEFT($A90,LEN(A90)-1)*1,Master!$D$30:$G$229,4,FALSE)</f>
        <v>Porez na promet nepokretnosti</v>
      </c>
      <c r="C90" s="623"/>
      <c r="D90" s="623"/>
      <c r="E90" s="623"/>
      <c r="F90" s="623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22" t="str">
        <f>+VLOOKUP(LEFT($A91,LEN(A91)-1)*1,Master!$D$30:$G$229,4,FALSE)</f>
        <v>Porez na dodatu vrijednost</v>
      </c>
      <c r="C91" s="623"/>
      <c r="D91" s="623"/>
      <c r="E91" s="623"/>
      <c r="F91" s="623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22" t="str">
        <f>+VLOOKUP(LEFT($A92,LEN(A92)-1)*1,Master!$D$30:$G$229,4,FALSE)</f>
        <v>Akcize</v>
      </c>
      <c r="C92" s="623"/>
      <c r="D92" s="623"/>
      <c r="E92" s="623"/>
      <c r="F92" s="623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22" t="str">
        <f>+VLOOKUP(LEFT($A93,LEN(A93)-1)*1,Master!$D$30:$G$229,4,FALSE)</f>
        <v>Porez na međunarodnu trgovinu i transakcije</v>
      </c>
      <c r="C93" s="623"/>
      <c r="D93" s="623"/>
      <c r="E93" s="623"/>
      <c r="F93" s="623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22" t="str">
        <f>+VLOOKUP(LEFT($A94,LEN(A94)-1)*1,Master!$D$30:$G$229,4,FALSE)</f>
        <v>Ostali državni porezi</v>
      </c>
      <c r="C94" s="623"/>
      <c r="D94" s="623"/>
      <c r="E94" s="623"/>
      <c r="F94" s="623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28" t="str">
        <f>+VLOOKUP(LEFT($A95,LEN(A95)-1)*1,Master!$D$30:$G$229,4,FALSE)</f>
        <v>Doprinosi</v>
      </c>
      <c r="C95" s="629"/>
      <c r="D95" s="629"/>
      <c r="E95" s="629"/>
      <c r="F95" s="629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22" t="str">
        <f>+VLOOKUP(LEFT($A96,LEN(A96)-1)*1,Master!$D$30:$G$229,4,FALSE)</f>
        <v>Doprinosi za penzijsko i invalidsko osiguranje</v>
      </c>
      <c r="C96" s="623"/>
      <c r="D96" s="623"/>
      <c r="E96" s="623"/>
      <c r="F96" s="623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22" t="str">
        <f>+VLOOKUP(LEFT($A97,LEN(A97)-1)*1,Master!$D$30:$G$229,4,FALSE)</f>
        <v>Doprinosi za zdravstveno osiguranje</v>
      </c>
      <c r="C97" s="623"/>
      <c r="D97" s="623"/>
      <c r="E97" s="623"/>
      <c r="F97" s="623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22" t="str">
        <f>+VLOOKUP(LEFT($A98,LEN(A98)-1)*1,Master!$D$30:$G$229,4,FALSE)</f>
        <v>Doprinosi za osiguranje od nezaposlenosti</v>
      </c>
      <c r="C98" s="623"/>
      <c r="D98" s="623"/>
      <c r="E98" s="623"/>
      <c r="F98" s="623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22" t="str">
        <f>+VLOOKUP(LEFT($A99,LEN(A99)-1)*1,Master!$D$30:$G$229,4,FALSE)</f>
        <v>Ostali doprinosi</v>
      </c>
      <c r="C99" s="623"/>
      <c r="D99" s="623"/>
      <c r="E99" s="623"/>
      <c r="F99" s="623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28" t="str">
        <f>+VLOOKUP(LEFT($A100,LEN(A100)-1)*1,Master!$D$30:$G$229,4,FALSE)</f>
        <v>Takse</v>
      </c>
      <c r="C100" s="629"/>
      <c r="D100" s="629"/>
      <c r="E100" s="629"/>
      <c r="F100" s="629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28" t="str">
        <f>+VLOOKUP(LEFT($A101,LEN(A101)-1)*1,Master!$D$30:$G$229,4,FALSE)</f>
        <v>Naknade</v>
      </c>
      <c r="C101" s="629"/>
      <c r="D101" s="629"/>
      <c r="E101" s="629"/>
      <c r="F101" s="629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28" t="str">
        <f>+VLOOKUP(LEFT($A102,LEN(A102)-1)*1,Master!$D$30:$G$229,4,FALSE)</f>
        <v>Ostali prihodi</v>
      </c>
      <c r="C102" s="629"/>
      <c r="D102" s="629"/>
      <c r="E102" s="629"/>
      <c r="F102" s="629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28" t="str">
        <f>+VLOOKUP(LEFT($A103,LEN(A103)-1)*1,Master!$D$30:$G$229,4,FALSE)</f>
        <v>Primici od otplate kredita i sredstva prenesena iz prethodne godine</v>
      </c>
      <c r="C103" s="629"/>
      <c r="D103" s="629"/>
      <c r="E103" s="629"/>
      <c r="F103" s="629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24" t="str">
        <f>+VLOOKUP(LEFT($A104,LEN(A104)-1)*1,Master!$D$30:$G$229,4,FALSE)</f>
        <v>Donacije i transferi</v>
      </c>
      <c r="C104" s="625"/>
      <c r="D104" s="625"/>
      <c r="E104" s="625"/>
      <c r="F104" s="625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06" t="str">
        <f>+VLOOKUP(LEFT($A105,LEN(A105)-1)*1,Master!$D$30:$G$229,4,FALSE)</f>
        <v>Izdaci budžeta</v>
      </c>
      <c r="C105" s="607"/>
      <c r="D105" s="607"/>
      <c r="E105" s="607"/>
      <c r="F105" s="607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26" t="str">
        <f>+VLOOKUP(LEFT($A106,LEN(A106)-1)*1,Master!$D$30:$G$229,4,FALSE)</f>
        <v>Tekući izdaci</v>
      </c>
      <c r="C106" s="627"/>
      <c r="D106" s="627"/>
      <c r="E106" s="627"/>
      <c r="F106" s="627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22" t="str">
        <f>+VLOOKUP(LEFT($A107,LEN(A107)-1)*1,Master!$D$30:$G$229,4,FALSE)</f>
        <v>Bruto zarade i doprinosi na teret poslodavca</v>
      </c>
      <c r="C107" s="623"/>
      <c r="D107" s="623"/>
      <c r="E107" s="623"/>
      <c r="F107" s="623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22" t="str">
        <f>+VLOOKUP(LEFT($A108,LEN(A108)-1)*1,Master!$D$30:$G$229,4,FALSE)</f>
        <v>Ostala lična primanja</v>
      </c>
      <c r="C108" s="623"/>
      <c r="D108" s="623"/>
      <c r="E108" s="623"/>
      <c r="F108" s="623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22" t="str">
        <f>+VLOOKUP(LEFT($A109,LEN(A109)-1)*1,Master!$D$30:$G$229,4,FALSE)</f>
        <v>Rashodi za materijal</v>
      </c>
      <c r="C109" s="623"/>
      <c r="D109" s="623"/>
      <c r="E109" s="623"/>
      <c r="F109" s="623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22" t="str">
        <f>+VLOOKUP(LEFT($A110,LEN(A110)-1)*1,Master!$D$30:$G$229,4,FALSE)</f>
        <v>Rashodi za usluge</v>
      </c>
      <c r="C110" s="623"/>
      <c r="D110" s="623"/>
      <c r="E110" s="623"/>
      <c r="F110" s="623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22" t="str">
        <f>+VLOOKUP(LEFT($A111,LEN(A111)-1)*1,Master!$D$30:$G$229,4,FALSE)</f>
        <v>Rashodi za tekuće održavanje</v>
      </c>
      <c r="C111" s="623"/>
      <c r="D111" s="623"/>
      <c r="E111" s="623"/>
      <c r="F111" s="623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22" t="str">
        <f>+VLOOKUP(LEFT($A112,LEN(A112)-1)*1,Master!$D$30:$G$229,4,FALSE)</f>
        <v>Kamate</v>
      </c>
      <c r="C112" s="623"/>
      <c r="D112" s="623"/>
      <c r="E112" s="623"/>
      <c r="F112" s="623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22" t="str">
        <f>+VLOOKUP(LEFT($A113,LEN(A113)-1)*1,Master!$D$30:$G$229,4,FALSE)</f>
        <v>Renta</v>
      </c>
      <c r="C113" s="623"/>
      <c r="D113" s="623"/>
      <c r="E113" s="623"/>
      <c r="F113" s="623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22" t="str">
        <f>+VLOOKUP(LEFT($A114,LEN(A114)-1)*1,Master!$D$30:$G$229,4,FALSE)</f>
        <v>Subvencije</v>
      </c>
      <c r="C114" s="623"/>
      <c r="D114" s="623"/>
      <c r="E114" s="623"/>
      <c r="F114" s="623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22" t="str">
        <f>+VLOOKUP(LEFT($A115,LEN(A115)-1)*1,Master!$D$30:$G$229,4,FALSE)</f>
        <v>Ostali izdaci</v>
      </c>
      <c r="C115" s="623"/>
      <c r="D115" s="623"/>
      <c r="E115" s="623"/>
      <c r="F115" s="623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18" t="str">
        <f>+VLOOKUP(LEFT($A116,LEN(A116)-1)*1,Master!$D$30:$G$229,4,FALSE)</f>
        <v>Transferi za socijalnu zaštitu</v>
      </c>
      <c r="C116" s="619"/>
      <c r="D116" s="619"/>
      <c r="E116" s="619"/>
      <c r="F116" s="619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22" t="str">
        <f>+VLOOKUP(LEFT($A117,LEN(A117)-1)*1,Master!$D$30:$G$229,4,FALSE)</f>
        <v>Prava iz oblasti socijalne zaštite</v>
      </c>
      <c r="C117" s="623"/>
      <c r="D117" s="623"/>
      <c r="E117" s="623"/>
      <c r="F117" s="623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22" t="str">
        <f>+VLOOKUP(LEFT($A118,LEN(A118)-1)*1,Master!$D$30:$G$229,4,FALSE)</f>
        <v>Sredstva za tehnološke viškove</v>
      </c>
      <c r="C118" s="623"/>
      <c r="D118" s="623"/>
      <c r="E118" s="623"/>
      <c r="F118" s="623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22" t="str">
        <f>+VLOOKUP(LEFT($A119,LEN(A119)-1)*1,Master!$D$30:$G$229,4,FALSE)</f>
        <v>Prava iz oblasti penzijskog i invalidskog osiguranja</v>
      </c>
      <c r="C119" s="623"/>
      <c r="D119" s="623"/>
      <c r="E119" s="623"/>
      <c r="F119" s="623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22" t="str">
        <f>+VLOOKUP(LEFT($A120,LEN(A120)-1)*1,Master!$D$30:$G$229,4,FALSE)</f>
        <v>Ostala prava iz oblasti zdravstvene zaštite</v>
      </c>
      <c r="C120" s="623"/>
      <c r="D120" s="623"/>
      <c r="E120" s="623"/>
      <c r="F120" s="623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22" t="str">
        <f>+VLOOKUP(LEFT($A121,LEN(A121)-1)*1,Master!$D$30:$G$229,4,FALSE)</f>
        <v>Ostala prava iz zdravstvenog osiguranja</v>
      </c>
      <c r="C121" s="623"/>
      <c r="D121" s="623"/>
      <c r="E121" s="623"/>
      <c r="F121" s="623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20" t="str">
        <f>+VLOOKUP(LEFT($A122,LEN(A122)-1)*1,Master!$D$30:$G$229,4,FALSE)</f>
        <v xml:space="preserve">Transferi institucijama, pojedincima, nevladinom i javnom sektoru </v>
      </c>
      <c r="C122" s="621"/>
      <c r="D122" s="621"/>
      <c r="E122" s="621"/>
      <c r="F122" s="621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20" t="str">
        <f>+VLOOKUP(LEFT($A123,LEN(A123)-1)*1,Master!$D$30:$G$229,4,FALSE)</f>
        <v>Kapitalni izdaci</v>
      </c>
      <c r="C123" s="621"/>
      <c r="D123" s="621"/>
      <c r="E123" s="621"/>
      <c r="F123" s="621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12" t="str">
        <f>+VLOOKUP(LEFT($A124,LEN(A124)-1)*1,Master!$D$30:$G$229,4,FALSE)</f>
        <v>Pozajmice i krediti</v>
      </c>
      <c r="C124" s="613"/>
      <c r="D124" s="613"/>
      <c r="E124" s="613"/>
      <c r="F124" s="613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12" t="str">
        <f>+VLOOKUP(LEFT($A125,LEN(A125)-1)*1,Master!$D$30:$G$229,4,FALSE)</f>
        <v>Rezerve</v>
      </c>
      <c r="C125" s="613"/>
      <c r="D125" s="613"/>
      <c r="E125" s="613"/>
      <c r="F125" s="613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12" t="str">
        <f>+VLOOKUP(LEFT($A126,LEN(A126)-1)*1,Master!$D$30:$G$229,4,FALSE)</f>
        <v>Otplata garancija</v>
      </c>
      <c r="C126" s="613"/>
      <c r="D126" s="613"/>
      <c r="E126" s="613"/>
      <c r="F126" s="613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12" t="str">
        <f>+VLOOKUP(LEFT($A127,LEN(A127)-1)*1,Master!$D$30:$G$229,4,FALSE)</f>
        <v>Otplata obaveza iz prethodnog perioda</v>
      </c>
      <c r="C127" s="613"/>
      <c r="D127" s="613"/>
      <c r="E127" s="613"/>
      <c r="F127" s="613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12" t="str">
        <f>+VLOOKUP(LEFT($A128,LEN(A128)-1)*1,Master!$D$30:$G$229,4,FALSE)</f>
        <v>Neto povećanje obaveza</v>
      </c>
      <c r="C128" s="613"/>
      <c r="D128" s="613"/>
      <c r="E128" s="613"/>
      <c r="F128" s="613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14" t="str">
        <f>+VLOOKUP(LEFT($A129,LEN(A129)-1)*1,Master!$D$30:$G$226,4,FALSE)</f>
        <v>Suficit / deficit</v>
      </c>
      <c r="C129" s="615"/>
      <c r="D129" s="615"/>
      <c r="E129" s="615"/>
      <c r="F129" s="615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16" t="str">
        <f>+VLOOKUP(LEFT($A130,LEN(A130)-1)*1,Master!$D$30:$G$226,4,FALSE)</f>
        <v>Primarni suficit/deficit</v>
      </c>
      <c r="C130" s="617"/>
      <c r="D130" s="617"/>
      <c r="E130" s="617"/>
      <c r="F130" s="617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18" t="str">
        <f>+VLOOKUP(LEFT($A131,LEN(A131)-1)*1,Master!$D$30:$G$226,4,FALSE)</f>
        <v>Otplata dugova</v>
      </c>
      <c r="C131" s="619"/>
      <c r="D131" s="619"/>
      <c r="E131" s="619"/>
      <c r="F131" s="619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10" t="str">
        <f>+VLOOKUP(LEFT($A132,LEN(A132)-1)*1,Master!$D$30:$G$226,4,FALSE)</f>
        <v>Otplata hartija od vrijednosti i kredita rezidentima</v>
      </c>
      <c r="C132" s="611"/>
      <c r="D132" s="611"/>
      <c r="E132" s="611"/>
      <c r="F132" s="611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12" t="str">
        <f>+VLOOKUP(LEFT($A133,LEN(A133)-1)*1,Master!$D$30:$G$226,4,FALSE)</f>
        <v>Otplata hartija od vrijednosti i kredita nerezidentima</v>
      </c>
      <c r="C133" s="613"/>
      <c r="D133" s="613"/>
      <c r="E133" s="613"/>
      <c r="F133" s="613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06" t="str">
        <f>+VLOOKUP(LEFT($A134,LEN(A134)-1)*1,Master!$D$30:$G$226,4,FALSE)</f>
        <v>Izdaci za kupovinu hartija od vrijednosti</v>
      </c>
      <c r="C134" s="607"/>
      <c r="D134" s="607"/>
      <c r="E134" s="607"/>
      <c r="F134" s="607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06" t="s">
        <v>113</v>
      </c>
      <c r="C135" s="607"/>
      <c r="D135" s="607"/>
      <c r="E135" s="607"/>
      <c r="F135" s="607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08" t="str">
        <f>+VLOOKUP(LEFT($A136,LEN(A136)-1)*1,Master!$D$30:$G$226,4,FALSE)</f>
        <v>Nedostajuća sredstva</v>
      </c>
      <c r="C136" s="609"/>
      <c r="D136" s="609"/>
      <c r="E136" s="609"/>
      <c r="F136" s="609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06" t="str">
        <f>+VLOOKUP(LEFT($A137,LEN(A137)-1)*1,Master!$D$30:$G$226,4,FALSE)</f>
        <v>Finansiranje</v>
      </c>
      <c r="C137" s="607"/>
      <c r="D137" s="607"/>
      <c r="E137" s="607"/>
      <c r="F137" s="607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10" t="str">
        <f>+VLOOKUP(LEFT($A138,LEN(A138)-1)*1,Master!$D$30:$G$226,4,FALSE)</f>
        <v>Pozajmice i krediti od domaćih izvora</v>
      </c>
      <c r="C138" s="611"/>
      <c r="D138" s="611"/>
      <c r="E138" s="611"/>
      <c r="F138" s="611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12" t="str">
        <f>+VLOOKUP(LEFT($A139,LEN(A139)-1)*1,Master!$D$30:$G$226,4,FALSE)</f>
        <v>Pozajmice i krediti od inostranih izvora</v>
      </c>
      <c r="C139" s="613"/>
      <c r="D139" s="613"/>
      <c r="E139" s="613"/>
      <c r="F139" s="613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12" t="str">
        <f>+VLOOKUP(LEFT($A140,LEN(A140)-1)*1,Master!$D$30:$G$226,4,FALSE)</f>
        <v>Primici od prodaje imovine</v>
      </c>
      <c r="C140" s="613"/>
      <c r="D140" s="613"/>
      <c r="E140" s="613"/>
      <c r="F140" s="613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6" t="s">
        <v>101</v>
      </c>
      <c r="C141" s="497"/>
      <c r="D141" s="497"/>
      <c r="E141" s="497"/>
      <c r="F141" s="497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86" t="str">
        <f>+Master!G252</f>
        <v>Ostvarenje budžeta</v>
      </c>
      <c r="C7" s="587"/>
      <c r="D7" s="587"/>
      <c r="E7" s="587"/>
      <c r="F7" s="587"/>
      <c r="G7" s="595">
        <v>2022</v>
      </c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9"/>
      <c r="S7" s="220" t="str">
        <f>+Master!G249</f>
        <v>BDP</v>
      </c>
      <c r="T7" s="221">
        <v>5796761000</v>
      </c>
    </row>
    <row r="8" spans="1:23" ht="16.5" customHeight="1">
      <c r="A8" s="129"/>
      <c r="B8" s="588"/>
      <c r="C8" s="589"/>
      <c r="D8" s="589"/>
      <c r="E8" s="589"/>
      <c r="F8" s="590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95" t="str">
        <f>+Master!G247</f>
        <v>Jan - Dec</v>
      </c>
      <c r="T8" s="599"/>
    </row>
    <row r="9" spans="1:23" ht="13.5" thickBot="1">
      <c r="A9" s="129"/>
      <c r="B9" s="591"/>
      <c r="C9" s="592"/>
      <c r="D9" s="592"/>
      <c r="E9" s="592"/>
      <c r="F9" s="59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66" t="str">
        <f>+VLOOKUP($A10,Master!$D$30:$G$226,4,FALSE)</f>
        <v>Prihodi budžeta</v>
      </c>
      <c r="C10" s="567"/>
      <c r="D10" s="567"/>
      <c r="E10" s="567"/>
      <c r="F10" s="567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556" t="str">
        <f>+VLOOKUP($A11,Master!$D$30:$G$226,4,FALSE)</f>
        <v>Porezi</v>
      </c>
      <c r="C11" s="557"/>
      <c r="D11" s="557"/>
      <c r="E11" s="557"/>
      <c r="F11" s="557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58" t="str">
        <f>+VLOOKUP($A12,Master!$D$30:$G$226,4,FALSE)</f>
        <v>Porez na dohodak fizičkih lica</v>
      </c>
      <c r="C12" s="559"/>
      <c r="D12" s="559"/>
      <c r="E12" s="559"/>
      <c r="F12" s="559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58" t="str">
        <f>+VLOOKUP($A13,Master!$D$30:$G$226,4,FALSE)</f>
        <v>Porez na dobit pravnih lica</v>
      </c>
      <c r="C13" s="559"/>
      <c r="D13" s="559"/>
      <c r="E13" s="559"/>
      <c r="F13" s="559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58" t="str">
        <f>+VLOOKUP($A14,Master!$D$30:$G$226,4,FALSE)</f>
        <v>Porez na promet nepokretnosti</v>
      </c>
      <c r="C14" s="559"/>
      <c r="D14" s="559"/>
      <c r="E14" s="559"/>
      <c r="F14" s="559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58" t="str">
        <f>+VLOOKUP($A15,Master!$D$30:$G$226,4,FALSE)</f>
        <v>Porez na dodatu vrijednost</v>
      </c>
      <c r="C15" s="559"/>
      <c r="D15" s="559"/>
      <c r="E15" s="559"/>
      <c r="F15" s="559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58" t="str">
        <f>+VLOOKUP($A16,Master!$D$30:$G$226,4,FALSE)</f>
        <v>Akcize</v>
      </c>
      <c r="C16" s="559"/>
      <c r="D16" s="559"/>
      <c r="E16" s="559"/>
      <c r="F16" s="559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58" t="str">
        <f>+VLOOKUP($A17,Master!$D$30:$G$226,4,FALSE)</f>
        <v>Porez na međunarodnu trgovinu i transakcije</v>
      </c>
      <c r="C17" s="559"/>
      <c r="D17" s="559"/>
      <c r="E17" s="559"/>
      <c r="F17" s="559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58" t="str">
        <f>+VLOOKUP($A18,Master!$D$30:$G$226,4,FALSE)</f>
        <v>Ostali državni porezi</v>
      </c>
      <c r="C18" s="559"/>
      <c r="D18" s="559"/>
      <c r="E18" s="559"/>
      <c r="F18" s="559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60" t="str">
        <f>+VLOOKUP($A19,Master!$D$30:$G$226,4,FALSE)</f>
        <v>Doprinosi</v>
      </c>
      <c r="C19" s="561"/>
      <c r="D19" s="561"/>
      <c r="E19" s="561"/>
      <c r="F19" s="561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58" t="str">
        <f>+VLOOKUP($A20,Master!$D$30:$G$226,4,FALSE)</f>
        <v>Doprinosi za penzijsko i invalidsko osiguranje</v>
      </c>
      <c r="C20" s="559"/>
      <c r="D20" s="559"/>
      <c r="E20" s="559"/>
      <c r="F20" s="559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58" t="str">
        <f>+VLOOKUP($A21,Master!$D$30:$G$226,4,FALSE)</f>
        <v>Doprinosi za zdravstveno osiguranje</v>
      </c>
      <c r="C21" s="559"/>
      <c r="D21" s="559"/>
      <c r="E21" s="559"/>
      <c r="F21" s="559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58" t="str">
        <f>+VLOOKUP($A22,Master!$D$30:$G$226,4,FALSE)</f>
        <v>Doprinosi za osiguranje od nezaposlenosti</v>
      </c>
      <c r="C22" s="559"/>
      <c r="D22" s="559"/>
      <c r="E22" s="559"/>
      <c r="F22" s="559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58" t="str">
        <f>+VLOOKUP($A23,Master!$D$30:$G$226,4,FALSE)</f>
        <v>Ostali doprinosi</v>
      </c>
      <c r="C23" s="559"/>
      <c r="D23" s="559"/>
      <c r="E23" s="559"/>
      <c r="F23" s="559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60" t="str">
        <f>+VLOOKUP($A24,Master!$D$30:$G$226,4,FALSE)</f>
        <v>Takse</v>
      </c>
      <c r="C24" s="561"/>
      <c r="D24" s="561"/>
      <c r="E24" s="561"/>
      <c r="F24" s="561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60" t="str">
        <f>+VLOOKUP($A25,Master!$D$30:$G$226,4,FALSE)</f>
        <v>Naknade</v>
      </c>
      <c r="C25" s="561"/>
      <c r="D25" s="561"/>
      <c r="E25" s="561"/>
      <c r="F25" s="561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60" t="str">
        <f>+VLOOKUP($A26,Master!$D$30:$G$226,4,FALSE)</f>
        <v>Ostali prihodi</v>
      </c>
      <c r="C26" s="561"/>
      <c r="D26" s="561"/>
      <c r="E26" s="561"/>
      <c r="F26" s="561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60" t="str">
        <f>+VLOOKUP($A27,Master!$D$30:$G$226,4,FALSE)</f>
        <v>Primici od otplate kredita i sredstva prenesena iz prethodne godine</v>
      </c>
      <c r="C27" s="561"/>
      <c r="D27" s="561"/>
      <c r="E27" s="561"/>
      <c r="F27" s="561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60" t="str">
        <f>+VLOOKUP($A28,Master!$D$30:$G$226,4,FALSE)</f>
        <v>Donacije i transferi</v>
      </c>
      <c r="C28" s="561"/>
      <c r="D28" s="561"/>
      <c r="E28" s="561"/>
      <c r="F28" s="561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66" t="str">
        <f>+VLOOKUP($A29,Master!$D$30:$G$226,4,FALSE)</f>
        <v>Izdaci budžeta</v>
      </c>
      <c r="C29" s="567"/>
      <c r="D29" s="567"/>
      <c r="E29" s="567"/>
      <c r="F29" s="567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570" t="str">
        <f>+VLOOKUP($A30,Master!$D$30:$G$226,4,FALSE)</f>
        <v>Tekući izdaci</v>
      </c>
      <c r="C30" s="571"/>
      <c r="D30" s="571"/>
      <c r="E30" s="571"/>
      <c r="F30" s="571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58" t="str">
        <f>+VLOOKUP($A31,Master!$D$30:$G$226,4,FALSE)</f>
        <v>Bruto zarade i doprinosi na teret poslodavca</v>
      </c>
      <c r="C31" s="559"/>
      <c r="D31" s="559"/>
      <c r="E31" s="559"/>
      <c r="F31" s="559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58" t="str">
        <f>+VLOOKUP($A32,Master!$D$30:$G$226,4,FALSE)</f>
        <v>Ostala lična primanja</v>
      </c>
      <c r="C32" s="559"/>
      <c r="D32" s="559"/>
      <c r="E32" s="559"/>
      <c r="F32" s="559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58" t="str">
        <f>+VLOOKUP($A33,Master!$D$30:$G$226,4,FALSE)</f>
        <v>Rashodi za materijal</v>
      </c>
      <c r="C33" s="559"/>
      <c r="D33" s="559"/>
      <c r="E33" s="559"/>
      <c r="F33" s="559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53" t="str">
        <f>+VLOOKUP($A34,Master!$D$30:$G$226,4,FALSE)</f>
        <v>Rashodi za usluge</v>
      </c>
      <c r="C34" s="654"/>
      <c r="D34" s="654"/>
      <c r="E34" s="654"/>
      <c r="F34" s="654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58" t="str">
        <f>+VLOOKUP($A35,Master!$D$30:$G$226,4,FALSE)</f>
        <v>Rashodi za tekuće održavanje</v>
      </c>
      <c r="C35" s="559"/>
      <c r="D35" s="559"/>
      <c r="E35" s="559"/>
      <c r="F35" s="559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58" t="str">
        <f>+VLOOKUP($A36,Master!$D$30:$G$226,4,FALSE)</f>
        <v>Kamate</v>
      </c>
      <c r="C36" s="559"/>
      <c r="D36" s="559"/>
      <c r="E36" s="559"/>
      <c r="F36" s="559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58" t="str">
        <f>+VLOOKUP($A37,Master!$D$30:$G$226,4,FALSE)</f>
        <v>Renta</v>
      </c>
      <c r="C37" s="559"/>
      <c r="D37" s="559"/>
      <c r="E37" s="559"/>
      <c r="F37" s="559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58" t="str">
        <f>+VLOOKUP($A38,Master!$D$30:$G$226,4,FALSE)</f>
        <v>Subvencije</v>
      </c>
      <c r="C38" s="559"/>
      <c r="D38" s="559"/>
      <c r="E38" s="559"/>
      <c r="F38" s="559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58" t="str">
        <f>+VLOOKUP($A39,Master!$D$30:$G$226,4,FALSE)</f>
        <v>Ostali izdaci</v>
      </c>
      <c r="C39" s="559"/>
      <c r="D39" s="559"/>
      <c r="E39" s="559"/>
      <c r="F39" s="559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74" t="str">
        <f>+VLOOKUP($A40,Master!$D$30:$G$226,4,FALSE)</f>
        <v>Transferi za socijalnu zaštitu</v>
      </c>
      <c r="C40" s="575"/>
      <c r="D40" s="575"/>
      <c r="E40" s="575"/>
      <c r="F40" s="575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58" t="str">
        <f>+VLOOKUP($A41,Master!$D$30:$G$226,4,FALSE)</f>
        <v>Prava iz oblasti socijalne zaštite</v>
      </c>
      <c r="C41" s="559"/>
      <c r="D41" s="559"/>
      <c r="E41" s="559"/>
      <c r="F41" s="559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58" t="str">
        <f>+VLOOKUP($A42,Master!$D$30:$G$226,4,FALSE)</f>
        <v>Sredstva za tehnološke viškove</v>
      </c>
      <c r="C42" s="559"/>
      <c r="D42" s="559"/>
      <c r="E42" s="559"/>
      <c r="F42" s="559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58" t="str">
        <f>+VLOOKUP($A43,Master!$D$30:$G$226,4,FALSE)</f>
        <v>Prava iz oblasti penzijskog i invalidskog osiguranja</v>
      </c>
      <c r="C43" s="559"/>
      <c r="D43" s="559"/>
      <c r="E43" s="559"/>
      <c r="F43" s="559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58" t="str">
        <f>+VLOOKUP($A44,Master!$D$30:$G$226,4,FALSE)</f>
        <v>Ostala prava iz oblasti zdravstvene zaštite</v>
      </c>
      <c r="C44" s="559"/>
      <c r="D44" s="559"/>
      <c r="E44" s="559"/>
      <c r="F44" s="559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49" t="str">
        <f>+VLOOKUP($A45,Master!$D$30:$G$226,4,FALSE)</f>
        <v>Ostala prava iz zdravstvenog osiguranja</v>
      </c>
      <c r="C45" s="650"/>
      <c r="D45" s="650"/>
      <c r="E45" s="650"/>
      <c r="F45" s="650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72" t="str">
        <f>+VLOOKUP($A46,Master!$D$30:$G$226,4,FALSE)</f>
        <v xml:space="preserve">Transferi institucijama, pojedincima, nevladinom i javnom sektoru </v>
      </c>
      <c r="C46" s="573"/>
      <c r="D46" s="573"/>
      <c r="E46" s="573"/>
      <c r="F46" s="573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72" t="str">
        <f>+VLOOKUP($A47,Master!$D$30:$G$226,4,FALSE)</f>
        <v>Kapitalni izdaci</v>
      </c>
      <c r="C47" s="573"/>
      <c r="D47" s="573"/>
      <c r="E47" s="573"/>
      <c r="F47" s="573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51" t="str">
        <f>+VLOOKUP($A48,Master!$D$30:$G$226,4,FALSE)</f>
        <v>Pozajmice i krediti</v>
      </c>
      <c r="C48" s="652"/>
      <c r="D48" s="652"/>
      <c r="E48" s="652"/>
      <c r="F48" s="652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43" t="str">
        <f>+VLOOKUP($A49,Master!$D$30:$G$226,4,FALSE)</f>
        <v>Rezerve</v>
      </c>
      <c r="C49" s="644"/>
      <c r="D49" s="644"/>
      <c r="E49" s="644"/>
      <c r="F49" s="644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78" t="str">
        <f>+VLOOKUP($A50,Master!$D$30:$G$226,4,FALSE)</f>
        <v>Otplata garancija</v>
      </c>
      <c r="C50" s="579"/>
      <c r="D50" s="579"/>
      <c r="E50" s="579"/>
      <c r="F50" s="579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45" t="str">
        <f>+VLOOKUP($A51,Master!$D$30:$G$226,4,TRUE)</f>
        <v>Otplata obaveza iz prethodnog perioda</v>
      </c>
      <c r="C51" s="646"/>
      <c r="D51" s="646"/>
      <c r="E51" s="646"/>
      <c r="F51" s="646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47" t="str">
        <f>+VLOOKUP($A52,Master!$D$30:$G$228,4,FALSE)</f>
        <v>Neto povećanje obaveza</v>
      </c>
      <c r="C52" s="648"/>
      <c r="D52" s="648"/>
      <c r="E52" s="648"/>
      <c r="F52" s="648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80" t="str">
        <f>+VLOOKUP($A53,Master!$D$30:$G$226,4,FALSE)</f>
        <v>Suficit / deficit</v>
      </c>
      <c r="C53" s="581"/>
      <c r="D53" s="581"/>
      <c r="E53" s="581"/>
      <c r="F53" s="581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82" t="str">
        <f>+VLOOKUP($A54,Master!$D$30:$G$226,4,FALSE)</f>
        <v>Primarni suficit/deficit</v>
      </c>
      <c r="C54" s="583"/>
      <c r="D54" s="583"/>
      <c r="E54" s="583"/>
      <c r="F54" s="583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04" t="str">
        <f>+VLOOKUP($A55,Master!$D$30:$G$226,4,FALSE)</f>
        <v>Otplata dugova</v>
      </c>
      <c r="C55" s="605"/>
      <c r="D55" s="605"/>
      <c r="E55" s="605"/>
      <c r="F55" s="605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600" t="str">
        <f>+VLOOKUP($A56,Master!$D$30:$G$226,4,FALSE)</f>
        <v>Otplata hartija od vrijednosti i kredita rezidentima</v>
      </c>
      <c r="C56" s="601"/>
      <c r="D56" s="601"/>
      <c r="E56" s="601"/>
      <c r="F56" s="601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76" t="str">
        <f>+VLOOKUP($A57,Master!$D$30:$G$226,4,FALSE)</f>
        <v>Otplata hartija od vrijednosti i kredita nerezidentima</v>
      </c>
      <c r="C57" s="577"/>
      <c r="D57" s="577"/>
      <c r="E57" s="577"/>
      <c r="F57" s="577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568" t="str">
        <f>+VLOOKUP($A58,Master!$D$30:$G$226,4,FALSE)</f>
        <v>Izdaci za kupovinu hartija od vrijednosti</v>
      </c>
      <c r="C58" s="569"/>
      <c r="D58" s="569"/>
      <c r="E58" s="569"/>
      <c r="F58" s="569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568" t="str">
        <f>+VLOOKUP($A59,Master!$D$30:$G$226,4,FALSE)</f>
        <v>Pozajmice i krediti</v>
      </c>
      <c r="C59" s="569"/>
      <c r="D59" s="569"/>
      <c r="E59" s="569"/>
      <c r="F59" s="569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602" t="str">
        <f>+VLOOKUP($A60,Master!$D$30:$G$226,4,FALSE)</f>
        <v>Nedostajuća sredstva</v>
      </c>
      <c r="C60" s="603"/>
      <c r="D60" s="603"/>
      <c r="E60" s="603"/>
      <c r="F60" s="603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66" t="str">
        <f>+VLOOKUP($A61,Master!$D$30:$G$226,4,FALSE)</f>
        <v>Finansiranje</v>
      </c>
      <c r="C61" s="567"/>
      <c r="D61" s="567"/>
      <c r="E61" s="567"/>
      <c r="F61" s="567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600" t="str">
        <f>+VLOOKUP($A62,Master!$D$30:$G$226,4,FALSE)</f>
        <v>Pozajmice i krediti od domaćih izvora</v>
      </c>
      <c r="C62" s="601"/>
      <c r="D62" s="601"/>
      <c r="E62" s="601"/>
      <c r="F62" s="601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600" t="str">
        <f>+VLOOKUP($A63,Master!$D$30:$G$226,4,FALSE)</f>
        <v>Pozajmice i krediti od inostranih izvora</v>
      </c>
      <c r="C63" s="601"/>
      <c r="D63" s="601"/>
      <c r="E63" s="601"/>
      <c r="F63" s="601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76" t="str">
        <f>+VLOOKUP($A64,Master!$D$30:$G$226,4,FALSE)</f>
        <v>Primici od prodaje imovine</v>
      </c>
      <c r="C64" s="577"/>
      <c r="D64" s="577"/>
      <c r="E64" s="577"/>
      <c r="F64" s="577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76" t="s">
        <v>101</v>
      </c>
      <c r="C65" s="577"/>
      <c r="D65" s="577"/>
      <c r="E65" s="577"/>
      <c r="F65" s="577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32" t="str">
        <f>+Master!G253</f>
        <v>Plan ostvarenja budžeta</v>
      </c>
      <c r="C83" s="633"/>
      <c r="D83" s="633"/>
      <c r="E83" s="633"/>
      <c r="F83" s="633"/>
      <c r="G83" s="640">
        <v>2022</v>
      </c>
      <c r="H83" s="641"/>
      <c r="I83" s="641"/>
      <c r="J83" s="641"/>
      <c r="K83" s="641"/>
      <c r="L83" s="641"/>
      <c r="M83" s="641"/>
      <c r="N83" s="641"/>
      <c r="O83" s="641"/>
      <c r="P83" s="641"/>
      <c r="Q83" s="641"/>
      <c r="R83" s="642"/>
      <c r="S83" s="96" t="str">
        <f>+S7</f>
        <v>BDP</v>
      </c>
      <c r="T83" s="97">
        <v>5700400000</v>
      </c>
    </row>
    <row r="84" spans="1:26" ht="15.75" customHeight="1">
      <c r="B84" s="634"/>
      <c r="C84" s="635"/>
      <c r="D84" s="635"/>
      <c r="E84" s="635"/>
      <c r="F84" s="636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640" t="str">
        <f>+Master!G247</f>
        <v>Jan - Dec</v>
      </c>
      <c r="T84" s="642">
        <f>+T8</f>
        <v>0</v>
      </c>
    </row>
    <row r="85" spans="1:26" ht="13.5" thickBot="1">
      <c r="B85" s="637"/>
      <c r="C85" s="638"/>
      <c r="D85" s="638"/>
      <c r="E85" s="638"/>
      <c r="F85" s="639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606" t="str">
        <f>+VLOOKUP(LEFT($A86,LEN(A86)-1)*1,Master!$D$30:$G$226,4,FALSE)</f>
        <v>Prihodi budžeta</v>
      </c>
      <c r="C86" s="607"/>
      <c r="D86" s="607"/>
      <c r="E86" s="607"/>
      <c r="F86" s="607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30" t="str">
        <f>+VLOOKUP(LEFT($A87,LEN(A87)-1)*1,Master!$D$30:$G$226,4,FALSE)</f>
        <v>Porezi</v>
      </c>
      <c r="C87" s="631"/>
      <c r="D87" s="631"/>
      <c r="E87" s="631"/>
      <c r="F87" s="631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22" t="str">
        <f>+VLOOKUP(LEFT($A88,LEN(A88)-1)*1,Master!$D$30:$G$229,4,FALSE)</f>
        <v>Porez na dohodak fizičkih lica</v>
      </c>
      <c r="C88" s="623"/>
      <c r="D88" s="623"/>
      <c r="E88" s="623"/>
      <c r="F88" s="623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22" t="str">
        <f>+VLOOKUP(LEFT($A89,LEN(A89)-1)*1,Master!$D$30:$G$229,4,FALSE)</f>
        <v>Porez na dobit pravnih lica</v>
      </c>
      <c r="C89" s="623"/>
      <c r="D89" s="623"/>
      <c r="E89" s="623"/>
      <c r="F89" s="623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22" t="str">
        <f>+VLOOKUP(LEFT($A90,LEN(A90)-1)*1,Master!$D$30:$G$229,4,FALSE)</f>
        <v>Porez na promet nepokretnosti</v>
      </c>
      <c r="C90" s="623"/>
      <c r="D90" s="623"/>
      <c r="E90" s="623"/>
      <c r="F90" s="623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22" t="str">
        <f>+VLOOKUP(LEFT($A91,LEN(A91)-1)*1,Master!$D$30:$G$229,4,FALSE)</f>
        <v>Porez na dodatu vrijednost</v>
      </c>
      <c r="C91" s="623"/>
      <c r="D91" s="623"/>
      <c r="E91" s="623"/>
      <c r="F91" s="623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22" t="str">
        <f>+VLOOKUP(LEFT($A92,LEN(A92)-1)*1,Master!$D$30:$G$229,4,FALSE)</f>
        <v>Akcize</v>
      </c>
      <c r="C92" s="623"/>
      <c r="D92" s="623"/>
      <c r="E92" s="623"/>
      <c r="F92" s="623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22" t="str">
        <f>+VLOOKUP(LEFT($A93,LEN(A93)-1)*1,Master!$D$30:$G$229,4,FALSE)</f>
        <v>Porez na međunarodnu trgovinu i transakcije</v>
      </c>
      <c r="C93" s="623"/>
      <c r="D93" s="623"/>
      <c r="E93" s="623"/>
      <c r="F93" s="623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22" t="str">
        <f>+VLOOKUP(LEFT($A94,LEN(A94)-1)*1,Master!$D$30:$G$229,4,FALSE)</f>
        <v>Ostali državni porezi</v>
      </c>
      <c r="C94" s="623"/>
      <c r="D94" s="623"/>
      <c r="E94" s="623"/>
      <c r="F94" s="623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28" t="str">
        <f>+VLOOKUP(LEFT($A95,LEN(A95)-1)*1,Master!$D$30:$G$229,4,FALSE)</f>
        <v>Doprinosi</v>
      </c>
      <c r="C95" s="629"/>
      <c r="D95" s="629"/>
      <c r="E95" s="629"/>
      <c r="F95" s="629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22" t="str">
        <f>+VLOOKUP(LEFT($A96,LEN(A96)-1)*1,Master!$D$30:$G$229,4,FALSE)</f>
        <v>Doprinosi za penzijsko i invalidsko osiguranje</v>
      </c>
      <c r="C96" s="623"/>
      <c r="D96" s="623"/>
      <c r="E96" s="623"/>
      <c r="F96" s="623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22" t="str">
        <f>+VLOOKUP(LEFT($A97,LEN(A97)-1)*1,Master!$D$30:$G$229,4,FALSE)</f>
        <v>Doprinosi za zdravstveno osiguranje</v>
      </c>
      <c r="C97" s="623"/>
      <c r="D97" s="623"/>
      <c r="E97" s="623"/>
      <c r="F97" s="623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22" t="str">
        <f>+VLOOKUP(LEFT($A98,LEN(A98)-1)*1,Master!$D$30:$G$229,4,FALSE)</f>
        <v>Doprinosi za osiguranje od nezaposlenosti</v>
      </c>
      <c r="C98" s="623"/>
      <c r="D98" s="623"/>
      <c r="E98" s="623"/>
      <c r="F98" s="623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22" t="str">
        <f>+VLOOKUP(LEFT($A99,LEN(A99)-1)*1,Master!$D$30:$G$229,4,FALSE)</f>
        <v>Ostali doprinosi</v>
      </c>
      <c r="C99" s="623"/>
      <c r="D99" s="623"/>
      <c r="E99" s="623"/>
      <c r="F99" s="623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28" t="str">
        <f>+VLOOKUP(LEFT($A100,LEN(A100)-1)*1,Master!$D$30:$G$229,4,FALSE)</f>
        <v>Takse</v>
      </c>
      <c r="C100" s="629"/>
      <c r="D100" s="629"/>
      <c r="E100" s="629"/>
      <c r="F100" s="629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28" t="str">
        <f>+VLOOKUP(LEFT($A101,LEN(A101)-1)*1,Master!$D$30:$G$229,4,FALSE)</f>
        <v>Naknade</v>
      </c>
      <c r="C101" s="629"/>
      <c r="D101" s="629"/>
      <c r="E101" s="629"/>
      <c r="F101" s="629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28" t="str">
        <f>+VLOOKUP(LEFT($A102,LEN(A102)-1)*1,Master!$D$30:$G$229,4,FALSE)</f>
        <v>Ostali prihodi</v>
      </c>
      <c r="C102" s="629"/>
      <c r="D102" s="629"/>
      <c r="E102" s="629"/>
      <c r="F102" s="629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28" t="str">
        <f>+VLOOKUP(LEFT($A103,LEN(A103)-1)*1,Master!$D$30:$G$229,4,FALSE)</f>
        <v>Primici od otplate kredita i sredstva prenesena iz prethodne godine</v>
      </c>
      <c r="C103" s="629"/>
      <c r="D103" s="629"/>
      <c r="E103" s="629"/>
      <c r="F103" s="629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24" t="str">
        <f>+VLOOKUP(LEFT($A104,LEN(A104)-1)*1,Master!$D$30:$G$229,4,FALSE)</f>
        <v>Donacije i transferi</v>
      </c>
      <c r="C104" s="625"/>
      <c r="D104" s="625"/>
      <c r="E104" s="625"/>
      <c r="F104" s="625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06" t="str">
        <f>+VLOOKUP(LEFT($A105,LEN(A105)-1)*1,Master!$D$30:$G$229,4,FALSE)</f>
        <v>Izdaci budžeta</v>
      </c>
      <c r="C105" s="607"/>
      <c r="D105" s="607"/>
      <c r="E105" s="607"/>
      <c r="F105" s="607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26" t="str">
        <f>+VLOOKUP(LEFT($A106,LEN(A106)-1)*1,Master!$D$30:$G$229,4,FALSE)</f>
        <v>Tekući izdaci</v>
      </c>
      <c r="C106" s="627"/>
      <c r="D106" s="627"/>
      <c r="E106" s="627"/>
      <c r="F106" s="627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22" t="str">
        <f>+VLOOKUP(LEFT($A107,LEN(A107)-1)*1,Master!$D$30:$G$229,4,FALSE)</f>
        <v>Bruto zarade i doprinosi na teret poslodavca</v>
      </c>
      <c r="C107" s="623"/>
      <c r="D107" s="623"/>
      <c r="E107" s="623"/>
      <c r="F107" s="623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22" t="str">
        <f>+VLOOKUP(LEFT($A108,LEN(A108)-1)*1,Master!$D$30:$G$229,4,FALSE)</f>
        <v>Ostala lična primanja</v>
      </c>
      <c r="C108" s="623"/>
      <c r="D108" s="623"/>
      <c r="E108" s="623"/>
      <c r="F108" s="623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22" t="str">
        <f>+VLOOKUP(LEFT($A109,LEN(A109)-1)*1,Master!$D$30:$G$229,4,FALSE)</f>
        <v>Rashodi za materijal</v>
      </c>
      <c r="C109" s="623"/>
      <c r="D109" s="623"/>
      <c r="E109" s="623"/>
      <c r="F109" s="623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22" t="str">
        <f>+VLOOKUP(LEFT($A110,LEN(A110)-1)*1,Master!$D$30:$G$229,4,FALSE)</f>
        <v>Rashodi za usluge</v>
      </c>
      <c r="C110" s="623"/>
      <c r="D110" s="623"/>
      <c r="E110" s="623"/>
      <c r="F110" s="623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22" t="str">
        <f>+VLOOKUP(LEFT($A111,LEN(A111)-1)*1,Master!$D$30:$G$229,4,FALSE)</f>
        <v>Rashodi za tekuće održavanje</v>
      </c>
      <c r="C111" s="623"/>
      <c r="D111" s="623"/>
      <c r="E111" s="623"/>
      <c r="F111" s="623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22" t="str">
        <f>+VLOOKUP(LEFT($A112,LEN(A112)-1)*1,Master!$D$30:$G$229,4,FALSE)</f>
        <v>Kamate</v>
      </c>
      <c r="C112" s="623"/>
      <c r="D112" s="623"/>
      <c r="E112" s="623"/>
      <c r="F112" s="623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22" t="str">
        <f>+VLOOKUP(LEFT($A113,LEN(A113)-1)*1,Master!$D$30:$G$229,4,FALSE)</f>
        <v>Renta</v>
      </c>
      <c r="C113" s="623"/>
      <c r="D113" s="623"/>
      <c r="E113" s="623"/>
      <c r="F113" s="623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22" t="str">
        <f>+VLOOKUP(LEFT($A114,LEN(A114)-1)*1,Master!$D$30:$G$229,4,FALSE)</f>
        <v>Subvencije</v>
      </c>
      <c r="C114" s="623"/>
      <c r="D114" s="623"/>
      <c r="E114" s="623"/>
      <c r="F114" s="623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22" t="str">
        <f>+VLOOKUP(LEFT($A115,LEN(A115)-1)*1,Master!$D$30:$G$229,4,FALSE)</f>
        <v>Ostali izdaci</v>
      </c>
      <c r="C115" s="623"/>
      <c r="D115" s="623"/>
      <c r="E115" s="623"/>
      <c r="F115" s="623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18" t="str">
        <f>+VLOOKUP(LEFT($A116,LEN(A116)-1)*1,Master!$D$30:$G$229,4,FALSE)</f>
        <v>Transferi za socijalnu zaštitu</v>
      </c>
      <c r="C116" s="619"/>
      <c r="D116" s="619"/>
      <c r="E116" s="619"/>
      <c r="F116" s="619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22" t="str">
        <f>+VLOOKUP(LEFT($A117,LEN(A117)-1)*1,Master!$D$30:$G$229,4,FALSE)</f>
        <v>Prava iz oblasti socijalne zaštite</v>
      </c>
      <c r="C117" s="623"/>
      <c r="D117" s="623"/>
      <c r="E117" s="623"/>
      <c r="F117" s="623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22" t="str">
        <f>+VLOOKUP(LEFT($A118,LEN(A118)-1)*1,Master!$D$30:$G$229,4,FALSE)</f>
        <v>Sredstva za tehnološke viškove</v>
      </c>
      <c r="C118" s="623"/>
      <c r="D118" s="623"/>
      <c r="E118" s="623"/>
      <c r="F118" s="623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22" t="str">
        <f>+VLOOKUP(LEFT($A119,LEN(A119)-1)*1,Master!$D$30:$G$229,4,FALSE)</f>
        <v>Prava iz oblasti penzijskog i invalidskog osiguranja</v>
      </c>
      <c r="C119" s="623"/>
      <c r="D119" s="623"/>
      <c r="E119" s="623"/>
      <c r="F119" s="623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22" t="str">
        <f>+VLOOKUP(LEFT($A120,LEN(A120)-1)*1,Master!$D$30:$G$229,4,FALSE)</f>
        <v>Ostala prava iz oblasti zdravstvene zaštite</v>
      </c>
      <c r="C120" s="623"/>
      <c r="D120" s="623"/>
      <c r="E120" s="623"/>
      <c r="F120" s="623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22" t="str">
        <f>+VLOOKUP(LEFT($A121,LEN(A121)-1)*1,Master!$D$30:$G$229,4,FALSE)</f>
        <v>Ostala prava iz zdravstvenog osiguranja</v>
      </c>
      <c r="C121" s="623"/>
      <c r="D121" s="623"/>
      <c r="E121" s="623"/>
      <c r="F121" s="623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20" t="str">
        <f>+VLOOKUP(LEFT($A122,LEN(A122)-1)*1,Master!$D$30:$G$229,4,FALSE)</f>
        <v xml:space="preserve">Transferi institucijama, pojedincima, nevladinom i javnom sektoru </v>
      </c>
      <c r="C122" s="621"/>
      <c r="D122" s="621"/>
      <c r="E122" s="621"/>
      <c r="F122" s="621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20" t="str">
        <f>+VLOOKUP(LEFT($A123,LEN(A123)-1)*1,Master!$D$30:$G$229,4,FALSE)</f>
        <v>Kapitalni izdaci</v>
      </c>
      <c r="C123" s="621"/>
      <c r="D123" s="621"/>
      <c r="E123" s="621"/>
      <c r="F123" s="621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12" t="str">
        <f>+VLOOKUP(LEFT($A124,LEN(A124)-1)*1,Master!$D$30:$G$229,4,FALSE)</f>
        <v>Pozajmice i krediti</v>
      </c>
      <c r="C124" s="613"/>
      <c r="D124" s="613"/>
      <c r="E124" s="613"/>
      <c r="F124" s="613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12" t="str">
        <f>+VLOOKUP(LEFT($A125,LEN(A125)-1)*1,Master!$D$30:$G$229,4,FALSE)</f>
        <v>Rezerve</v>
      </c>
      <c r="C125" s="613"/>
      <c r="D125" s="613"/>
      <c r="E125" s="613"/>
      <c r="F125" s="613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12" t="str">
        <f>+VLOOKUP(LEFT($A126,LEN(A126)-1)*1,Master!$D$30:$G$229,4,FALSE)</f>
        <v>Otplata garancija</v>
      </c>
      <c r="C126" s="613"/>
      <c r="D126" s="613"/>
      <c r="E126" s="613"/>
      <c r="F126" s="613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12" t="str">
        <f>+VLOOKUP(LEFT($A127,LEN(A127)-1)*1,Master!$D$30:$G$229,4,FALSE)</f>
        <v>Otplata obaveza iz prethodnog perioda</v>
      </c>
      <c r="C127" s="613"/>
      <c r="D127" s="613"/>
      <c r="E127" s="613"/>
      <c r="F127" s="613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12" t="str">
        <f>+VLOOKUP(LEFT($A128,LEN(A128)-1)*1,Master!$D$30:$G$229,4,FALSE)</f>
        <v>Neto povećanje obaveza</v>
      </c>
      <c r="C128" s="613"/>
      <c r="D128" s="613"/>
      <c r="E128" s="613"/>
      <c r="F128" s="613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14" t="str">
        <f>+VLOOKUP(LEFT($A129,LEN(A129)-1)*1,Master!$D$30:$G$226,4,FALSE)</f>
        <v>Suficit / deficit</v>
      </c>
      <c r="C129" s="615"/>
      <c r="D129" s="615"/>
      <c r="E129" s="615"/>
      <c r="F129" s="615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16" t="str">
        <f>+VLOOKUP(LEFT($A130,LEN(A130)-1)*1,Master!$D$30:$G$226,4,FALSE)</f>
        <v>Primarni suficit/deficit</v>
      </c>
      <c r="C130" s="617"/>
      <c r="D130" s="617"/>
      <c r="E130" s="617"/>
      <c r="F130" s="617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18" t="str">
        <f>+VLOOKUP(LEFT($A131,LEN(A131)-1)*1,Master!$D$30:$G$226,4,FALSE)</f>
        <v>Otplata dugova</v>
      </c>
      <c r="C131" s="619"/>
      <c r="D131" s="619"/>
      <c r="E131" s="619"/>
      <c r="F131" s="619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10" t="str">
        <f>+VLOOKUP(LEFT($A132,LEN(A132)-1)*1,Master!$D$30:$G$226,4,FALSE)</f>
        <v>Otplata hartija od vrijednosti i kredita rezidentima</v>
      </c>
      <c r="C132" s="611"/>
      <c r="D132" s="611"/>
      <c r="E132" s="611"/>
      <c r="F132" s="611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12" t="str">
        <f>+VLOOKUP(LEFT($A133,LEN(A133)-1)*1,Master!$D$30:$G$226,4,FALSE)</f>
        <v>Otplata hartija od vrijednosti i kredita nerezidentima</v>
      </c>
      <c r="C133" s="613"/>
      <c r="D133" s="613"/>
      <c r="E133" s="613"/>
      <c r="F133" s="613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06" t="str">
        <f>+VLOOKUP(LEFT($A134,LEN(A134)-1)*1,Master!$D$30:$G$226,4,FALSE)</f>
        <v>Izdaci za kupovinu hartija od vrijednosti</v>
      </c>
      <c r="C134" s="607"/>
      <c r="D134" s="607"/>
      <c r="E134" s="607"/>
      <c r="F134" s="607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08" t="str">
        <f>+VLOOKUP(LEFT($A135,LEN(A135)-1)*1,Master!$D$30:$G$226,4,FALSE)</f>
        <v>Nedostajuća sredstva</v>
      </c>
      <c r="C135" s="609"/>
      <c r="D135" s="609"/>
      <c r="E135" s="609"/>
      <c r="F135" s="609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06" t="str">
        <f>+VLOOKUP(LEFT($A136,LEN(A136)-1)*1,Master!$D$30:$G$226,4,FALSE)</f>
        <v>Finansiranje</v>
      </c>
      <c r="C136" s="607"/>
      <c r="D136" s="607"/>
      <c r="E136" s="607"/>
      <c r="F136" s="607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10" t="str">
        <f>+VLOOKUP(LEFT($A137,LEN(A137)-1)*1,Master!$D$30:$G$226,4,FALSE)</f>
        <v>Pozajmice i krediti od domaćih izvora</v>
      </c>
      <c r="C137" s="611"/>
      <c r="D137" s="611"/>
      <c r="E137" s="611"/>
      <c r="F137" s="611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12" t="str">
        <f>+VLOOKUP(LEFT($A138,LEN(A138)-1)*1,Master!$D$30:$G$226,4,FALSE)</f>
        <v>Pozajmice i krediti od inostranih izvora</v>
      </c>
      <c r="C138" s="613"/>
      <c r="D138" s="613"/>
      <c r="E138" s="613"/>
      <c r="F138" s="613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12" t="str">
        <f>+VLOOKUP(LEFT($A139,LEN(A139)-1)*1,Master!$D$30:$G$226,4,FALSE)</f>
        <v>Primici od prodaje imovine</v>
      </c>
      <c r="C139" s="613"/>
      <c r="D139" s="613"/>
      <c r="E139" s="613"/>
      <c r="F139" s="613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86" t="str">
        <f>+Master!G252</f>
        <v>Ostvarenje budžeta</v>
      </c>
      <c r="C7" s="587"/>
      <c r="D7" s="587"/>
      <c r="E7" s="587"/>
      <c r="F7" s="587"/>
      <c r="G7" s="595">
        <v>2021</v>
      </c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9"/>
      <c r="S7" s="220" t="str">
        <f>+Master!G249</f>
        <v>BDP</v>
      </c>
      <c r="T7" s="221">
        <v>4955116000</v>
      </c>
    </row>
    <row r="8" spans="1:22" ht="16.5" customHeight="1">
      <c r="A8" s="129"/>
      <c r="B8" s="588"/>
      <c r="C8" s="589"/>
      <c r="D8" s="589"/>
      <c r="E8" s="589"/>
      <c r="F8" s="590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95" t="str">
        <f>+Master!G247</f>
        <v>Jan - Dec</v>
      </c>
      <c r="T8" s="599"/>
    </row>
    <row r="9" spans="1:22" ht="13.5" thickBot="1">
      <c r="A9" s="129"/>
      <c r="B9" s="591"/>
      <c r="C9" s="592"/>
      <c r="D9" s="592"/>
      <c r="E9" s="592"/>
      <c r="F9" s="59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554" t="str">
        <f>+VLOOKUP($A10,Master!$D$30:$G$226,4,FALSE)</f>
        <v>Prihodi budžeta</v>
      </c>
      <c r="C10" s="555"/>
      <c r="D10" s="555"/>
      <c r="E10" s="555"/>
      <c r="F10" s="555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556" t="str">
        <f>+VLOOKUP($A11,Master!$D$30:$G$226,4,FALSE)</f>
        <v>Porezi</v>
      </c>
      <c r="C11" s="557"/>
      <c r="D11" s="557"/>
      <c r="E11" s="557"/>
      <c r="F11" s="557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58" t="str">
        <f>+VLOOKUP($A12,Master!$D$30:$G$226,4,FALSE)</f>
        <v>Porez na dohodak fizičkih lica</v>
      </c>
      <c r="C12" s="559"/>
      <c r="D12" s="559"/>
      <c r="E12" s="559"/>
      <c r="F12" s="559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58" t="str">
        <f>+VLOOKUP($A13,Master!$D$30:$G$226,4,FALSE)</f>
        <v>Porez na dobit pravnih lica</v>
      </c>
      <c r="C13" s="559"/>
      <c r="D13" s="559"/>
      <c r="E13" s="559"/>
      <c r="F13" s="559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58" t="str">
        <f>+VLOOKUP($A14,Master!$D$30:$G$226,4,FALSE)</f>
        <v>Porez na promet nepokretnosti</v>
      </c>
      <c r="C14" s="559"/>
      <c r="D14" s="559"/>
      <c r="E14" s="559"/>
      <c r="F14" s="559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58" t="str">
        <f>+VLOOKUP($A15,Master!$D$30:$G$226,4,FALSE)</f>
        <v>Porez na dodatu vrijednost</v>
      </c>
      <c r="C15" s="559"/>
      <c r="D15" s="559"/>
      <c r="E15" s="559"/>
      <c r="F15" s="559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58" t="str">
        <f>+VLOOKUP($A16,Master!$D$30:$G$226,4,FALSE)</f>
        <v>Akcize</v>
      </c>
      <c r="C16" s="559"/>
      <c r="D16" s="559"/>
      <c r="E16" s="559"/>
      <c r="F16" s="559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58" t="str">
        <f>+VLOOKUP($A17,Master!$D$30:$G$226,4,FALSE)</f>
        <v>Porez na međunarodnu trgovinu i transakcije</v>
      </c>
      <c r="C17" s="559"/>
      <c r="D17" s="559"/>
      <c r="E17" s="559"/>
      <c r="F17" s="559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58" t="str">
        <f>+VLOOKUP($A18,Master!$D$30:$G$226,4,FALSE)</f>
        <v>Ostali državni porezi</v>
      </c>
      <c r="C18" s="559"/>
      <c r="D18" s="559"/>
      <c r="E18" s="559"/>
      <c r="F18" s="559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562" t="str">
        <f>+VLOOKUP($A19,Master!$D$30:$G$226,4,FALSE)</f>
        <v>Doprinosi</v>
      </c>
      <c r="C19" s="563"/>
      <c r="D19" s="563"/>
      <c r="E19" s="563"/>
      <c r="F19" s="563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58" t="str">
        <f>+VLOOKUP($A20,Master!$D$30:$G$226,4,FALSE)</f>
        <v>Doprinosi za penzijsko i invalidsko osiguranje</v>
      </c>
      <c r="C20" s="559"/>
      <c r="D20" s="559"/>
      <c r="E20" s="559"/>
      <c r="F20" s="559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58" t="str">
        <f>+VLOOKUP($A21,Master!$D$30:$G$226,4,FALSE)</f>
        <v>Doprinosi za zdravstveno osiguranje</v>
      </c>
      <c r="C21" s="559"/>
      <c r="D21" s="559"/>
      <c r="E21" s="559"/>
      <c r="F21" s="559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58" t="str">
        <f>+VLOOKUP($A22,Master!$D$30:$G$226,4,FALSE)</f>
        <v>Doprinosi za osiguranje od nezaposlenosti</v>
      </c>
      <c r="C22" s="559"/>
      <c r="D22" s="559"/>
      <c r="E22" s="559"/>
      <c r="F22" s="559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58" t="str">
        <f>+VLOOKUP($A23,Master!$D$30:$G$226,4,FALSE)</f>
        <v>Ostali doprinosi</v>
      </c>
      <c r="C23" s="559"/>
      <c r="D23" s="559"/>
      <c r="E23" s="559"/>
      <c r="F23" s="559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60" t="str">
        <f>+VLOOKUP($A24,Master!$D$30:$G$226,4,FALSE)</f>
        <v>Takse</v>
      </c>
      <c r="C24" s="561"/>
      <c r="D24" s="561"/>
      <c r="E24" s="561"/>
      <c r="F24" s="561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60" t="str">
        <f>+VLOOKUP($A25,Master!$D$30:$G$226,4,FALSE)</f>
        <v>Naknade</v>
      </c>
      <c r="C25" s="561"/>
      <c r="D25" s="561"/>
      <c r="E25" s="561"/>
      <c r="F25" s="561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60" t="str">
        <f>+VLOOKUP($A26,Master!$D$30:$G$226,4,FALSE)</f>
        <v>Ostali prihodi</v>
      </c>
      <c r="C26" s="561"/>
      <c r="D26" s="561"/>
      <c r="E26" s="561"/>
      <c r="F26" s="561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60" t="str">
        <f>+VLOOKUP($A27,Master!$D$30:$G$226,4,FALSE)</f>
        <v>Primici od otplate kredita i sredstva prenesena iz prethodne godine</v>
      </c>
      <c r="C27" s="561"/>
      <c r="D27" s="561"/>
      <c r="E27" s="561"/>
      <c r="F27" s="561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564" t="str">
        <f>+VLOOKUP($A28,Master!$D$30:$G$226,4,FALSE)</f>
        <v>Donacije i transferi</v>
      </c>
      <c r="C28" s="565"/>
      <c r="D28" s="565"/>
      <c r="E28" s="565"/>
      <c r="F28" s="565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66" t="str">
        <f>+VLOOKUP($A29,Master!$D$30:$G$226,4,FALSE)</f>
        <v>Izdaci budžeta</v>
      </c>
      <c r="C29" s="567"/>
      <c r="D29" s="567"/>
      <c r="E29" s="567"/>
      <c r="F29" s="567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570" t="str">
        <f>+VLOOKUP($A30,Master!$D$30:$G$226,4,FALSE)</f>
        <v>Tekući izdaci</v>
      </c>
      <c r="C30" s="571"/>
      <c r="D30" s="571"/>
      <c r="E30" s="571"/>
      <c r="F30" s="571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58" t="str">
        <f>+VLOOKUP($A31,Master!$D$30:$G$226,4,FALSE)</f>
        <v>Bruto zarade i doprinosi na teret poslodavca</v>
      </c>
      <c r="C31" s="559"/>
      <c r="D31" s="559"/>
      <c r="E31" s="559"/>
      <c r="F31" s="559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58" t="str">
        <f>+VLOOKUP($A32,Master!$D$30:$G$226,4,FALSE)</f>
        <v>Ostala lična primanja</v>
      </c>
      <c r="C32" s="559"/>
      <c r="D32" s="559"/>
      <c r="E32" s="559"/>
      <c r="F32" s="559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58" t="str">
        <f>+VLOOKUP($A33,Master!$D$30:$G$226,4,FALSE)</f>
        <v>Rashodi za materijal</v>
      </c>
      <c r="C33" s="559"/>
      <c r="D33" s="559"/>
      <c r="E33" s="559"/>
      <c r="F33" s="559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53" t="str">
        <f>+VLOOKUP($A34,Master!$D$30:$G$226,4,FALSE)</f>
        <v>Rashodi za usluge</v>
      </c>
      <c r="C34" s="654"/>
      <c r="D34" s="654"/>
      <c r="E34" s="654"/>
      <c r="F34" s="654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58" t="str">
        <f>+VLOOKUP($A35,Master!$D$30:$G$226,4,FALSE)</f>
        <v>Rashodi za tekuće održavanje</v>
      </c>
      <c r="C35" s="559"/>
      <c r="D35" s="559"/>
      <c r="E35" s="559"/>
      <c r="F35" s="559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58" t="str">
        <f>+VLOOKUP($A36,Master!$D$30:$G$226,4,FALSE)</f>
        <v>Kamate</v>
      </c>
      <c r="C36" s="559"/>
      <c r="D36" s="559"/>
      <c r="E36" s="559"/>
      <c r="F36" s="559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58" t="str">
        <f>+VLOOKUP($A37,Master!$D$30:$G$226,4,FALSE)</f>
        <v>Renta</v>
      </c>
      <c r="C37" s="559"/>
      <c r="D37" s="559"/>
      <c r="E37" s="559"/>
      <c r="F37" s="559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58" t="str">
        <f>+VLOOKUP($A38,Master!$D$30:$G$226,4,FALSE)</f>
        <v>Subvencije</v>
      </c>
      <c r="C38" s="559"/>
      <c r="D38" s="559"/>
      <c r="E38" s="559"/>
      <c r="F38" s="559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53" t="str">
        <f>+VLOOKUP($A39,Master!$D$30:$G$226,4,FALSE)</f>
        <v>Ostali izdaci</v>
      </c>
      <c r="C39" s="654"/>
      <c r="D39" s="654"/>
      <c r="E39" s="654"/>
      <c r="F39" s="654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74" t="str">
        <f>+VLOOKUP($A40,Master!$D$30:$G$226,4,FALSE)</f>
        <v>Transferi za socijalnu zaštitu</v>
      </c>
      <c r="C40" s="575"/>
      <c r="D40" s="575"/>
      <c r="E40" s="575"/>
      <c r="F40" s="575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58" t="str">
        <f>+VLOOKUP($A41,Master!$D$30:$G$226,4,FALSE)</f>
        <v>Prava iz oblasti socijalne zaštite</v>
      </c>
      <c r="C41" s="559"/>
      <c r="D41" s="559"/>
      <c r="E41" s="559"/>
      <c r="F41" s="559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58" t="str">
        <f>+VLOOKUP($A42,Master!$D$30:$G$226,4,FALSE)</f>
        <v>Sredstva za tehnološke viškove</v>
      </c>
      <c r="C42" s="559"/>
      <c r="D42" s="559"/>
      <c r="E42" s="559"/>
      <c r="F42" s="559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58" t="str">
        <f>+VLOOKUP($A43,Master!$D$30:$G$226,4,FALSE)</f>
        <v>Prava iz oblasti penzijskog i invalidskog osiguranja</v>
      </c>
      <c r="C43" s="559"/>
      <c r="D43" s="559"/>
      <c r="E43" s="559"/>
      <c r="F43" s="559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58" t="str">
        <f>+VLOOKUP($A44,Master!$D$30:$G$226,4,FALSE)</f>
        <v>Ostala prava iz oblasti zdravstvene zaštite</v>
      </c>
      <c r="C44" s="559"/>
      <c r="D44" s="559"/>
      <c r="E44" s="559"/>
      <c r="F44" s="559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49" t="str">
        <f>+VLOOKUP($A45,Master!$D$30:$G$226,4,FALSE)</f>
        <v>Ostala prava iz zdravstvenog osiguranja</v>
      </c>
      <c r="C45" s="650"/>
      <c r="D45" s="650"/>
      <c r="E45" s="650"/>
      <c r="F45" s="650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72" t="str">
        <f>+VLOOKUP($A46,Master!$D$30:$G$226,4,FALSE)</f>
        <v xml:space="preserve">Transferi institucijama, pojedincima, nevladinom i javnom sektoru </v>
      </c>
      <c r="C46" s="573"/>
      <c r="D46" s="573"/>
      <c r="E46" s="573"/>
      <c r="F46" s="573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72" t="str">
        <f>+VLOOKUP($A47,Master!$D$30:$G$226,4,FALSE)</f>
        <v>Kapitalni izdaci</v>
      </c>
      <c r="C47" s="573"/>
      <c r="D47" s="573"/>
      <c r="E47" s="573"/>
      <c r="F47" s="573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51" t="str">
        <f>+VLOOKUP($A48,Master!$D$30:$G$226,4,FALSE)</f>
        <v>Pozajmice i krediti</v>
      </c>
      <c r="C48" s="652"/>
      <c r="D48" s="652"/>
      <c r="E48" s="652"/>
      <c r="F48" s="652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43" t="str">
        <f>+VLOOKUP($A49,Master!$D$30:$G$226,4,FALSE)</f>
        <v>Rezerve</v>
      </c>
      <c r="C49" s="644"/>
      <c r="D49" s="644"/>
      <c r="E49" s="644"/>
      <c r="F49" s="644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78" t="str">
        <f>+VLOOKUP($A50,Master!$D$30:$G$226,4,FALSE)</f>
        <v>Otplata garancija</v>
      </c>
      <c r="C50" s="579"/>
      <c r="D50" s="579"/>
      <c r="E50" s="579"/>
      <c r="F50" s="579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45" t="str">
        <f>+VLOOKUP($A51,Master!$D$30:$G$226,4,TRUE)</f>
        <v>Otplata obaveza iz prethodnog perioda</v>
      </c>
      <c r="C51" s="646"/>
      <c r="D51" s="646"/>
      <c r="E51" s="646"/>
      <c r="F51" s="646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47" t="str">
        <f>+VLOOKUP($A52,Master!$D$30:$G$228,4,FALSE)</f>
        <v>Neto povećanje obaveza</v>
      </c>
      <c r="C52" s="648"/>
      <c r="D52" s="648"/>
      <c r="E52" s="648"/>
      <c r="F52" s="648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80" t="str">
        <f>+VLOOKUP($A53,Master!$D$30:$G$226,4,FALSE)</f>
        <v>Suficit / deficit</v>
      </c>
      <c r="C53" s="581"/>
      <c r="D53" s="581"/>
      <c r="E53" s="581"/>
      <c r="F53" s="581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82" t="str">
        <f>+VLOOKUP($A54,Master!$D$30:$G$226,4,FALSE)</f>
        <v>Primarni suficit/deficit</v>
      </c>
      <c r="C54" s="583"/>
      <c r="D54" s="583"/>
      <c r="E54" s="583"/>
      <c r="F54" s="583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04" t="str">
        <f>+VLOOKUP($A55,Master!$D$30:$G$226,4,FALSE)</f>
        <v>Otplata dugova</v>
      </c>
      <c r="C55" s="605"/>
      <c r="D55" s="605"/>
      <c r="E55" s="605"/>
      <c r="F55" s="605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600" t="str">
        <f>+VLOOKUP($A56,Master!$D$30:$G$226,4,FALSE)</f>
        <v>Otplata hartija od vrijednosti i kredita rezidentima</v>
      </c>
      <c r="C56" s="601"/>
      <c r="D56" s="601"/>
      <c r="E56" s="601"/>
      <c r="F56" s="601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76" t="str">
        <f>+VLOOKUP($A57,Master!$D$30:$G$226,4,FALSE)</f>
        <v>Otplata hartija od vrijednosti i kredita nerezidentima</v>
      </c>
      <c r="C57" s="577"/>
      <c r="D57" s="577"/>
      <c r="E57" s="577"/>
      <c r="F57" s="577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568" t="str">
        <f>+VLOOKUP($A58,Master!$D$30:$G$226,4,FALSE)</f>
        <v>Izdaci za kupovinu hartija od vrijednosti</v>
      </c>
      <c r="C58" s="569"/>
      <c r="D58" s="569"/>
      <c r="E58" s="569"/>
      <c r="F58" s="569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602" t="str">
        <f>+VLOOKUP($A59,Master!$D$30:$G$226,4,FALSE)</f>
        <v>Nedostajuća sredstva</v>
      </c>
      <c r="C59" s="603"/>
      <c r="D59" s="603"/>
      <c r="E59" s="603"/>
      <c r="F59" s="603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66" t="str">
        <f>+VLOOKUP($A60,Master!$D$30:$G$226,4,FALSE)</f>
        <v>Finansiranje</v>
      </c>
      <c r="C60" s="567"/>
      <c r="D60" s="567"/>
      <c r="E60" s="567"/>
      <c r="F60" s="567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600" t="str">
        <f>+VLOOKUP($A61,Master!$D$30:$G$226,4,FALSE)</f>
        <v>Pozajmice i krediti od domaćih izvora</v>
      </c>
      <c r="C61" s="601"/>
      <c r="D61" s="601"/>
      <c r="E61" s="601"/>
      <c r="F61" s="601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76" t="str">
        <f>+VLOOKUP($A62,Master!$D$30:$G$226,4,FALSE)</f>
        <v>Pozajmice i krediti od inostranih izvora</v>
      </c>
      <c r="C62" s="577"/>
      <c r="D62" s="577"/>
      <c r="E62" s="577"/>
      <c r="F62" s="577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76" t="str">
        <f>+VLOOKUP($A63,Master!$D$30:$G$226,4,FALSE)</f>
        <v>Primici od prodaje imovine</v>
      </c>
      <c r="C63" s="577"/>
      <c r="D63" s="577"/>
      <c r="E63" s="577"/>
      <c r="F63" s="577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32" t="str">
        <f>+Master!G253</f>
        <v>Plan ostvarenja budžeta</v>
      </c>
      <c r="C81" s="633"/>
      <c r="D81" s="633"/>
      <c r="E81" s="633"/>
      <c r="F81" s="633"/>
      <c r="G81" s="640">
        <v>2021</v>
      </c>
      <c r="H81" s="641"/>
      <c r="I81" s="641"/>
      <c r="J81" s="641"/>
      <c r="K81" s="641"/>
      <c r="L81" s="641"/>
      <c r="M81" s="641"/>
      <c r="N81" s="641"/>
      <c r="O81" s="641"/>
      <c r="P81" s="641"/>
      <c r="Q81" s="641"/>
      <c r="R81" s="642"/>
      <c r="S81" s="96" t="str">
        <f>+S7</f>
        <v>BDP</v>
      </c>
      <c r="T81" s="97">
        <v>4636600000</v>
      </c>
    </row>
    <row r="82" spans="1:21" ht="15.75" customHeight="1">
      <c r="B82" s="634"/>
      <c r="C82" s="635"/>
      <c r="D82" s="635"/>
      <c r="E82" s="635"/>
      <c r="F82" s="636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640" t="str">
        <f>+Master!G247</f>
        <v>Jan - Dec</v>
      </c>
      <c r="T82" s="642">
        <f>+T8</f>
        <v>0</v>
      </c>
    </row>
    <row r="83" spans="1:21" ht="13.5" thickBot="1">
      <c r="B83" s="637"/>
      <c r="C83" s="638"/>
      <c r="D83" s="638"/>
      <c r="E83" s="638"/>
      <c r="F83" s="639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655" t="str">
        <f>+VLOOKUP(LEFT($A84,LEN(A84)-1)*1,Master!$D$30:$G$226,4,FALSE)</f>
        <v>Prihodi budžeta</v>
      </c>
      <c r="C84" s="656"/>
      <c r="D84" s="656"/>
      <c r="E84" s="656"/>
      <c r="F84" s="656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30" t="str">
        <f>+VLOOKUP(LEFT($A85,LEN(A85)-1)*1,Master!$D$30:$G$226,4,FALSE)</f>
        <v>Porezi</v>
      </c>
      <c r="C85" s="631"/>
      <c r="D85" s="631"/>
      <c r="E85" s="631"/>
      <c r="F85" s="631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22" t="str">
        <f>+VLOOKUP(LEFT($A86,LEN(A86)-1)*1,Master!$D$30:$G$229,4,FALSE)</f>
        <v>Porez na dohodak fizičkih lica</v>
      </c>
      <c r="C86" s="623"/>
      <c r="D86" s="623"/>
      <c r="E86" s="623"/>
      <c r="F86" s="623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22" t="str">
        <f>+VLOOKUP(LEFT($A87,LEN(A87)-1)*1,Master!$D$30:$G$229,4,FALSE)</f>
        <v>Porez na dobit pravnih lica</v>
      </c>
      <c r="C87" s="623"/>
      <c r="D87" s="623"/>
      <c r="E87" s="623"/>
      <c r="F87" s="623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22" t="str">
        <f>+VLOOKUP(LEFT($A88,LEN(A88)-1)*1,Master!$D$30:$G$229,4,FALSE)</f>
        <v>Porez na promet nepokretnosti</v>
      </c>
      <c r="C88" s="623"/>
      <c r="D88" s="623"/>
      <c r="E88" s="623"/>
      <c r="F88" s="623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22" t="str">
        <f>+VLOOKUP(LEFT($A89,LEN(A89)-1)*1,Master!$D$30:$G$229,4,FALSE)</f>
        <v>Porez na dodatu vrijednost</v>
      </c>
      <c r="C89" s="623"/>
      <c r="D89" s="623"/>
      <c r="E89" s="623"/>
      <c r="F89" s="623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22" t="str">
        <f>+VLOOKUP(LEFT($A90,LEN(A90)-1)*1,Master!$D$30:$G$229,4,FALSE)</f>
        <v>Akcize</v>
      </c>
      <c r="C90" s="623"/>
      <c r="D90" s="623"/>
      <c r="E90" s="623"/>
      <c r="F90" s="623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22" t="str">
        <f>+VLOOKUP(LEFT($A91,LEN(A91)-1)*1,Master!$D$30:$G$229,4,FALSE)</f>
        <v>Porez na međunarodnu trgovinu i transakcije</v>
      </c>
      <c r="C91" s="623"/>
      <c r="D91" s="623"/>
      <c r="E91" s="623"/>
      <c r="F91" s="623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22" t="str">
        <f>+VLOOKUP(LEFT($A92,LEN(A92)-1)*1,Master!$D$30:$G$229,4,FALSE)</f>
        <v>Ostali državni porezi</v>
      </c>
      <c r="C92" s="623"/>
      <c r="D92" s="623"/>
      <c r="E92" s="623"/>
      <c r="F92" s="623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57" t="str">
        <f>+VLOOKUP(LEFT($A93,LEN(A93)-1)*1,Master!$D$30:$G$229,4,FALSE)</f>
        <v>Doprinosi</v>
      </c>
      <c r="C93" s="658"/>
      <c r="D93" s="658"/>
      <c r="E93" s="658"/>
      <c r="F93" s="658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22" t="str">
        <f>+VLOOKUP(LEFT($A94,LEN(A94)-1)*1,Master!$D$30:$G$229,4,FALSE)</f>
        <v>Doprinosi za penzijsko i invalidsko osiguranje</v>
      </c>
      <c r="C94" s="623"/>
      <c r="D94" s="623"/>
      <c r="E94" s="623"/>
      <c r="F94" s="623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22" t="str">
        <f>+VLOOKUP(LEFT($A95,LEN(A95)-1)*1,Master!$D$30:$G$229,4,FALSE)</f>
        <v>Doprinosi za zdravstveno osiguranje</v>
      </c>
      <c r="C95" s="623"/>
      <c r="D95" s="623"/>
      <c r="E95" s="623"/>
      <c r="F95" s="623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22" t="str">
        <f>+VLOOKUP(LEFT($A96,LEN(A96)-1)*1,Master!$D$30:$G$229,4,FALSE)</f>
        <v>Doprinosi za osiguranje od nezaposlenosti</v>
      </c>
      <c r="C96" s="623"/>
      <c r="D96" s="623"/>
      <c r="E96" s="623"/>
      <c r="F96" s="623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22" t="str">
        <f>+VLOOKUP(LEFT($A97,LEN(A97)-1)*1,Master!$D$30:$G$229,4,FALSE)</f>
        <v>Ostali doprinosi</v>
      </c>
      <c r="C97" s="623"/>
      <c r="D97" s="623"/>
      <c r="E97" s="623"/>
      <c r="F97" s="623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28" t="str">
        <f>+VLOOKUP(LEFT($A98,LEN(A98)-1)*1,Master!$D$30:$G$229,4,FALSE)</f>
        <v>Takse</v>
      </c>
      <c r="C98" s="629"/>
      <c r="D98" s="629"/>
      <c r="E98" s="629"/>
      <c r="F98" s="629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28" t="str">
        <f>+VLOOKUP(LEFT($A99,LEN(A99)-1)*1,Master!$D$30:$G$229,4,FALSE)</f>
        <v>Naknade</v>
      </c>
      <c r="C99" s="629"/>
      <c r="D99" s="629"/>
      <c r="E99" s="629"/>
      <c r="F99" s="629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28" t="str">
        <f>+VLOOKUP(LEFT($A100,LEN(A100)-1)*1,Master!$D$30:$G$229,4,FALSE)</f>
        <v>Ostali prihodi</v>
      </c>
      <c r="C100" s="629"/>
      <c r="D100" s="629"/>
      <c r="E100" s="629"/>
      <c r="F100" s="629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28" t="str">
        <f>+VLOOKUP(LEFT($A101,LEN(A101)-1)*1,Master!$D$30:$G$229,4,FALSE)</f>
        <v>Primici od otplate kredita i sredstva prenesena iz prethodne godine</v>
      </c>
      <c r="C101" s="629"/>
      <c r="D101" s="629"/>
      <c r="E101" s="629"/>
      <c r="F101" s="629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24" t="str">
        <f>+VLOOKUP(LEFT($A102,LEN(A102)-1)*1,Master!$D$30:$G$229,4,FALSE)</f>
        <v>Donacije i transferi</v>
      </c>
      <c r="C102" s="625"/>
      <c r="D102" s="625"/>
      <c r="E102" s="625"/>
      <c r="F102" s="625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06" t="str">
        <f>+VLOOKUP(LEFT($A103,LEN(A103)-1)*1,Master!$D$30:$G$229,4,FALSE)</f>
        <v>Izdaci budžeta</v>
      </c>
      <c r="C103" s="607"/>
      <c r="D103" s="607"/>
      <c r="E103" s="607"/>
      <c r="F103" s="607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26" t="str">
        <f>+VLOOKUP(LEFT($A104,LEN(A104)-1)*1,Master!$D$30:$G$229,4,FALSE)</f>
        <v>Tekući izdaci</v>
      </c>
      <c r="C104" s="627"/>
      <c r="D104" s="627"/>
      <c r="E104" s="627"/>
      <c r="F104" s="627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22" t="str">
        <f>+VLOOKUP(LEFT($A105,LEN(A105)-1)*1,Master!$D$30:$G$229,4,FALSE)</f>
        <v>Bruto zarade i doprinosi na teret poslodavca</v>
      </c>
      <c r="C105" s="623"/>
      <c r="D105" s="623"/>
      <c r="E105" s="623"/>
      <c r="F105" s="623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22" t="str">
        <f>+VLOOKUP(LEFT($A106,LEN(A106)-1)*1,Master!$D$30:$G$229,4,FALSE)</f>
        <v>Ostala lična primanja</v>
      </c>
      <c r="C106" s="623"/>
      <c r="D106" s="623"/>
      <c r="E106" s="623"/>
      <c r="F106" s="623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22" t="str">
        <f>+VLOOKUP(LEFT($A107,LEN(A107)-1)*1,Master!$D$30:$G$229,4,FALSE)</f>
        <v>Rashodi za materijal</v>
      </c>
      <c r="C107" s="623"/>
      <c r="D107" s="623"/>
      <c r="E107" s="623"/>
      <c r="F107" s="623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22" t="str">
        <f>+VLOOKUP(LEFT($A108,LEN(A108)-1)*1,Master!$D$30:$G$229,4,FALSE)</f>
        <v>Rashodi za usluge</v>
      </c>
      <c r="C108" s="623"/>
      <c r="D108" s="623"/>
      <c r="E108" s="623"/>
      <c r="F108" s="623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22" t="str">
        <f>+VLOOKUP(LEFT($A109,LEN(A109)-1)*1,Master!$D$30:$G$229,4,FALSE)</f>
        <v>Rashodi za tekuće održavanje</v>
      </c>
      <c r="C109" s="623"/>
      <c r="D109" s="623"/>
      <c r="E109" s="623"/>
      <c r="F109" s="623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22" t="str">
        <f>+VLOOKUP(LEFT($A110,LEN(A110)-1)*1,Master!$D$30:$G$229,4,FALSE)</f>
        <v>Kamate</v>
      </c>
      <c r="C110" s="623"/>
      <c r="D110" s="623"/>
      <c r="E110" s="623"/>
      <c r="F110" s="623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22" t="str">
        <f>+VLOOKUP(LEFT($A111,LEN(A111)-1)*1,Master!$D$30:$G$229,4,FALSE)</f>
        <v>Renta</v>
      </c>
      <c r="C111" s="623"/>
      <c r="D111" s="623"/>
      <c r="E111" s="623"/>
      <c r="F111" s="623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22" t="str">
        <f>+VLOOKUP(LEFT($A112,LEN(A112)-1)*1,Master!$D$30:$G$229,4,FALSE)</f>
        <v>Subvencije</v>
      </c>
      <c r="C112" s="623"/>
      <c r="D112" s="623"/>
      <c r="E112" s="623"/>
      <c r="F112" s="623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22" t="str">
        <f>+VLOOKUP(LEFT($A113,LEN(A113)-1)*1,Master!$D$30:$G$229,4,FALSE)</f>
        <v>Ostali izdaci</v>
      </c>
      <c r="C113" s="623"/>
      <c r="D113" s="623"/>
      <c r="E113" s="623"/>
      <c r="F113" s="623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18" t="str">
        <f>+VLOOKUP(LEFT($A114,LEN(A114)-1)*1,Master!$D$30:$G$229,4,FALSE)</f>
        <v>Transferi za socijalnu zaštitu</v>
      </c>
      <c r="C114" s="619"/>
      <c r="D114" s="619"/>
      <c r="E114" s="619"/>
      <c r="F114" s="619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22" t="str">
        <f>+VLOOKUP(LEFT($A115,LEN(A115)-1)*1,Master!$D$30:$G$229,4,FALSE)</f>
        <v>Prava iz oblasti socijalne zaštite</v>
      </c>
      <c r="C115" s="623"/>
      <c r="D115" s="623"/>
      <c r="E115" s="623"/>
      <c r="F115" s="623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22" t="str">
        <f>+VLOOKUP(LEFT($A116,LEN(A116)-1)*1,Master!$D$30:$G$229,4,FALSE)</f>
        <v>Sredstva za tehnološke viškove</v>
      </c>
      <c r="C116" s="623"/>
      <c r="D116" s="623"/>
      <c r="E116" s="623"/>
      <c r="F116" s="623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22" t="str">
        <f>+VLOOKUP(LEFT($A117,LEN(A117)-1)*1,Master!$D$30:$G$229,4,FALSE)</f>
        <v>Prava iz oblasti penzijskog i invalidskog osiguranja</v>
      </c>
      <c r="C117" s="623"/>
      <c r="D117" s="623"/>
      <c r="E117" s="623"/>
      <c r="F117" s="623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22" t="str">
        <f>+VLOOKUP(LEFT($A118,LEN(A118)-1)*1,Master!$D$30:$G$229,4,FALSE)</f>
        <v>Ostala prava iz oblasti zdravstvene zaštite</v>
      </c>
      <c r="C118" s="623"/>
      <c r="D118" s="623"/>
      <c r="E118" s="623"/>
      <c r="F118" s="623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22" t="str">
        <f>+VLOOKUP(LEFT($A119,LEN(A119)-1)*1,Master!$D$30:$G$229,4,FALSE)</f>
        <v>Ostala prava iz zdravstvenog osiguranja</v>
      </c>
      <c r="C119" s="623"/>
      <c r="D119" s="623"/>
      <c r="E119" s="623"/>
      <c r="F119" s="623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20" t="str">
        <f>+VLOOKUP(LEFT($A120,LEN(A120)-1)*1,Master!$D$30:$G$229,4,FALSE)</f>
        <v xml:space="preserve">Transferi institucijama, pojedincima, nevladinom i javnom sektoru </v>
      </c>
      <c r="C120" s="621"/>
      <c r="D120" s="621"/>
      <c r="E120" s="621"/>
      <c r="F120" s="621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20" t="str">
        <f>+VLOOKUP(LEFT($A121,LEN(A121)-1)*1,Master!$D$30:$G$229,4,FALSE)</f>
        <v>Kapitalni izdaci</v>
      </c>
      <c r="C121" s="621"/>
      <c r="D121" s="621"/>
      <c r="E121" s="621"/>
      <c r="F121" s="621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12" t="str">
        <f>+VLOOKUP(LEFT($A122,LEN(A122)-1)*1,Master!$D$30:$G$229,4,FALSE)</f>
        <v>Pozajmice i krediti</v>
      </c>
      <c r="C122" s="613"/>
      <c r="D122" s="613"/>
      <c r="E122" s="613"/>
      <c r="F122" s="613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12" t="str">
        <f>+VLOOKUP(LEFT($A123,LEN(A123)-1)*1,Master!$D$30:$G$229,4,FALSE)</f>
        <v>Rezerve</v>
      </c>
      <c r="C123" s="613"/>
      <c r="D123" s="613"/>
      <c r="E123" s="613"/>
      <c r="F123" s="613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12" t="str">
        <f>+VLOOKUP(LEFT($A124,LEN(A124)-1)*1,Master!$D$30:$G$229,4,FALSE)</f>
        <v>Otplata garancija</v>
      </c>
      <c r="C124" s="613"/>
      <c r="D124" s="613"/>
      <c r="E124" s="613"/>
      <c r="F124" s="613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12" t="str">
        <f>+VLOOKUP(LEFT($A125,LEN(A125)-1)*1,Master!$D$30:$G$229,4,FALSE)</f>
        <v>Otplata obaveza iz prethodnog perioda</v>
      </c>
      <c r="C125" s="613"/>
      <c r="D125" s="613"/>
      <c r="E125" s="613"/>
      <c r="F125" s="613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12" t="str">
        <f>+VLOOKUP(LEFT($A126,LEN(A126)-1)*1,Master!$D$30:$G$229,4,FALSE)</f>
        <v>Neto povećanje obaveza</v>
      </c>
      <c r="C126" s="613"/>
      <c r="D126" s="613"/>
      <c r="E126" s="613"/>
      <c r="F126" s="613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14" t="str">
        <f>+VLOOKUP(LEFT($A127,LEN(A127)-1)*1,Master!$D$30:$G$226,4,FALSE)</f>
        <v>Suficit / deficit</v>
      </c>
      <c r="C127" s="615"/>
      <c r="D127" s="615"/>
      <c r="E127" s="615"/>
      <c r="F127" s="615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16" t="str">
        <f>+VLOOKUP(LEFT($A128,LEN(A128)-1)*1,Master!$D$30:$G$226,4,FALSE)</f>
        <v>Primarni suficit/deficit</v>
      </c>
      <c r="C128" s="617"/>
      <c r="D128" s="617"/>
      <c r="E128" s="617"/>
      <c r="F128" s="617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18" t="str">
        <f>+VLOOKUP(LEFT($A129,LEN(A129)-1)*1,Master!$D$30:$G$226,4,FALSE)</f>
        <v>Otplata dugova</v>
      </c>
      <c r="C129" s="619"/>
      <c r="D129" s="619"/>
      <c r="E129" s="619"/>
      <c r="F129" s="619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10" t="str">
        <f>+VLOOKUP(LEFT($A130,LEN(A130)-1)*1,Master!$D$30:$G$226,4,FALSE)</f>
        <v>Otplata hartija od vrijednosti i kredita rezidentima</v>
      </c>
      <c r="C130" s="611"/>
      <c r="D130" s="611"/>
      <c r="E130" s="611"/>
      <c r="F130" s="611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12" t="str">
        <f>+VLOOKUP(LEFT($A131,LEN(A131)-1)*1,Master!$D$30:$G$226,4,FALSE)</f>
        <v>Otplata hartija od vrijednosti i kredita nerezidentima</v>
      </c>
      <c r="C131" s="613"/>
      <c r="D131" s="613"/>
      <c r="E131" s="613"/>
      <c r="F131" s="613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06" t="str">
        <f>+VLOOKUP(LEFT($A132,LEN(A132)-1)*1,Master!$D$30:$G$226,4,FALSE)</f>
        <v>Izdaci za kupovinu hartija od vrijednosti</v>
      </c>
      <c r="C132" s="607"/>
      <c r="D132" s="607"/>
      <c r="E132" s="607"/>
      <c r="F132" s="607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08" t="str">
        <f>+VLOOKUP(LEFT($A133,LEN(A133)-1)*1,Master!$D$30:$G$226,4,FALSE)</f>
        <v>Nedostajuća sredstva</v>
      </c>
      <c r="C133" s="609"/>
      <c r="D133" s="609"/>
      <c r="E133" s="609"/>
      <c r="F133" s="609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06" t="str">
        <f>+VLOOKUP(LEFT($A134,LEN(A134)-1)*1,Master!$D$30:$G$226,4,FALSE)</f>
        <v>Finansiranje</v>
      </c>
      <c r="C134" s="607"/>
      <c r="D134" s="607"/>
      <c r="E134" s="607"/>
      <c r="F134" s="607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10" t="str">
        <f>+VLOOKUP(LEFT($A135,LEN(A135)-1)*1,Master!$D$30:$G$226,4,FALSE)</f>
        <v>Pozajmice i krediti od domaćih izvora</v>
      </c>
      <c r="C135" s="611"/>
      <c r="D135" s="611"/>
      <c r="E135" s="611"/>
      <c r="F135" s="611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12" t="str">
        <f>+VLOOKUP(LEFT($A136,LEN(A136)-1)*1,Master!$D$30:$G$226,4,FALSE)</f>
        <v>Pozajmice i krediti od inostranih izvora</v>
      </c>
      <c r="C136" s="613"/>
      <c r="D136" s="613"/>
      <c r="E136" s="613"/>
      <c r="F136" s="613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12" t="str">
        <f>+VLOOKUP(LEFT($A137,LEN(A137)-1)*1,Master!$D$30:$G$226,4,FALSE)</f>
        <v>Primici od prodaje imovine</v>
      </c>
      <c r="C137" s="613"/>
      <c r="D137" s="613"/>
      <c r="E137" s="613"/>
      <c r="F137" s="613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86" t="str">
        <f>+Master!G252</f>
        <v>Ostvarenje budžeta</v>
      </c>
      <c r="C7" s="587"/>
      <c r="D7" s="587"/>
      <c r="E7" s="587"/>
      <c r="F7" s="587"/>
      <c r="G7" s="595">
        <v>2020</v>
      </c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9"/>
      <c r="S7" s="220" t="str">
        <f>+Master!G249</f>
        <v>BDP</v>
      </c>
      <c r="T7" s="221">
        <v>4185600000</v>
      </c>
    </row>
    <row r="8" spans="1:20" ht="16.5" customHeight="1">
      <c r="A8" s="129"/>
      <c r="B8" s="588"/>
      <c r="C8" s="589"/>
      <c r="D8" s="589"/>
      <c r="E8" s="589"/>
      <c r="F8" s="590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95" t="str">
        <f>+Master!G247</f>
        <v>Jan - Dec</v>
      </c>
      <c r="T8" s="599"/>
    </row>
    <row r="9" spans="1:20" ht="13.5" thickBot="1">
      <c r="A9" s="129"/>
      <c r="B9" s="591"/>
      <c r="C9" s="592"/>
      <c r="D9" s="592"/>
      <c r="E9" s="592"/>
      <c r="F9" s="59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554" t="str">
        <f>+VLOOKUP($A10,Master!$D$30:$G$226,4,FALSE)</f>
        <v>Prihodi budžeta</v>
      </c>
      <c r="C10" s="555"/>
      <c r="D10" s="555"/>
      <c r="E10" s="555"/>
      <c r="F10" s="555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556" t="str">
        <f>+VLOOKUP($A11,Master!$D$30:$G$226,4,FALSE)</f>
        <v>Porezi</v>
      </c>
      <c r="C11" s="557"/>
      <c r="D11" s="557"/>
      <c r="E11" s="557"/>
      <c r="F11" s="557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58" t="str">
        <f>+VLOOKUP($A12,Master!$D$30:$G$226,4,FALSE)</f>
        <v>Porez na dohodak fizičkih lica</v>
      </c>
      <c r="C12" s="559"/>
      <c r="D12" s="559"/>
      <c r="E12" s="559"/>
      <c r="F12" s="559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58" t="str">
        <f>+VLOOKUP($A13,Master!$D$30:$G$226,4,FALSE)</f>
        <v>Porez na dobit pravnih lica</v>
      </c>
      <c r="C13" s="559"/>
      <c r="D13" s="559"/>
      <c r="E13" s="559"/>
      <c r="F13" s="559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58" t="str">
        <f>+VLOOKUP($A14,Master!$D$30:$G$226,4,FALSE)</f>
        <v>Porez na promet nepokretnosti</v>
      </c>
      <c r="C14" s="559"/>
      <c r="D14" s="559"/>
      <c r="E14" s="559"/>
      <c r="F14" s="559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58" t="str">
        <f>+VLOOKUP($A15,Master!$D$30:$G$226,4,FALSE)</f>
        <v>Porez na dodatu vrijednost</v>
      </c>
      <c r="C15" s="559"/>
      <c r="D15" s="559"/>
      <c r="E15" s="559"/>
      <c r="F15" s="559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58" t="str">
        <f>+VLOOKUP($A16,Master!$D$30:$G$226,4,FALSE)</f>
        <v>Akcize</v>
      </c>
      <c r="C16" s="559"/>
      <c r="D16" s="559"/>
      <c r="E16" s="559"/>
      <c r="F16" s="559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58" t="str">
        <f>+VLOOKUP($A17,Master!$D$30:$G$226,4,FALSE)</f>
        <v>Porez na međunarodnu trgovinu i transakcije</v>
      </c>
      <c r="C17" s="559"/>
      <c r="D17" s="559"/>
      <c r="E17" s="559"/>
      <c r="F17" s="559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58" t="str">
        <f>+VLOOKUP($A18,Master!$D$30:$G$226,4,FALSE)</f>
        <v>Ostali državni porezi</v>
      </c>
      <c r="C18" s="559"/>
      <c r="D18" s="559"/>
      <c r="E18" s="559"/>
      <c r="F18" s="559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562" t="str">
        <f>+VLOOKUP($A19,Master!$D$30:$G$226,4,FALSE)</f>
        <v>Doprinosi</v>
      </c>
      <c r="C19" s="563"/>
      <c r="D19" s="563"/>
      <c r="E19" s="563"/>
      <c r="F19" s="563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58" t="str">
        <f>+VLOOKUP($A20,Master!$D$30:$G$226,4,FALSE)</f>
        <v>Doprinosi za penzijsko i invalidsko osiguranje</v>
      </c>
      <c r="C20" s="559"/>
      <c r="D20" s="559"/>
      <c r="E20" s="559"/>
      <c r="F20" s="559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58" t="str">
        <f>+VLOOKUP($A21,Master!$D$30:$G$226,4,FALSE)</f>
        <v>Doprinosi za zdravstveno osiguranje</v>
      </c>
      <c r="C21" s="559"/>
      <c r="D21" s="559"/>
      <c r="E21" s="559"/>
      <c r="F21" s="559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58" t="str">
        <f>+VLOOKUP($A22,Master!$D$30:$G$226,4,FALSE)</f>
        <v>Doprinosi za osiguranje od nezaposlenosti</v>
      </c>
      <c r="C22" s="559"/>
      <c r="D22" s="559"/>
      <c r="E22" s="559"/>
      <c r="F22" s="559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58" t="str">
        <f>+VLOOKUP($A23,Master!$D$30:$G$226,4,FALSE)</f>
        <v>Ostali doprinosi</v>
      </c>
      <c r="C23" s="559"/>
      <c r="D23" s="559"/>
      <c r="E23" s="559"/>
      <c r="F23" s="559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60" t="str">
        <f>+VLOOKUP($A24,Master!$D$30:$G$226,4,FALSE)</f>
        <v>Takse</v>
      </c>
      <c r="C24" s="561"/>
      <c r="D24" s="561"/>
      <c r="E24" s="561"/>
      <c r="F24" s="561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60" t="str">
        <f>+VLOOKUP($A25,Master!$D$30:$G$226,4,FALSE)</f>
        <v>Naknade</v>
      </c>
      <c r="C25" s="561"/>
      <c r="D25" s="561"/>
      <c r="E25" s="561"/>
      <c r="F25" s="561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60" t="str">
        <f>+VLOOKUP($A26,Master!$D$30:$G$226,4,FALSE)</f>
        <v>Ostali prihodi</v>
      </c>
      <c r="C26" s="561"/>
      <c r="D26" s="561"/>
      <c r="E26" s="561"/>
      <c r="F26" s="561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60" t="str">
        <f>+VLOOKUP($A27,Master!$D$30:$G$226,4,FALSE)</f>
        <v>Primici od otplate kredita i sredstva prenesena iz prethodne godine</v>
      </c>
      <c r="C27" s="561"/>
      <c r="D27" s="561"/>
      <c r="E27" s="561"/>
      <c r="F27" s="561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564" t="str">
        <f>+VLOOKUP($A28,Master!$D$30:$G$226,4,FALSE)</f>
        <v>Donacije i transferi</v>
      </c>
      <c r="C28" s="565"/>
      <c r="D28" s="565"/>
      <c r="E28" s="565"/>
      <c r="F28" s="565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66" t="str">
        <f>+VLOOKUP($A29,Master!$D$30:$G$226,4,FALSE)</f>
        <v>Izdaci budžeta</v>
      </c>
      <c r="C29" s="567"/>
      <c r="D29" s="567"/>
      <c r="E29" s="567"/>
      <c r="F29" s="567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570" t="str">
        <f>+VLOOKUP($A30,Master!$D$30:$G$226,4,FALSE)</f>
        <v>Tekući izdaci</v>
      </c>
      <c r="C30" s="571"/>
      <c r="D30" s="571"/>
      <c r="E30" s="571"/>
      <c r="F30" s="571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58" t="str">
        <f>+VLOOKUP($A31,Master!$D$30:$G$226,4,FALSE)</f>
        <v>Bruto zarade i doprinosi na teret poslodavca</v>
      </c>
      <c r="C31" s="559"/>
      <c r="D31" s="559"/>
      <c r="E31" s="559"/>
      <c r="F31" s="559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58" t="str">
        <f>+VLOOKUP($A32,Master!$D$30:$G$226,4,FALSE)</f>
        <v>Ostala lična primanja</v>
      </c>
      <c r="C32" s="559"/>
      <c r="D32" s="559"/>
      <c r="E32" s="559"/>
      <c r="F32" s="559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58" t="str">
        <f>+VLOOKUP($A33,Master!$D$30:$G$226,4,FALSE)</f>
        <v>Rashodi za materijal</v>
      </c>
      <c r="C33" s="559"/>
      <c r="D33" s="559"/>
      <c r="E33" s="559"/>
      <c r="F33" s="559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53" t="str">
        <f>+VLOOKUP($A34,Master!$D$30:$G$226,4,FALSE)</f>
        <v>Rashodi za usluge</v>
      </c>
      <c r="C34" s="654"/>
      <c r="D34" s="654"/>
      <c r="E34" s="654"/>
      <c r="F34" s="654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58" t="str">
        <f>+VLOOKUP($A35,Master!$D$30:$G$226,4,FALSE)</f>
        <v>Rashodi za tekuće održavanje</v>
      </c>
      <c r="C35" s="559"/>
      <c r="D35" s="559"/>
      <c r="E35" s="559"/>
      <c r="F35" s="559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58" t="str">
        <f>+VLOOKUP($A36,Master!$D$30:$G$226,4,FALSE)</f>
        <v>Kamate</v>
      </c>
      <c r="C36" s="559"/>
      <c r="D36" s="559"/>
      <c r="E36" s="559"/>
      <c r="F36" s="559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58" t="str">
        <f>+VLOOKUP($A37,Master!$D$30:$G$226,4,FALSE)</f>
        <v>Renta</v>
      </c>
      <c r="C37" s="559"/>
      <c r="D37" s="559"/>
      <c r="E37" s="559"/>
      <c r="F37" s="559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58" t="str">
        <f>+VLOOKUP($A38,Master!$D$30:$G$226,4,FALSE)</f>
        <v>Subvencije</v>
      </c>
      <c r="C38" s="559"/>
      <c r="D38" s="559"/>
      <c r="E38" s="559"/>
      <c r="F38" s="559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53" t="str">
        <f>+VLOOKUP($A39,Master!$D$30:$G$226,4,FALSE)</f>
        <v>Ostali izdaci</v>
      </c>
      <c r="C39" s="654"/>
      <c r="D39" s="654"/>
      <c r="E39" s="654"/>
      <c r="F39" s="654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74" t="str">
        <f>+VLOOKUP($A40,Master!$D$30:$G$226,4,FALSE)</f>
        <v>Transferi za socijalnu zaštitu</v>
      </c>
      <c r="C40" s="575"/>
      <c r="D40" s="575"/>
      <c r="E40" s="575"/>
      <c r="F40" s="575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58" t="str">
        <f>+VLOOKUP($A41,Master!$D$30:$G$226,4,FALSE)</f>
        <v>Prava iz oblasti socijalne zaštite</v>
      </c>
      <c r="C41" s="559"/>
      <c r="D41" s="559"/>
      <c r="E41" s="559"/>
      <c r="F41" s="559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58" t="str">
        <f>+VLOOKUP($A42,Master!$D$30:$G$226,4,FALSE)</f>
        <v>Sredstva za tehnološke viškove</v>
      </c>
      <c r="C42" s="559"/>
      <c r="D42" s="559"/>
      <c r="E42" s="559"/>
      <c r="F42" s="559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58" t="str">
        <f>+VLOOKUP($A43,Master!$D$30:$G$226,4,FALSE)</f>
        <v>Prava iz oblasti penzijskog i invalidskog osiguranja</v>
      </c>
      <c r="C43" s="559"/>
      <c r="D43" s="559"/>
      <c r="E43" s="559"/>
      <c r="F43" s="559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58" t="str">
        <f>+VLOOKUP($A44,Master!$D$30:$G$226,4,FALSE)</f>
        <v>Ostala prava iz oblasti zdravstvene zaštite</v>
      </c>
      <c r="C44" s="559"/>
      <c r="D44" s="559"/>
      <c r="E44" s="559"/>
      <c r="F44" s="559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49" t="str">
        <f>+VLOOKUP($A45,Master!$D$30:$G$226,4,FALSE)</f>
        <v>Ostala prava iz zdravstvenog osiguranja</v>
      </c>
      <c r="C45" s="650"/>
      <c r="D45" s="650"/>
      <c r="E45" s="650"/>
      <c r="F45" s="650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72" t="str">
        <f>+VLOOKUP($A46,Master!$D$30:$G$226,4,FALSE)</f>
        <v xml:space="preserve">Transferi institucijama, pojedincima, nevladinom i javnom sektoru </v>
      </c>
      <c r="C46" s="573"/>
      <c r="D46" s="573"/>
      <c r="E46" s="573"/>
      <c r="F46" s="573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72" t="str">
        <f>+VLOOKUP($A47,Master!$D$30:$G$226,4,FALSE)</f>
        <v>Kapitalni izdaci</v>
      </c>
      <c r="C47" s="573"/>
      <c r="D47" s="573"/>
      <c r="E47" s="573"/>
      <c r="F47" s="573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51" t="str">
        <f>+VLOOKUP($A48,Master!$D$30:$G$226,4,FALSE)</f>
        <v>Pozajmice i krediti</v>
      </c>
      <c r="C48" s="652"/>
      <c r="D48" s="652"/>
      <c r="E48" s="652"/>
      <c r="F48" s="652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43" t="str">
        <f>+VLOOKUP($A49,Master!$D$30:$G$226,4,FALSE)</f>
        <v>Rezerve</v>
      </c>
      <c r="C49" s="644"/>
      <c r="D49" s="644"/>
      <c r="E49" s="644"/>
      <c r="F49" s="644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78" t="str">
        <f>+VLOOKUP($A50,Master!$D$30:$G$226,4,FALSE)</f>
        <v>Otplata garancija</v>
      </c>
      <c r="C50" s="579"/>
      <c r="D50" s="579"/>
      <c r="E50" s="579"/>
      <c r="F50" s="579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45" t="str">
        <f>+VLOOKUP($A51,Master!$D$30:$G$226,4,TRUE)</f>
        <v>Otplata obaveza iz prethodnog perioda</v>
      </c>
      <c r="C51" s="646"/>
      <c r="D51" s="646"/>
      <c r="E51" s="646"/>
      <c r="F51" s="646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47" t="str">
        <f>+VLOOKUP($A52,Master!$D$30:$G$228,4,FALSE)</f>
        <v>Neto povećanje obaveza</v>
      </c>
      <c r="C52" s="648"/>
      <c r="D52" s="648"/>
      <c r="E52" s="648"/>
      <c r="F52" s="648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80" t="str">
        <f>+VLOOKUP($A53,Master!$D$30:$G$226,4,FALSE)</f>
        <v>Suficit / deficit</v>
      </c>
      <c r="C53" s="581"/>
      <c r="D53" s="581"/>
      <c r="E53" s="581"/>
      <c r="F53" s="581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82" t="str">
        <f>+VLOOKUP($A54,Master!$D$30:$G$226,4,FALSE)</f>
        <v>Primarni suficit/deficit</v>
      </c>
      <c r="C54" s="583"/>
      <c r="D54" s="583"/>
      <c r="E54" s="583"/>
      <c r="F54" s="583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04" t="str">
        <f>+VLOOKUP($A55,Master!$D$30:$G$226,4,FALSE)</f>
        <v>Otplata dugova</v>
      </c>
      <c r="C55" s="605"/>
      <c r="D55" s="605"/>
      <c r="E55" s="605"/>
      <c r="F55" s="605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600" t="str">
        <f>+VLOOKUP($A56,Master!$D$30:$G$226,4,FALSE)</f>
        <v>Otplata hartija od vrijednosti i kredita rezidentima</v>
      </c>
      <c r="C56" s="601"/>
      <c r="D56" s="601"/>
      <c r="E56" s="601"/>
      <c r="F56" s="601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76" t="str">
        <f>+VLOOKUP($A57,Master!$D$30:$G$226,4,FALSE)</f>
        <v>Otplata hartija od vrijednosti i kredita nerezidentima</v>
      </c>
      <c r="C57" s="577"/>
      <c r="D57" s="577"/>
      <c r="E57" s="577"/>
      <c r="F57" s="577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568" t="str">
        <f>+VLOOKUP($A58,Master!$D$30:$G$226,4,FALSE)</f>
        <v>Izdaci za kupovinu hartija od vrijednosti</v>
      </c>
      <c r="C58" s="569"/>
      <c r="D58" s="569"/>
      <c r="E58" s="569"/>
      <c r="F58" s="569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602" t="str">
        <f>+VLOOKUP($A59,Master!$D$30:$G$226,4,FALSE)</f>
        <v>Nedostajuća sredstva</v>
      </c>
      <c r="C59" s="603"/>
      <c r="D59" s="603"/>
      <c r="E59" s="603"/>
      <c r="F59" s="603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66" t="str">
        <f>+VLOOKUP($A60,Master!$D$30:$G$226,4,FALSE)</f>
        <v>Finansiranje</v>
      </c>
      <c r="C60" s="567"/>
      <c r="D60" s="567"/>
      <c r="E60" s="567"/>
      <c r="F60" s="567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600" t="str">
        <f>+VLOOKUP($A61,Master!$D$30:$G$226,4,FALSE)</f>
        <v>Pozajmice i krediti od domaćih izvora</v>
      </c>
      <c r="C61" s="601"/>
      <c r="D61" s="601"/>
      <c r="E61" s="601"/>
      <c r="F61" s="601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76" t="str">
        <f>+VLOOKUP($A62,Master!$D$30:$G$226,4,FALSE)</f>
        <v>Pozajmice i krediti od inostranih izvora</v>
      </c>
      <c r="C62" s="577"/>
      <c r="D62" s="577"/>
      <c r="E62" s="577"/>
      <c r="F62" s="577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76" t="str">
        <f>+VLOOKUP($A63,Master!$D$30:$G$226,4,FALSE)</f>
        <v>Primici od prodaje imovine</v>
      </c>
      <c r="C63" s="577"/>
      <c r="D63" s="577"/>
      <c r="E63" s="577"/>
      <c r="F63" s="577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32" t="str">
        <f>+Master!G253</f>
        <v>Plan ostvarenja budžeta</v>
      </c>
      <c r="C100" s="633"/>
      <c r="D100" s="633"/>
      <c r="E100" s="633"/>
      <c r="F100" s="633"/>
      <c r="G100" s="640">
        <v>2020</v>
      </c>
      <c r="H100" s="641"/>
      <c r="I100" s="641"/>
      <c r="J100" s="641"/>
      <c r="K100" s="641"/>
      <c r="L100" s="641"/>
      <c r="M100" s="641"/>
      <c r="N100" s="641"/>
      <c r="O100" s="641"/>
      <c r="P100" s="641"/>
      <c r="Q100" s="641"/>
      <c r="R100" s="642"/>
      <c r="S100" s="96" t="str">
        <f>+S7</f>
        <v>BDP</v>
      </c>
      <c r="T100" s="97">
        <v>4607300000</v>
      </c>
    </row>
    <row r="101" spans="1:21" ht="15.75" customHeight="1">
      <c r="B101" s="634"/>
      <c r="C101" s="635"/>
      <c r="D101" s="635"/>
      <c r="E101" s="635"/>
      <c r="F101" s="636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640" t="str">
        <f>+Master!G247</f>
        <v>Jan - Dec</v>
      </c>
      <c r="T101" s="642">
        <f>+T8</f>
        <v>0</v>
      </c>
    </row>
    <row r="102" spans="1:21" ht="13.5" thickBot="1">
      <c r="B102" s="637"/>
      <c r="C102" s="638"/>
      <c r="D102" s="638"/>
      <c r="E102" s="638"/>
      <c r="F102" s="639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655" t="str">
        <f>+VLOOKUP(LEFT($A103,LEN(A103)-1)*1,Master!$D$30:$G$226,4,FALSE)</f>
        <v>Prihodi budžeta</v>
      </c>
      <c r="C103" s="656"/>
      <c r="D103" s="656"/>
      <c r="E103" s="656"/>
      <c r="F103" s="656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30" t="str">
        <f>+VLOOKUP(LEFT($A104,LEN(A104)-1)*1,Master!$D$30:$G$226,4,FALSE)</f>
        <v>Porezi</v>
      </c>
      <c r="C104" s="631"/>
      <c r="D104" s="631"/>
      <c r="E104" s="631"/>
      <c r="F104" s="631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22" t="str">
        <f>+VLOOKUP(LEFT($A105,LEN(A105)-1)*1,Master!$D$30:$G$229,4,FALSE)</f>
        <v>Porez na dohodak fizičkih lica</v>
      </c>
      <c r="C105" s="623"/>
      <c r="D105" s="623"/>
      <c r="E105" s="623"/>
      <c r="F105" s="623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22" t="str">
        <f>+VLOOKUP(LEFT($A106,LEN(A106)-1)*1,Master!$D$30:$G$229,4,FALSE)</f>
        <v>Porez na dobit pravnih lica</v>
      </c>
      <c r="C106" s="623"/>
      <c r="D106" s="623"/>
      <c r="E106" s="623"/>
      <c r="F106" s="623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22" t="str">
        <f>+VLOOKUP(LEFT($A107,LEN(A107)-1)*1,Master!$D$30:$G$229,4,FALSE)</f>
        <v>Porez na promet nepokretnosti</v>
      </c>
      <c r="C107" s="623"/>
      <c r="D107" s="623"/>
      <c r="E107" s="623"/>
      <c r="F107" s="623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22" t="str">
        <f>+VLOOKUP(LEFT($A108,LEN(A108)-1)*1,Master!$D$30:$G$229,4,FALSE)</f>
        <v>Porez na dodatu vrijednost</v>
      </c>
      <c r="C108" s="623"/>
      <c r="D108" s="623"/>
      <c r="E108" s="623"/>
      <c r="F108" s="623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22" t="str">
        <f>+VLOOKUP(LEFT($A109,LEN(A109)-1)*1,Master!$D$30:$G$229,4,FALSE)</f>
        <v>Akcize</v>
      </c>
      <c r="C109" s="623"/>
      <c r="D109" s="623"/>
      <c r="E109" s="623"/>
      <c r="F109" s="623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22" t="str">
        <f>+VLOOKUP(LEFT($A110,LEN(A110)-1)*1,Master!$D$30:$G$229,4,FALSE)</f>
        <v>Porez na međunarodnu trgovinu i transakcije</v>
      </c>
      <c r="C110" s="623"/>
      <c r="D110" s="623"/>
      <c r="E110" s="623"/>
      <c r="F110" s="623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22" t="str">
        <f>+VLOOKUP(LEFT($A111,LEN(A111)-1)*1,Master!$D$30:$G$229,4,FALSE)</f>
        <v>Ostali državni porezi</v>
      </c>
      <c r="C111" s="623"/>
      <c r="D111" s="623"/>
      <c r="E111" s="623"/>
      <c r="F111" s="623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57" t="str">
        <f>+VLOOKUP(LEFT($A112,LEN(A112)-1)*1,Master!$D$30:$G$229,4,FALSE)</f>
        <v>Doprinosi</v>
      </c>
      <c r="C112" s="658"/>
      <c r="D112" s="658"/>
      <c r="E112" s="658"/>
      <c r="F112" s="658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22" t="str">
        <f>+VLOOKUP(LEFT($A113,LEN(A113)-1)*1,Master!$D$30:$G$229,4,FALSE)</f>
        <v>Doprinosi za penzijsko i invalidsko osiguranje</v>
      </c>
      <c r="C113" s="623"/>
      <c r="D113" s="623"/>
      <c r="E113" s="623"/>
      <c r="F113" s="623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22" t="str">
        <f>+VLOOKUP(LEFT($A114,LEN(A114)-1)*1,Master!$D$30:$G$229,4,FALSE)</f>
        <v>Doprinosi za zdravstveno osiguranje</v>
      </c>
      <c r="C114" s="623"/>
      <c r="D114" s="623"/>
      <c r="E114" s="623"/>
      <c r="F114" s="623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22" t="str">
        <f>+VLOOKUP(LEFT($A115,LEN(A115)-1)*1,Master!$D$30:$G$229,4,FALSE)</f>
        <v>Doprinosi za osiguranje od nezaposlenosti</v>
      </c>
      <c r="C115" s="623"/>
      <c r="D115" s="623"/>
      <c r="E115" s="623"/>
      <c r="F115" s="623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22" t="str">
        <f>+VLOOKUP(LEFT($A116,LEN(A116)-1)*1,Master!$D$30:$G$229,4,FALSE)</f>
        <v>Ostali doprinosi</v>
      </c>
      <c r="C116" s="623"/>
      <c r="D116" s="623"/>
      <c r="E116" s="623"/>
      <c r="F116" s="623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28" t="str">
        <f>+VLOOKUP(LEFT($A117,LEN(A117)-1)*1,Master!$D$30:$G$229,4,FALSE)</f>
        <v>Takse</v>
      </c>
      <c r="C117" s="629"/>
      <c r="D117" s="629"/>
      <c r="E117" s="629"/>
      <c r="F117" s="629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28" t="str">
        <f>+VLOOKUP(LEFT($A118,LEN(A118)-1)*1,Master!$D$30:$G$229,4,FALSE)</f>
        <v>Naknade</v>
      </c>
      <c r="C118" s="629"/>
      <c r="D118" s="629"/>
      <c r="E118" s="629"/>
      <c r="F118" s="629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28" t="str">
        <f>+VLOOKUP(LEFT($A119,LEN(A119)-1)*1,Master!$D$30:$G$229,4,FALSE)</f>
        <v>Ostali prihodi</v>
      </c>
      <c r="C119" s="629"/>
      <c r="D119" s="629"/>
      <c r="E119" s="629"/>
      <c r="F119" s="629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28" t="str">
        <f>+VLOOKUP(LEFT($A120,LEN(A120)-1)*1,Master!$D$30:$G$229,4,FALSE)</f>
        <v>Primici od otplate kredita i sredstva prenesena iz prethodne godine</v>
      </c>
      <c r="C120" s="629"/>
      <c r="D120" s="629"/>
      <c r="E120" s="629"/>
      <c r="F120" s="629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24" t="str">
        <f>+VLOOKUP(LEFT($A121,LEN(A121)-1)*1,Master!$D$30:$G$229,4,FALSE)</f>
        <v>Donacije i transferi</v>
      </c>
      <c r="C121" s="625"/>
      <c r="D121" s="625"/>
      <c r="E121" s="625"/>
      <c r="F121" s="625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06" t="str">
        <f>+VLOOKUP(LEFT($A122,LEN(A122)-1)*1,Master!$D$30:$G$229,4,FALSE)</f>
        <v>Izdaci budžeta</v>
      </c>
      <c r="C122" s="607"/>
      <c r="D122" s="607"/>
      <c r="E122" s="607"/>
      <c r="F122" s="607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26" t="str">
        <f>+VLOOKUP(LEFT($A123,LEN(A123)-1)*1,Master!$D$30:$G$229,4,FALSE)</f>
        <v>Tekući izdaci</v>
      </c>
      <c r="C123" s="627"/>
      <c r="D123" s="627"/>
      <c r="E123" s="627"/>
      <c r="F123" s="627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22" t="str">
        <f>+VLOOKUP(LEFT($A124,LEN(A124)-1)*1,Master!$D$30:$G$229,4,FALSE)</f>
        <v>Bruto zarade i doprinosi na teret poslodavca</v>
      </c>
      <c r="C124" s="623"/>
      <c r="D124" s="623"/>
      <c r="E124" s="623"/>
      <c r="F124" s="623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22" t="str">
        <f>+VLOOKUP(LEFT($A125,LEN(A125)-1)*1,Master!$D$30:$G$229,4,FALSE)</f>
        <v>Ostala lična primanja</v>
      </c>
      <c r="C125" s="623"/>
      <c r="D125" s="623"/>
      <c r="E125" s="623"/>
      <c r="F125" s="623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22" t="str">
        <f>+VLOOKUP(LEFT($A126,LEN(A126)-1)*1,Master!$D$30:$G$229,4,FALSE)</f>
        <v>Rashodi za materijal</v>
      </c>
      <c r="C126" s="623"/>
      <c r="D126" s="623"/>
      <c r="E126" s="623"/>
      <c r="F126" s="623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22" t="str">
        <f>+VLOOKUP(LEFT($A127,LEN(A127)-1)*1,Master!$D$30:$G$229,4,FALSE)</f>
        <v>Rashodi za usluge</v>
      </c>
      <c r="C127" s="623"/>
      <c r="D127" s="623"/>
      <c r="E127" s="623"/>
      <c r="F127" s="623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22" t="str">
        <f>+VLOOKUP(LEFT($A128,LEN(A128)-1)*1,Master!$D$30:$G$229,4,FALSE)</f>
        <v>Rashodi za tekuće održavanje</v>
      </c>
      <c r="C128" s="623"/>
      <c r="D128" s="623"/>
      <c r="E128" s="623"/>
      <c r="F128" s="623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22" t="str">
        <f>+VLOOKUP(LEFT($A129,LEN(A129)-1)*1,Master!$D$30:$G$229,4,FALSE)</f>
        <v>Kamate</v>
      </c>
      <c r="C129" s="623"/>
      <c r="D129" s="623"/>
      <c r="E129" s="623"/>
      <c r="F129" s="623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22" t="str">
        <f>+VLOOKUP(LEFT($A130,LEN(A130)-1)*1,Master!$D$30:$G$229,4,FALSE)</f>
        <v>Renta</v>
      </c>
      <c r="C130" s="623"/>
      <c r="D130" s="623"/>
      <c r="E130" s="623"/>
      <c r="F130" s="623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22" t="str">
        <f>+VLOOKUP(LEFT($A131,LEN(A131)-1)*1,Master!$D$30:$G$229,4,FALSE)</f>
        <v>Subvencije</v>
      </c>
      <c r="C131" s="623"/>
      <c r="D131" s="623"/>
      <c r="E131" s="623"/>
      <c r="F131" s="623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22" t="str">
        <f>+VLOOKUP(LEFT($A132,LEN(A132)-1)*1,Master!$D$30:$G$229,4,FALSE)</f>
        <v>Ostali izdaci</v>
      </c>
      <c r="C132" s="623"/>
      <c r="D132" s="623"/>
      <c r="E132" s="623"/>
      <c r="F132" s="623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18" t="str">
        <f>+VLOOKUP(LEFT($A133,LEN(A133)-1)*1,Master!$D$30:$G$229,4,FALSE)</f>
        <v>Transferi za socijalnu zaštitu</v>
      </c>
      <c r="C133" s="619"/>
      <c r="D133" s="619"/>
      <c r="E133" s="619"/>
      <c r="F133" s="619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22" t="str">
        <f>+VLOOKUP(LEFT($A134,LEN(A134)-1)*1,Master!$D$30:$G$229,4,FALSE)</f>
        <v>Prava iz oblasti socijalne zaštite</v>
      </c>
      <c r="C134" s="623"/>
      <c r="D134" s="623"/>
      <c r="E134" s="623"/>
      <c r="F134" s="623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22" t="str">
        <f>+VLOOKUP(LEFT($A135,LEN(A135)-1)*1,Master!$D$30:$G$229,4,FALSE)</f>
        <v>Sredstva za tehnološke viškove</v>
      </c>
      <c r="C135" s="623"/>
      <c r="D135" s="623"/>
      <c r="E135" s="623"/>
      <c r="F135" s="623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22" t="str">
        <f>+VLOOKUP(LEFT($A136,LEN(A136)-1)*1,Master!$D$30:$G$229,4,FALSE)</f>
        <v>Prava iz oblasti penzijskog i invalidskog osiguranja</v>
      </c>
      <c r="C136" s="623"/>
      <c r="D136" s="623"/>
      <c r="E136" s="623"/>
      <c r="F136" s="623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22" t="str">
        <f>+VLOOKUP(LEFT($A137,LEN(A137)-1)*1,Master!$D$30:$G$229,4,FALSE)</f>
        <v>Ostala prava iz oblasti zdravstvene zaštite</v>
      </c>
      <c r="C137" s="623"/>
      <c r="D137" s="623"/>
      <c r="E137" s="623"/>
      <c r="F137" s="623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22" t="str">
        <f>+VLOOKUP(LEFT($A138,LEN(A138)-1)*1,Master!$D$30:$G$229,4,FALSE)</f>
        <v>Ostala prava iz zdravstvenog osiguranja</v>
      </c>
      <c r="C138" s="623"/>
      <c r="D138" s="623"/>
      <c r="E138" s="623"/>
      <c r="F138" s="623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20" t="str">
        <f>+VLOOKUP(LEFT($A139,LEN(A139)-1)*1,Master!$D$30:$G$229,4,FALSE)</f>
        <v xml:space="preserve">Transferi institucijama, pojedincima, nevladinom i javnom sektoru </v>
      </c>
      <c r="C139" s="621"/>
      <c r="D139" s="621"/>
      <c r="E139" s="621"/>
      <c r="F139" s="621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20" t="str">
        <f>+VLOOKUP(LEFT($A140,LEN(A140)-1)*1,Master!$D$30:$G$229,4,FALSE)</f>
        <v>Kapitalni izdaci</v>
      </c>
      <c r="C140" s="621"/>
      <c r="D140" s="621"/>
      <c r="E140" s="621"/>
      <c r="F140" s="621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12" t="str">
        <f>+VLOOKUP(LEFT($A141,LEN(A141)-1)*1,Master!$D$30:$G$229,4,FALSE)</f>
        <v>Pozajmice i krediti</v>
      </c>
      <c r="C141" s="613"/>
      <c r="D141" s="613"/>
      <c r="E141" s="613"/>
      <c r="F141" s="613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12" t="str">
        <f>+VLOOKUP(LEFT($A142,LEN(A142)-1)*1,Master!$D$30:$G$229,4,FALSE)</f>
        <v>Rezerve</v>
      </c>
      <c r="C142" s="613"/>
      <c r="D142" s="613"/>
      <c r="E142" s="613"/>
      <c r="F142" s="613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12" t="str">
        <f>+VLOOKUP(LEFT($A143,LEN(A143)-1)*1,Master!$D$30:$G$229,4,FALSE)</f>
        <v>Otplata garancija</v>
      </c>
      <c r="C143" s="613"/>
      <c r="D143" s="613"/>
      <c r="E143" s="613"/>
      <c r="F143" s="613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12" t="str">
        <f>+VLOOKUP(LEFT($A144,LEN(A144)-1)*1,Master!$D$30:$G$229,4,FALSE)</f>
        <v>Otplata obaveza iz prethodnog perioda</v>
      </c>
      <c r="C144" s="613"/>
      <c r="D144" s="613"/>
      <c r="E144" s="613"/>
      <c r="F144" s="613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12" t="str">
        <f>+VLOOKUP(LEFT($A145,LEN(A145)-1)*1,Master!$D$30:$G$229,4,FALSE)</f>
        <v>Neto povećanje obaveza</v>
      </c>
      <c r="C145" s="613"/>
      <c r="D145" s="613"/>
      <c r="E145" s="613"/>
      <c r="F145" s="613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14" t="str">
        <f>+VLOOKUP(LEFT($A146,LEN(A146)-1)*1,Master!$D$30:$G$226,4,FALSE)</f>
        <v>Suficit / deficit</v>
      </c>
      <c r="C146" s="615"/>
      <c r="D146" s="615"/>
      <c r="E146" s="615"/>
      <c r="F146" s="615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16" t="str">
        <f>+VLOOKUP(LEFT($A147,LEN(A147)-1)*1,Master!$D$30:$G$226,4,FALSE)</f>
        <v>Primarni suficit/deficit</v>
      </c>
      <c r="C147" s="617"/>
      <c r="D147" s="617"/>
      <c r="E147" s="617"/>
      <c r="F147" s="617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18" t="str">
        <f>+VLOOKUP(LEFT($A148,LEN(A148)-1)*1,Master!$D$30:$G$226,4,FALSE)</f>
        <v>Otplata dugova</v>
      </c>
      <c r="C148" s="619"/>
      <c r="D148" s="619"/>
      <c r="E148" s="619"/>
      <c r="F148" s="619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10" t="str">
        <f>+VLOOKUP(LEFT($A149,LEN(A149)-1)*1,Master!$D$30:$G$226,4,FALSE)</f>
        <v>Otplata hartija od vrijednosti i kredita rezidentima</v>
      </c>
      <c r="C149" s="611"/>
      <c r="D149" s="611"/>
      <c r="E149" s="611"/>
      <c r="F149" s="611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12" t="str">
        <f>+VLOOKUP(LEFT($A150,LEN(A150)-1)*1,Master!$D$30:$G$226,4,FALSE)</f>
        <v>Otplata hartija od vrijednosti i kredita nerezidentima</v>
      </c>
      <c r="C150" s="613"/>
      <c r="D150" s="613"/>
      <c r="E150" s="613"/>
      <c r="F150" s="613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06" t="str">
        <f>+VLOOKUP(LEFT($A151,LEN(A151)-1)*1,Master!$D$30:$G$226,4,FALSE)</f>
        <v>Izdaci za kupovinu hartija od vrijednosti</v>
      </c>
      <c r="C151" s="607"/>
      <c r="D151" s="607"/>
      <c r="E151" s="607"/>
      <c r="F151" s="607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08" t="str">
        <f>+VLOOKUP(LEFT($A152,LEN(A152)-1)*1,Master!$D$30:$G$226,4,FALSE)</f>
        <v>Nedostajuća sredstva</v>
      </c>
      <c r="C152" s="609"/>
      <c r="D152" s="609"/>
      <c r="E152" s="609"/>
      <c r="F152" s="609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06" t="str">
        <f>+VLOOKUP(LEFT($A153,LEN(A153)-1)*1,Master!$D$30:$G$226,4,FALSE)</f>
        <v>Finansiranje</v>
      </c>
      <c r="C153" s="607"/>
      <c r="D153" s="607"/>
      <c r="E153" s="607"/>
      <c r="F153" s="607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10" t="str">
        <f>+VLOOKUP(LEFT($A154,LEN(A154)-1)*1,Master!$D$30:$G$226,4,FALSE)</f>
        <v>Pozajmice i krediti od domaćih izvora</v>
      </c>
      <c r="C154" s="611"/>
      <c r="D154" s="611"/>
      <c r="E154" s="611"/>
      <c r="F154" s="611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12" t="str">
        <f>+VLOOKUP(LEFT($A155,LEN(A155)-1)*1,Master!$D$30:$G$226,4,FALSE)</f>
        <v>Pozajmice i krediti od inostranih izvora</v>
      </c>
      <c r="C155" s="613"/>
      <c r="D155" s="613"/>
      <c r="E155" s="613"/>
      <c r="F155" s="613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12" t="str">
        <f>+VLOOKUP(LEFT($A156,LEN(A156)-1)*1,Master!$D$30:$G$226,4,FALSE)</f>
        <v>Primici od prodaje imovine</v>
      </c>
      <c r="C156" s="613"/>
      <c r="D156" s="613"/>
      <c r="E156" s="613"/>
      <c r="F156" s="613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86" t="s">
        <v>553</v>
      </c>
      <c r="C7" s="587"/>
      <c r="D7" s="587"/>
      <c r="E7" s="587"/>
      <c r="F7" s="587"/>
      <c r="G7" s="595">
        <v>2019</v>
      </c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9"/>
      <c r="S7" s="220" t="s">
        <v>419</v>
      </c>
      <c r="T7" s="221">
        <v>4951000000</v>
      </c>
    </row>
    <row r="8" spans="1:20" ht="16.5" customHeight="1">
      <c r="A8" s="129"/>
      <c r="B8" s="588"/>
      <c r="C8" s="589"/>
      <c r="D8" s="589"/>
      <c r="E8" s="589"/>
      <c r="F8" s="590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95" t="s">
        <v>806</v>
      </c>
      <c r="T8" s="599"/>
    </row>
    <row r="9" spans="1:20" ht="13.5" thickBot="1">
      <c r="A9" s="129"/>
      <c r="B9" s="591"/>
      <c r="C9" s="592"/>
      <c r="D9" s="592"/>
      <c r="E9" s="592"/>
      <c r="F9" s="59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66" t="s">
        <v>680</v>
      </c>
      <c r="C10" s="567"/>
      <c r="D10" s="567"/>
      <c r="E10" s="567"/>
      <c r="F10" s="567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556" t="s">
        <v>21</v>
      </c>
      <c r="C11" s="557"/>
      <c r="D11" s="557"/>
      <c r="E11" s="557"/>
      <c r="F11" s="557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58" t="s">
        <v>23</v>
      </c>
      <c r="C12" s="559"/>
      <c r="D12" s="559"/>
      <c r="E12" s="559"/>
      <c r="F12" s="559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58" t="s">
        <v>25</v>
      </c>
      <c r="C13" s="559"/>
      <c r="D13" s="559"/>
      <c r="E13" s="559"/>
      <c r="F13" s="559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58" t="s">
        <v>27</v>
      </c>
      <c r="C14" s="559"/>
      <c r="D14" s="559"/>
      <c r="E14" s="559"/>
      <c r="F14" s="559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58" t="s">
        <v>29</v>
      </c>
      <c r="C15" s="559"/>
      <c r="D15" s="559"/>
      <c r="E15" s="559"/>
      <c r="F15" s="559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58" t="s">
        <v>31</v>
      </c>
      <c r="C16" s="559"/>
      <c r="D16" s="559"/>
      <c r="E16" s="559"/>
      <c r="F16" s="559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58" t="s">
        <v>33</v>
      </c>
      <c r="C17" s="559"/>
      <c r="D17" s="559"/>
      <c r="E17" s="559"/>
      <c r="F17" s="559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58" t="s">
        <v>721</v>
      </c>
      <c r="C18" s="559"/>
      <c r="D18" s="559"/>
      <c r="E18" s="559"/>
      <c r="F18" s="559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562" t="s">
        <v>37</v>
      </c>
      <c r="C19" s="563"/>
      <c r="D19" s="563"/>
      <c r="E19" s="563"/>
      <c r="F19" s="563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58" t="s">
        <v>39</v>
      </c>
      <c r="C20" s="559"/>
      <c r="D20" s="559"/>
      <c r="E20" s="559"/>
      <c r="F20" s="559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58" t="s">
        <v>41</v>
      </c>
      <c r="C21" s="559"/>
      <c r="D21" s="559"/>
      <c r="E21" s="559"/>
      <c r="F21" s="559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58" t="s">
        <v>43</v>
      </c>
      <c r="C22" s="559"/>
      <c r="D22" s="559"/>
      <c r="E22" s="559"/>
      <c r="F22" s="559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58" t="s">
        <v>45</v>
      </c>
      <c r="C23" s="559"/>
      <c r="D23" s="559"/>
      <c r="E23" s="559"/>
      <c r="F23" s="559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60" t="s">
        <v>47</v>
      </c>
      <c r="C24" s="561"/>
      <c r="D24" s="561"/>
      <c r="E24" s="561"/>
      <c r="F24" s="561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60" t="s">
        <v>61</v>
      </c>
      <c r="C25" s="561"/>
      <c r="D25" s="561"/>
      <c r="E25" s="561"/>
      <c r="F25" s="561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60" t="s">
        <v>81</v>
      </c>
      <c r="C26" s="561"/>
      <c r="D26" s="561"/>
      <c r="E26" s="561"/>
      <c r="F26" s="561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60" t="s">
        <v>99</v>
      </c>
      <c r="C27" s="561"/>
      <c r="D27" s="561"/>
      <c r="E27" s="561"/>
      <c r="F27" s="561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564" t="s">
        <v>105</v>
      </c>
      <c r="C28" s="565"/>
      <c r="D28" s="565"/>
      <c r="E28" s="565"/>
      <c r="F28" s="565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66" t="s">
        <v>801</v>
      </c>
      <c r="C29" s="567"/>
      <c r="D29" s="567"/>
      <c r="E29" s="567"/>
      <c r="F29" s="567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568" t="s">
        <v>120</v>
      </c>
      <c r="C30" s="569"/>
      <c r="D30" s="569"/>
      <c r="E30" s="569"/>
      <c r="F30" s="569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58" t="s">
        <v>122</v>
      </c>
      <c r="C31" s="559"/>
      <c r="D31" s="559"/>
      <c r="E31" s="559"/>
      <c r="F31" s="559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58" t="s">
        <v>133</v>
      </c>
      <c r="C32" s="559"/>
      <c r="D32" s="559"/>
      <c r="E32" s="559"/>
      <c r="F32" s="559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58" t="s">
        <v>148</v>
      </c>
      <c r="C33" s="559"/>
      <c r="D33" s="559"/>
      <c r="E33" s="559"/>
      <c r="F33" s="559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58" t="s">
        <v>162</v>
      </c>
      <c r="C34" s="559"/>
      <c r="D34" s="559"/>
      <c r="E34" s="559"/>
      <c r="F34" s="559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53" t="s">
        <v>182</v>
      </c>
      <c r="C35" s="654"/>
      <c r="D35" s="654"/>
      <c r="E35" s="654"/>
      <c r="F35" s="654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58" t="s">
        <v>190</v>
      </c>
      <c r="C36" s="559"/>
      <c r="D36" s="559"/>
      <c r="E36" s="559"/>
      <c r="F36" s="559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58" t="s">
        <v>196</v>
      </c>
      <c r="C37" s="559"/>
      <c r="D37" s="559"/>
      <c r="E37" s="559"/>
      <c r="F37" s="559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58" t="s">
        <v>204</v>
      </c>
      <c r="C38" s="559"/>
      <c r="D38" s="559"/>
      <c r="E38" s="559"/>
      <c r="F38" s="559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58" t="s">
        <v>212</v>
      </c>
      <c r="C39" s="559"/>
      <c r="D39" s="559"/>
      <c r="E39" s="559"/>
      <c r="F39" s="559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74" t="s">
        <v>230</v>
      </c>
      <c r="C40" s="575"/>
      <c r="D40" s="575"/>
      <c r="E40" s="575"/>
      <c r="F40" s="575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58" t="s">
        <v>232</v>
      </c>
      <c r="C41" s="559"/>
      <c r="D41" s="559"/>
      <c r="E41" s="559"/>
      <c r="F41" s="559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58" t="s">
        <v>248</v>
      </c>
      <c r="C42" s="559"/>
      <c r="D42" s="559"/>
      <c r="E42" s="559"/>
      <c r="F42" s="559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58" t="s">
        <v>259</v>
      </c>
      <c r="C43" s="559"/>
      <c r="D43" s="559"/>
      <c r="E43" s="559"/>
      <c r="F43" s="559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58" t="s">
        <v>274</v>
      </c>
      <c r="C44" s="559"/>
      <c r="D44" s="559"/>
      <c r="E44" s="559"/>
      <c r="F44" s="559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58" t="s">
        <v>278</v>
      </c>
      <c r="C45" s="559"/>
      <c r="D45" s="559"/>
      <c r="E45" s="559"/>
      <c r="F45" s="559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72" t="s">
        <v>286</v>
      </c>
      <c r="C46" s="573"/>
      <c r="D46" s="573"/>
      <c r="E46" s="573"/>
      <c r="F46" s="573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72" t="s">
        <v>320</v>
      </c>
      <c r="C47" s="573"/>
      <c r="D47" s="573"/>
      <c r="E47" s="573"/>
      <c r="F47" s="573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51" t="s">
        <v>113</v>
      </c>
      <c r="C48" s="652"/>
      <c r="D48" s="652"/>
      <c r="E48" s="652"/>
      <c r="F48" s="652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43" t="s">
        <v>366</v>
      </c>
      <c r="C49" s="644"/>
      <c r="D49" s="644"/>
      <c r="E49" s="644"/>
      <c r="F49" s="644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78" t="s">
        <v>359</v>
      </c>
      <c r="C50" s="579"/>
      <c r="D50" s="579"/>
      <c r="E50" s="579"/>
      <c r="F50" s="579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45" t="s">
        <v>794</v>
      </c>
      <c r="C51" s="646"/>
      <c r="D51" s="646"/>
      <c r="E51" s="646"/>
      <c r="F51" s="646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47" t="s">
        <v>684</v>
      </c>
      <c r="C52" s="648"/>
      <c r="D52" s="648"/>
      <c r="E52" s="648"/>
      <c r="F52" s="648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80" t="s">
        <v>545</v>
      </c>
      <c r="C53" s="581"/>
      <c r="D53" s="581"/>
      <c r="E53" s="581"/>
      <c r="F53" s="581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82" t="s">
        <v>792</v>
      </c>
      <c r="C54" s="583"/>
      <c r="D54" s="583"/>
      <c r="E54" s="583"/>
      <c r="F54" s="583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04" t="s">
        <v>352</v>
      </c>
      <c r="C55" s="605"/>
      <c r="D55" s="605"/>
      <c r="E55" s="605"/>
      <c r="F55" s="605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600" t="s">
        <v>355</v>
      </c>
      <c r="C56" s="601"/>
      <c r="D56" s="601"/>
      <c r="E56" s="601"/>
      <c r="F56" s="601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76" t="s">
        <v>357</v>
      </c>
      <c r="C57" s="577"/>
      <c r="D57" s="577"/>
      <c r="E57" s="577"/>
      <c r="F57" s="577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59" t="s">
        <v>336</v>
      </c>
      <c r="C58" s="660"/>
      <c r="D58" s="660"/>
      <c r="E58" s="660"/>
      <c r="F58" s="660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602" t="s">
        <v>543</v>
      </c>
      <c r="C59" s="603"/>
      <c r="D59" s="603"/>
      <c r="E59" s="603"/>
      <c r="F59" s="603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66" t="s">
        <v>544</v>
      </c>
      <c r="C60" s="567"/>
      <c r="D60" s="567"/>
      <c r="E60" s="567"/>
      <c r="F60" s="567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600" t="s">
        <v>114</v>
      </c>
      <c r="C61" s="601"/>
      <c r="D61" s="601"/>
      <c r="E61" s="601"/>
      <c r="F61" s="601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76" t="s">
        <v>116</v>
      </c>
      <c r="C62" s="577"/>
      <c r="D62" s="577"/>
      <c r="E62" s="577"/>
      <c r="F62" s="577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76" t="s">
        <v>93</v>
      </c>
      <c r="C63" s="577"/>
      <c r="D63" s="577"/>
      <c r="E63" s="577"/>
      <c r="F63" s="577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32" t="s">
        <v>551</v>
      </c>
      <c r="C100" s="633"/>
      <c r="D100" s="633"/>
      <c r="E100" s="633"/>
      <c r="F100" s="633"/>
      <c r="G100" s="640">
        <v>2019</v>
      </c>
      <c r="H100" s="641"/>
      <c r="I100" s="641"/>
      <c r="J100" s="641"/>
      <c r="K100" s="641"/>
      <c r="L100" s="641"/>
      <c r="M100" s="641"/>
      <c r="N100" s="641"/>
      <c r="O100" s="641"/>
      <c r="P100" s="641"/>
      <c r="Q100" s="641"/>
      <c r="R100" s="642"/>
      <c r="S100" s="96" t="str">
        <f>+S7</f>
        <v>BDP</v>
      </c>
      <c r="T100" s="97">
        <f>+T7</f>
        <v>4951000000</v>
      </c>
    </row>
    <row r="101" spans="1:21" ht="15.75" customHeight="1">
      <c r="B101" s="634"/>
      <c r="C101" s="635"/>
      <c r="D101" s="635"/>
      <c r="E101" s="635"/>
      <c r="F101" s="636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40" t="s">
        <v>806</v>
      </c>
      <c r="T101" s="642">
        <f>+T8</f>
        <v>0</v>
      </c>
    </row>
    <row r="102" spans="1:21" ht="13.5" thickBot="1">
      <c r="B102" s="637"/>
      <c r="C102" s="638"/>
      <c r="D102" s="638"/>
      <c r="E102" s="638"/>
      <c r="F102" s="639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55" t="s">
        <v>680</v>
      </c>
      <c r="C103" s="656"/>
      <c r="D103" s="656"/>
      <c r="E103" s="656"/>
      <c r="F103" s="656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30" t="s">
        <v>21</v>
      </c>
      <c r="C104" s="631"/>
      <c r="D104" s="631"/>
      <c r="E104" s="631"/>
      <c r="F104" s="631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22" t="s">
        <v>23</v>
      </c>
      <c r="C105" s="623"/>
      <c r="D105" s="623"/>
      <c r="E105" s="623"/>
      <c r="F105" s="623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22" t="s">
        <v>25</v>
      </c>
      <c r="C106" s="623"/>
      <c r="D106" s="623"/>
      <c r="E106" s="623"/>
      <c r="F106" s="623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22" t="s">
        <v>27</v>
      </c>
      <c r="C107" s="623"/>
      <c r="D107" s="623"/>
      <c r="E107" s="623"/>
      <c r="F107" s="623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22" t="s">
        <v>29</v>
      </c>
      <c r="C108" s="623"/>
      <c r="D108" s="623"/>
      <c r="E108" s="623"/>
      <c r="F108" s="623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22" t="s">
        <v>31</v>
      </c>
      <c r="C109" s="623"/>
      <c r="D109" s="623"/>
      <c r="E109" s="623"/>
      <c r="F109" s="623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22" t="s">
        <v>33</v>
      </c>
      <c r="C110" s="623"/>
      <c r="D110" s="623"/>
      <c r="E110" s="623"/>
      <c r="F110" s="623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22" t="s">
        <v>721</v>
      </c>
      <c r="C111" s="623"/>
      <c r="D111" s="623"/>
      <c r="E111" s="623"/>
      <c r="F111" s="623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57" t="s">
        <v>37</v>
      </c>
      <c r="C112" s="658"/>
      <c r="D112" s="658"/>
      <c r="E112" s="658"/>
      <c r="F112" s="658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22" t="s">
        <v>39</v>
      </c>
      <c r="C113" s="623"/>
      <c r="D113" s="623"/>
      <c r="E113" s="623"/>
      <c r="F113" s="623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22" t="s">
        <v>41</v>
      </c>
      <c r="C114" s="623"/>
      <c r="D114" s="623"/>
      <c r="E114" s="623"/>
      <c r="F114" s="623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22" t="s">
        <v>43</v>
      </c>
      <c r="C115" s="623"/>
      <c r="D115" s="623"/>
      <c r="E115" s="623"/>
      <c r="F115" s="623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22" t="s">
        <v>45</v>
      </c>
      <c r="C116" s="623"/>
      <c r="D116" s="623"/>
      <c r="E116" s="623"/>
      <c r="F116" s="623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28" t="s">
        <v>47</v>
      </c>
      <c r="C117" s="629"/>
      <c r="D117" s="629"/>
      <c r="E117" s="629"/>
      <c r="F117" s="629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28" t="s">
        <v>61</v>
      </c>
      <c r="C118" s="629"/>
      <c r="D118" s="629"/>
      <c r="E118" s="629"/>
      <c r="F118" s="629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28" t="s">
        <v>81</v>
      </c>
      <c r="C119" s="629"/>
      <c r="D119" s="629"/>
      <c r="E119" s="629"/>
      <c r="F119" s="629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28" t="s">
        <v>99</v>
      </c>
      <c r="C120" s="629"/>
      <c r="D120" s="629"/>
      <c r="E120" s="629"/>
      <c r="F120" s="629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24" t="s">
        <v>105</v>
      </c>
      <c r="C121" s="625"/>
      <c r="D121" s="625"/>
      <c r="E121" s="625"/>
      <c r="F121" s="625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06" t="s">
        <v>808</v>
      </c>
      <c r="C122" s="607"/>
      <c r="D122" s="607"/>
      <c r="E122" s="607"/>
      <c r="F122" s="607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61" t="s">
        <v>773</v>
      </c>
      <c r="C123" s="662"/>
      <c r="D123" s="662"/>
      <c r="E123" s="662"/>
      <c r="F123" s="662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26" t="e">
        <v>#REF!</v>
      </c>
      <c r="C124" s="627"/>
      <c r="D124" s="627"/>
      <c r="E124" s="627"/>
      <c r="F124" s="627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22" t="s">
        <v>122</v>
      </c>
      <c r="C125" s="623"/>
      <c r="D125" s="623"/>
      <c r="E125" s="623"/>
      <c r="F125" s="623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22" t="s">
        <v>133</v>
      </c>
      <c r="C126" s="623"/>
      <c r="D126" s="623"/>
      <c r="E126" s="623"/>
      <c r="F126" s="623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22" t="s">
        <v>148</v>
      </c>
      <c r="C127" s="623"/>
      <c r="D127" s="623"/>
      <c r="E127" s="623"/>
      <c r="F127" s="623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22" t="s">
        <v>162</v>
      </c>
      <c r="C128" s="623"/>
      <c r="D128" s="623"/>
      <c r="E128" s="623"/>
      <c r="F128" s="623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22" t="s">
        <v>182</v>
      </c>
      <c r="C129" s="623"/>
      <c r="D129" s="623"/>
      <c r="E129" s="623"/>
      <c r="F129" s="623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22" t="s">
        <v>190</v>
      </c>
      <c r="C130" s="623"/>
      <c r="D130" s="623"/>
      <c r="E130" s="623"/>
      <c r="F130" s="623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22" t="s">
        <v>196</v>
      </c>
      <c r="C131" s="623"/>
      <c r="D131" s="623"/>
      <c r="E131" s="623"/>
      <c r="F131" s="623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22" t="s">
        <v>204</v>
      </c>
      <c r="C132" s="623"/>
      <c r="D132" s="623"/>
      <c r="E132" s="623"/>
      <c r="F132" s="623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22" t="s">
        <v>212</v>
      </c>
      <c r="C133" s="623"/>
      <c r="D133" s="623"/>
      <c r="E133" s="623"/>
      <c r="F133" s="623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22" t="e">
        <v>#REF!</v>
      </c>
      <c r="C134" s="623"/>
      <c r="D134" s="623"/>
      <c r="E134" s="623"/>
      <c r="F134" s="623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18" t="s">
        <v>230</v>
      </c>
      <c r="C135" s="619"/>
      <c r="D135" s="619"/>
      <c r="E135" s="619"/>
      <c r="F135" s="619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22" t="s">
        <v>232</v>
      </c>
      <c r="C136" s="623"/>
      <c r="D136" s="623"/>
      <c r="E136" s="623"/>
      <c r="F136" s="623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22" t="s">
        <v>248</v>
      </c>
      <c r="C137" s="623"/>
      <c r="D137" s="623"/>
      <c r="E137" s="623"/>
      <c r="F137" s="623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22" t="s">
        <v>259</v>
      </c>
      <c r="C138" s="623"/>
      <c r="D138" s="623"/>
      <c r="E138" s="623"/>
      <c r="F138" s="623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22" t="s">
        <v>274</v>
      </c>
      <c r="C139" s="623"/>
      <c r="D139" s="623"/>
      <c r="E139" s="623"/>
      <c r="F139" s="623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22" t="s">
        <v>278</v>
      </c>
      <c r="C140" s="623"/>
      <c r="D140" s="623"/>
      <c r="E140" s="623"/>
      <c r="F140" s="623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20" t="s">
        <v>286</v>
      </c>
      <c r="C141" s="621"/>
      <c r="D141" s="621"/>
      <c r="E141" s="621"/>
      <c r="F141" s="621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20" t="s">
        <v>809</v>
      </c>
      <c r="C142" s="621"/>
      <c r="D142" s="621"/>
      <c r="E142" s="621"/>
      <c r="F142" s="621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12" t="s">
        <v>113</v>
      </c>
      <c r="C143" s="613"/>
      <c r="D143" s="613"/>
      <c r="E143" s="613"/>
      <c r="F143" s="613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12" t="s">
        <v>366</v>
      </c>
      <c r="C144" s="613"/>
      <c r="D144" s="613"/>
      <c r="E144" s="613"/>
      <c r="F144" s="613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12" t="s">
        <v>359</v>
      </c>
      <c r="C145" s="613"/>
      <c r="D145" s="613"/>
      <c r="E145" s="613"/>
      <c r="F145" s="613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12" t="s">
        <v>365</v>
      </c>
      <c r="C146" s="613"/>
      <c r="D146" s="613"/>
      <c r="E146" s="613"/>
      <c r="F146" s="613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63" t="s">
        <v>685</v>
      </c>
      <c r="C147" s="664"/>
      <c r="D147" s="664"/>
      <c r="E147" s="664"/>
      <c r="F147" s="664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14" t="s">
        <v>545</v>
      </c>
      <c r="C148" s="615"/>
      <c r="D148" s="615"/>
      <c r="E148" s="615"/>
      <c r="F148" s="615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16" t="s">
        <v>810</v>
      </c>
      <c r="C149" s="617"/>
      <c r="D149" s="617"/>
      <c r="E149" s="617"/>
      <c r="F149" s="617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18" t="s">
        <v>352</v>
      </c>
      <c r="C150" s="619"/>
      <c r="D150" s="619"/>
      <c r="E150" s="619"/>
      <c r="F150" s="619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10" t="s">
        <v>355</v>
      </c>
      <c r="C151" s="611"/>
      <c r="D151" s="611"/>
      <c r="E151" s="611"/>
      <c r="F151" s="611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12" t="s">
        <v>357</v>
      </c>
      <c r="C152" s="613"/>
      <c r="D152" s="613"/>
      <c r="E152" s="613"/>
      <c r="F152" s="613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59" t="s">
        <v>336</v>
      </c>
      <c r="C153" s="660"/>
      <c r="D153" s="660"/>
      <c r="E153" s="660"/>
      <c r="F153" s="660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08" t="s">
        <v>543</v>
      </c>
      <c r="C154" s="609"/>
      <c r="D154" s="609"/>
      <c r="E154" s="609"/>
      <c r="F154" s="609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06" t="s">
        <v>544</v>
      </c>
      <c r="C155" s="607"/>
      <c r="D155" s="607"/>
      <c r="E155" s="607"/>
      <c r="F155" s="607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10" t="s">
        <v>114</v>
      </c>
      <c r="C156" s="611"/>
      <c r="D156" s="611"/>
      <c r="E156" s="611"/>
      <c r="F156" s="611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12" t="s">
        <v>116</v>
      </c>
      <c r="C157" s="613"/>
      <c r="D157" s="613"/>
      <c r="E157" s="613"/>
      <c r="F157" s="613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12" t="s">
        <v>93</v>
      </c>
      <c r="C158" s="613"/>
      <c r="D158" s="613"/>
      <c r="E158" s="613"/>
      <c r="F158" s="613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Analitika - 2014</vt:lpstr>
      <vt:lpstr>Pregled</vt:lpstr>
      <vt:lpstr>Analitika 2024</vt:lpstr>
      <vt:lpstr>2024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Bojan Paunovic</cp:lastModifiedBy>
  <cp:lastPrinted>2024-04-29T12:09:16Z</cp:lastPrinted>
  <dcterms:created xsi:type="dcterms:W3CDTF">2014-09-15T13:41:17Z</dcterms:created>
  <dcterms:modified xsi:type="dcterms:W3CDTF">2024-04-30T16:05:45Z</dcterms:modified>
</cp:coreProperties>
</file>