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updateLinks="always" codeName="ThisWorkbook" defaultThemeVersion="124226"/>
  <mc:AlternateContent xmlns:mc="http://schemas.openxmlformats.org/markup-compatibility/2006">
    <mc:Choice Requires="x15">
      <x15ac:absPath xmlns:x15ac="http://schemas.microsoft.com/office/spreadsheetml/2010/11/ac" url="C:\Users\bojan.paunovic\Desktop\Bojan NE diraj\izvrsenje budzeta\Izvjestaji\Izvjestaji 2024\Konsolidovana javna potrosnja\IIQ 2024\"/>
    </mc:Choice>
  </mc:AlternateContent>
  <xr:revisionPtr revIDLastSave="0" documentId="13_ncr:1_{07639028-3422-47FC-A3B4-5458F5F65307}"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15525" windowHeight="7050"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L63" i="44" l="1"/>
  <c r="L62" i="44"/>
  <c r="L61" i="44"/>
  <c r="L60" i="44"/>
  <c r="L59" i="44"/>
  <c r="L58" i="44"/>
  <c r="L57" i="44"/>
  <c r="L56" i="44"/>
  <c r="L55" i="44"/>
  <c r="L54" i="44"/>
  <c r="L53" i="44"/>
  <c r="L52" i="44"/>
  <c r="L51" i="44"/>
  <c r="L50" i="44"/>
  <c r="L49" i="44"/>
  <c r="L48" i="44"/>
  <c r="L47" i="44"/>
  <c r="L46" i="44"/>
  <c r="L45" i="44"/>
  <c r="L44" i="44"/>
  <c r="L43" i="44"/>
  <c r="L42" i="44"/>
  <c r="L41" i="44"/>
  <c r="L40" i="44"/>
  <c r="L39" i="44"/>
  <c r="L38" i="44"/>
  <c r="L37" i="44"/>
  <c r="L36" i="44"/>
  <c r="L35" i="44"/>
  <c r="L34" i="44"/>
  <c r="L33" i="44"/>
  <c r="L32" i="44"/>
  <c r="L31" i="44"/>
  <c r="L30" i="44"/>
  <c r="L29" i="44"/>
  <c r="L28" i="44"/>
  <c r="L27" i="44"/>
  <c r="L26" i="44"/>
  <c r="L25" i="44"/>
  <c r="L24" i="44"/>
  <c r="L23" i="44"/>
  <c r="L22" i="44"/>
  <c r="L21" i="44"/>
  <c r="L20" i="44"/>
  <c r="L19" i="44"/>
  <c r="L18" i="44"/>
  <c r="L17" i="44"/>
  <c r="L16" i="44"/>
  <c r="L15" i="44"/>
  <c r="L14" i="44"/>
  <c r="L13" i="44"/>
  <c r="L12" i="44"/>
  <c r="L11" i="44"/>
  <c r="L10" i="44"/>
  <c r="L9" i="44"/>
  <c r="L8" i="44"/>
  <c r="L7" i="44"/>
  <c r="J63" i="44"/>
  <c r="J62" i="44"/>
  <c r="J61" i="44"/>
  <c r="J60" i="44"/>
  <c r="J59" i="44"/>
  <c r="J58" i="44"/>
  <c r="J57" i="44"/>
  <c r="J56" i="44"/>
  <c r="J55" i="44"/>
  <c r="J54" i="44"/>
  <c r="J53" i="44"/>
  <c r="J52" i="44"/>
  <c r="J51" i="44"/>
  <c r="J50" i="44"/>
  <c r="J49" i="44"/>
  <c r="J48" i="44"/>
  <c r="J47" i="44"/>
  <c r="J46" i="44"/>
  <c r="J45" i="44"/>
  <c r="J44" i="44"/>
  <c r="J43" i="44"/>
  <c r="J42" i="44"/>
  <c r="J41" i="44"/>
  <c r="J40" i="44"/>
  <c r="J39" i="44"/>
  <c r="J38" i="44"/>
  <c r="J37" i="44"/>
  <c r="J36" i="44"/>
  <c r="J35" i="44"/>
  <c r="J34" i="44"/>
  <c r="J33" i="44"/>
  <c r="J32" i="44"/>
  <c r="J31" i="44"/>
  <c r="J30" i="44"/>
  <c r="J29" i="44"/>
  <c r="J28" i="44"/>
  <c r="J27" i="44"/>
  <c r="J26" i="44"/>
  <c r="J25" i="44"/>
  <c r="J24" i="44"/>
  <c r="J23" i="44"/>
  <c r="J22" i="44"/>
  <c r="J21" i="44"/>
  <c r="J20" i="44"/>
  <c r="J19" i="44"/>
  <c r="J18" i="44"/>
  <c r="J17" i="44"/>
  <c r="J16" i="44"/>
  <c r="J15" i="44"/>
  <c r="J14" i="44"/>
  <c r="J13" i="44"/>
  <c r="J12" i="44"/>
  <c r="J11" i="44"/>
  <c r="J10" i="44"/>
  <c r="J9" i="44"/>
  <c r="J8" i="44"/>
  <c r="J7" i="44"/>
  <c r="H63" i="44"/>
  <c r="H62" i="44"/>
  <c r="H61" i="44"/>
  <c r="H60" i="44"/>
  <c r="H59" i="44"/>
  <c r="H58" i="44"/>
  <c r="H57" i="44"/>
  <c r="H56" i="44"/>
  <c r="H55" i="44"/>
  <c r="H54" i="44"/>
  <c r="H53" i="44"/>
  <c r="H52" i="44"/>
  <c r="H51" i="44"/>
  <c r="H50" i="44"/>
  <c r="H49" i="44"/>
  <c r="H48" i="44"/>
  <c r="H47" i="44"/>
  <c r="H46" i="44"/>
  <c r="H45" i="44"/>
  <c r="H44" i="44"/>
  <c r="H43" i="44"/>
  <c r="H42" i="44"/>
  <c r="H41" i="44"/>
  <c r="H40" i="44"/>
  <c r="H39" i="44"/>
  <c r="H38" i="44"/>
  <c r="H37" i="44"/>
  <c r="H36" i="44"/>
  <c r="H35" i="44"/>
  <c r="H34" i="44"/>
  <c r="H33" i="44"/>
  <c r="H32" i="44"/>
  <c r="H31" i="44"/>
  <c r="H30" i="44"/>
  <c r="H29" i="44"/>
  <c r="H28" i="44"/>
  <c r="H27" i="44"/>
  <c r="H26" i="44"/>
  <c r="H25" i="44"/>
  <c r="H24" i="44"/>
  <c r="H23" i="44"/>
  <c r="H22" i="44"/>
  <c r="H21" i="44"/>
  <c r="H20" i="44"/>
  <c r="H19" i="44"/>
  <c r="H18" i="44"/>
  <c r="H17" i="44"/>
  <c r="H16" i="44"/>
  <c r="H15" i="44"/>
  <c r="H14" i="44"/>
  <c r="H13" i="44"/>
  <c r="H12" i="44"/>
  <c r="H11" i="44"/>
  <c r="H10" i="44"/>
  <c r="H9" i="44"/>
  <c r="H8" i="44"/>
  <c r="H7" i="44"/>
  <c r="F63" i="44"/>
  <c r="F62" i="44"/>
  <c r="F61" i="44"/>
  <c r="F60" i="44"/>
  <c r="F59" i="44"/>
  <c r="F58" i="44"/>
  <c r="F57" i="44"/>
  <c r="F56" i="44"/>
  <c r="F55" i="44"/>
  <c r="F54" i="44"/>
  <c r="F53" i="44"/>
  <c r="F52" i="44"/>
  <c r="F51" i="44"/>
  <c r="F50" i="44"/>
  <c r="F49" i="44"/>
  <c r="F48" i="44"/>
  <c r="F47" i="44"/>
  <c r="F46" i="44"/>
  <c r="F45" i="44"/>
  <c r="F44" i="44"/>
  <c r="F43" i="44"/>
  <c r="F42" i="44"/>
  <c r="F41" i="44"/>
  <c r="F40" i="44"/>
  <c r="F39" i="44"/>
  <c r="F38" i="44"/>
  <c r="F37" i="44"/>
  <c r="F36" i="44"/>
  <c r="F35" i="44"/>
  <c r="F34" i="44"/>
  <c r="F33" i="44"/>
  <c r="F32" i="44"/>
  <c r="F31" i="44"/>
  <c r="F30" i="44"/>
  <c r="F29" i="44"/>
  <c r="F28" i="44"/>
  <c r="F27" i="44"/>
  <c r="F26" i="44"/>
  <c r="F25" i="44"/>
  <c r="F24" i="44"/>
  <c r="F23" i="44"/>
  <c r="F22" i="44"/>
  <c r="F21" i="44"/>
  <c r="F20" i="44"/>
  <c r="F19" i="44"/>
  <c r="F18" i="44"/>
  <c r="F17" i="44"/>
  <c r="F16" i="44"/>
  <c r="F15" i="44"/>
  <c r="F14" i="44"/>
  <c r="F13" i="44"/>
  <c r="F12" i="44"/>
  <c r="F11" i="44"/>
  <c r="F10" i="44"/>
  <c r="F9" i="44"/>
  <c r="F8" i="44"/>
  <c r="F7" i="44"/>
  <c r="D63" i="44"/>
  <c r="D62" i="44"/>
  <c r="D61" i="44"/>
  <c r="D60" i="44"/>
  <c r="D59" i="44"/>
  <c r="D58" i="44"/>
  <c r="D57" i="44"/>
  <c r="D56" i="44"/>
  <c r="D55" i="44"/>
  <c r="D54" i="44"/>
  <c r="D53" i="44"/>
  <c r="D52" i="44"/>
  <c r="D51" i="44"/>
  <c r="D50" i="44"/>
  <c r="D49" i="44"/>
  <c r="D48" i="44"/>
  <c r="D47" i="44"/>
  <c r="D46" i="44"/>
  <c r="D45" i="44"/>
  <c r="D44" i="44"/>
  <c r="D43" i="44"/>
  <c r="D42" i="44"/>
  <c r="D41" i="44"/>
  <c r="D40" i="44"/>
  <c r="D39" i="44"/>
  <c r="D38" i="44"/>
  <c r="D37" i="44"/>
  <c r="D36" i="44"/>
  <c r="D35" i="44"/>
  <c r="D34" i="44"/>
  <c r="D33" i="44"/>
  <c r="D32" i="44"/>
  <c r="D31" i="44"/>
  <c r="D30" i="44"/>
  <c r="D29" i="44"/>
  <c r="D28" i="44"/>
  <c r="D27" i="44"/>
  <c r="D26" i="44"/>
  <c r="D25" i="44"/>
  <c r="D24" i="44"/>
  <c r="D23" i="44"/>
  <c r="D22" i="44"/>
  <c r="D21" i="44"/>
  <c r="D20" i="44"/>
  <c r="D19" i="44"/>
  <c r="D18" i="44"/>
  <c r="D17" i="44"/>
  <c r="D16" i="44"/>
  <c r="D15" i="44"/>
  <c r="D14" i="44"/>
  <c r="D13" i="44"/>
  <c r="D12" i="44"/>
  <c r="D11" i="44"/>
  <c r="D10" i="44"/>
  <c r="D9" i="44"/>
  <c r="D8" i="44"/>
  <c r="D7" i="44"/>
  <c r="L6" i="44"/>
  <c r="J6" i="44"/>
  <c r="H6" i="44"/>
  <c r="F6" i="44"/>
  <c r="D6" i="44"/>
  <c r="L73" i="43"/>
  <c r="L72" i="43"/>
  <c r="L71" i="43"/>
  <c r="L70" i="43"/>
  <c r="L69" i="43"/>
  <c r="L68" i="43"/>
  <c r="L67" i="43"/>
  <c r="L66" i="43"/>
  <c r="L65" i="43"/>
  <c r="L64" i="43"/>
  <c r="L63" i="43"/>
  <c r="L62" i="43"/>
  <c r="L61" i="43"/>
  <c r="L60" i="43"/>
  <c r="L59" i="43"/>
  <c r="L58" i="43"/>
  <c r="L57" i="43"/>
  <c r="L56" i="43"/>
  <c r="L55" i="43"/>
  <c r="L54" i="43"/>
  <c r="L53" i="43"/>
  <c r="L52" i="43"/>
  <c r="L51" i="43"/>
  <c r="L50" i="43"/>
  <c r="L49" i="43"/>
  <c r="L48" i="43"/>
  <c r="L47" i="43"/>
  <c r="L46" i="43"/>
  <c r="L45" i="43"/>
  <c r="L44" i="43"/>
  <c r="L43" i="43"/>
  <c r="L42" i="43"/>
  <c r="L41" i="43"/>
  <c r="L40" i="43"/>
  <c r="L39" i="43"/>
  <c r="L38" i="43"/>
  <c r="L37" i="43"/>
  <c r="L36" i="43"/>
  <c r="L35" i="43"/>
  <c r="L34" i="43"/>
  <c r="L33" i="43"/>
  <c r="L32" i="43"/>
  <c r="L31" i="43"/>
  <c r="L30" i="43"/>
  <c r="L29" i="43"/>
  <c r="L28" i="43"/>
  <c r="L27" i="43"/>
  <c r="L26" i="43"/>
  <c r="L25" i="43"/>
  <c r="L24" i="43"/>
  <c r="L23" i="43"/>
  <c r="L22" i="43"/>
  <c r="L21" i="43"/>
  <c r="L20" i="43"/>
  <c r="L19" i="43"/>
  <c r="L18" i="43"/>
  <c r="L17" i="43"/>
  <c r="L16" i="43"/>
  <c r="L15" i="43"/>
  <c r="L14" i="43"/>
  <c r="L13" i="43"/>
  <c r="L12" i="43"/>
  <c r="L11" i="43"/>
  <c r="L10" i="43"/>
  <c r="L9" i="43"/>
  <c r="L8" i="43"/>
  <c r="L7" i="43"/>
  <c r="J73" i="43"/>
  <c r="J72" i="43"/>
  <c r="J71" i="43"/>
  <c r="J70" i="43"/>
  <c r="J69" i="43"/>
  <c r="J68" i="43"/>
  <c r="J67" i="43"/>
  <c r="J66" i="43"/>
  <c r="J65" i="43"/>
  <c r="J64" i="43"/>
  <c r="J63" i="43"/>
  <c r="J62" i="43"/>
  <c r="J61" i="43"/>
  <c r="J60" i="43"/>
  <c r="J59" i="43"/>
  <c r="J58" i="43"/>
  <c r="J57" i="43"/>
  <c r="J56" i="43"/>
  <c r="J55" i="43"/>
  <c r="J54" i="43"/>
  <c r="J53" i="43"/>
  <c r="J52" i="43"/>
  <c r="J5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7" i="43"/>
  <c r="J16" i="43"/>
  <c r="J15" i="43"/>
  <c r="J14" i="43"/>
  <c r="J13" i="43"/>
  <c r="J12" i="43"/>
  <c r="J11" i="43"/>
  <c r="J10" i="43"/>
  <c r="J9" i="43"/>
  <c r="J8" i="43"/>
  <c r="J7" i="43"/>
  <c r="H73" i="43"/>
  <c r="H72" i="43"/>
  <c r="H71" i="43"/>
  <c r="H70" i="43"/>
  <c r="H69" i="43"/>
  <c r="H68" i="43"/>
  <c r="H67" i="43"/>
  <c r="H66" i="43"/>
  <c r="H65" i="43"/>
  <c r="H64" i="43"/>
  <c r="H63" i="43"/>
  <c r="H62" i="43"/>
  <c r="H61" i="43"/>
  <c r="H60" i="43"/>
  <c r="H59" i="43"/>
  <c r="H58" i="43"/>
  <c r="H57" i="43"/>
  <c r="H56" i="43"/>
  <c r="H55" i="43"/>
  <c r="H54" i="43"/>
  <c r="H53" i="43"/>
  <c r="H52" i="43"/>
  <c r="H51" i="43"/>
  <c r="H50" i="43"/>
  <c r="H49" i="43"/>
  <c r="H48" i="43"/>
  <c r="H47" i="43"/>
  <c r="H46" i="43"/>
  <c r="H45" i="43"/>
  <c r="H44" i="43"/>
  <c r="H43" i="43"/>
  <c r="H42" i="43"/>
  <c r="H41" i="43"/>
  <c r="H40" i="43"/>
  <c r="H39" i="43"/>
  <c r="H38" i="43"/>
  <c r="H37" i="43"/>
  <c r="H36" i="43"/>
  <c r="H35" i="43"/>
  <c r="H34" i="43"/>
  <c r="H33" i="43"/>
  <c r="H32" i="43"/>
  <c r="H31" i="43"/>
  <c r="H30" i="43"/>
  <c r="H29" i="43"/>
  <c r="H28" i="43"/>
  <c r="H27" i="43"/>
  <c r="H26" i="43"/>
  <c r="H25" i="43"/>
  <c r="H24" i="43"/>
  <c r="H23" i="43"/>
  <c r="H22" i="43"/>
  <c r="H21" i="43"/>
  <c r="H20" i="43"/>
  <c r="H19" i="43"/>
  <c r="H18" i="43"/>
  <c r="H17" i="43"/>
  <c r="H16" i="43"/>
  <c r="H15" i="43"/>
  <c r="H14" i="43"/>
  <c r="H13" i="43"/>
  <c r="H12" i="43"/>
  <c r="H11" i="43"/>
  <c r="H10" i="43"/>
  <c r="H9" i="43"/>
  <c r="H8" i="43"/>
  <c r="H7"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7" i="43"/>
  <c r="F36" i="43"/>
  <c r="F35" i="43"/>
  <c r="F34" i="43"/>
  <c r="F33" i="43"/>
  <c r="F32" i="43"/>
  <c r="F31" i="43"/>
  <c r="F30" i="43"/>
  <c r="F29" i="43"/>
  <c r="F28" i="43"/>
  <c r="F27" i="43"/>
  <c r="F26" i="43"/>
  <c r="F25" i="43"/>
  <c r="F24" i="43"/>
  <c r="F23" i="43"/>
  <c r="F22" i="43"/>
  <c r="F21" i="43"/>
  <c r="F20" i="43"/>
  <c r="F19" i="43"/>
  <c r="F18" i="43"/>
  <c r="F17" i="43"/>
  <c r="F16" i="43"/>
  <c r="F15" i="43"/>
  <c r="F14" i="43"/>
  <c r="F13" i="43"/>
  <c r="F12" i="43"/>
  <c r="F11" i="43"/>
  <c r="F10" i="43"/>
  <c r="F9" i="43"/>
  <c r="F8" i="43"/>
  <c r="F7" i="43"/>
  <c r="D73" i="43"/>
  <c r="D72" i="43"/>
  <c r="D71" i="43"/>
  <c r="D70" i="43"/>
  <c r="D69" i="43"/>
  <c r="D68" i="43"/>
  <c r="D67" i="43"/>
  <c r="D66" i="43"/>
  <c r="D65" i="43"/>
  <c r="D64" i="43"/>
  <c r="D63" i="43"/>
  <c r="D62" i="43"/>
  <c r="D61" i="43"/>
  <c r="D60" i="43"/>
  <c r="D59" i="43"/>
  <c r="D58" i="43"/>
  <c r="D57" i="43"/>
  <c r="D56" i="43"/>
  <c r="D55" i="43"/>
  <c r="D54" i="43"/>
  <c r="D53" i="43"/>
  <c r="D52" i="43"/>
  <c r="D51" i="43"/>
  <c r="D50" i="43"/>
  <c r="D49" i="43"/>
  <c r="D48" i="43"/>
  <c r="D47" i="43"/>
  <c r="D46" i="43"/>
  <c r="D45" i="43"/>
  <c r="D44" i="43"/>
  <c r="D43" i="43"/>
  <c r="D42" i="43"/>
  <c r="D41" i="43"/>
  <c r="D40" i="43"/>
  <c r="D39" i="43"/>
  <c r="D38" i="43"/>
  <c r="D37" i="43"/>
  <c r="D36" i="43"/>
  <c r="D35" i="43"/>
  <c r="D34" i="43"/>
  <c r="D33" i="43"/>
  <c r="D32" i="43"/>
  <c r="D31" i="43"/>
  <c r="D30" i="43"/>
  <c r="D29" i="43"/>
  <c r="D28" i="43"/>
  <c r="D27" i="43"/>
  <c r="D26" i="43"/>
  <c r="D25" i="43"/>
  <c r="D24" i="43"/>
  <c r="D23" i="43"/>
  <c r="D22" i="43"/>
  <c r="D21" i="43"/>
  <c r="D20" i="43"/>
  <c r="D19" i="43"/>
  <c r="D18" i="43"/>
  <c r="D17" i="43"/>
  <c r="D16" i="43"/>
  <c r="D15" i="43"/>
  <c r="D14" i="43"/>
  <c r="D13" i="43"/>
  <c r="D12" i="43"/>
  <c r="D11" i="43"/>
  <c r="D10" i="43"/>
  <c r="D9" i="43"/>
  <c r="D8" i="43"/>
  <c r="D7" i="43"/>
  <c r="L6" i="43"/>
  <c r="J6" i="43"/>
  <c r="H6" i="43"/>
  <c r="F6" i="43"/>
  <c r="D6" i="43"/>
  <c r="L78" i="10"/>
  <c r="L77" i="10"/>
  <c r="L76" i="10"/>
  <c r="L75" i="10"/>
  <c r="L74" i="10"/>
  <c r="L73" i="10"/>
  <c r="L72" i="10"/>
  <c r="L71" i="10"/>
  <c r="L70" i="10"/>
  <c r="L69" i="10"/>
  <c r="L68" i="10"/>
  <c r="L67" i="10"/>
  <c r="L66" i="10"/>
  <c r="L65" i="10"/>
  <c r="L64" i="10"/>
  <c r="L63" i="10"/>
  <c r="L62" i="10"/>
  <c r="L61" i="10"/>
  <c r="L60" i="10"/>
  <c r="L59" i="10"/>
  <c r="L58" i="10"/>
  <c r="L57" i="10"/>
  <c r="L56" i="10"/>
  <c r="L55" i="10"/>
  <c r="L54" i="10"/>
  <c r="L53" i="10"/>
  <c r="L52" i="10"/>
  <c r="L51" i="10"/>
  <c r="L50" i="10"/>
  <c r="L49" i="10"/>
  <c r="L48" i="10"/>
  <c r="L47" i="10"/>
  <c r="L46" i="10"/>
  <c r="L45" i="10"/>
  <c r="L44" i="10"/>
  <c r="L43" i="10"/>
  <c r="L42" i="10"/>
  <c r="L41" i="10"/>
  <c r="L40" i="10"/>
  <c r="L39" i="10"/>
  <c r="L38" i="10"/>
  <c r="L37"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L7" i="10"/>
  <c r="L6"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1" i="10"/>
  <c r="J10" i="10"/>
  <c r="J9" i="10"/>
  <c r="J8" i="10"/>
  <c r="J7" i="10"/>
  <c r="J6"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D7" i="10"/>
  <c r="D6"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H78" i="10"/>
  <c r="H77" i="10"/>
  <c r="H76" i="10"/>
  <c r="H75" i="10"/>
  <c r="H74" i="10"/>
  <c r="H73" i="10"/>
  <c r="H72" i="10"/>
  <c r="H71" i="10"/>
  <c r="H70" i="10"/>
  <c r="H69" i="10"/>
  <c r="H68" i="10"/>
  <c r="H67" i="10"/>
  <c r="H66" i="10"/>
  <c r="H65" i="10"/>
  <c r="H64" i="10"/>
  <c r="H63" i="10"/>
  <c r="H62" i="10"/>
  <c r="H61" i="10"/>
  <c r="H60" i="10"/>
  <c r="H59" i="10"/>
  <c r="H58" i="10"/>
  <c r="H57" i="10"/>
  <c r="H56" i="10"/>
  <c r="H55" i="10"/>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I60" i="43" l="1"/>
  <c r="I38" i="43"/>
  <c r="I37" i="43" s="1"/>
  <c r="I30" i="43"/>
  <c r="I19" i="43"/>
  <c r="I12" i="43"/>
  <c r="I7" i="43"/>
  <c r="I6" i="43" s="1"/>
  <c r="I59" i="43" l="1"/>
  <c r="I55" i="43"/>
  <c r="I57" i="43" s="1"/>
  <c r="I66" i="43" l="1"/>
  <c r="I73" i="43" s="1"/>
  <c r="I67" i="43" s="1"/>
  <c r="I58" i="43"/>
  <c r="C12" i="43" l="1"/>
  <c r="E12" i="43" l="1"/>
  <c r="E30" i="43" l="1"/>
  <c r="E7" i="43"/>
  <c r="E19" i="43"/>
  <c r="C2" i="43" l="1"/>
  <c r="C20" i="10" l="1"/>
  <c r="K24" i="43" l="1"/>
  <c r="I67" i="10" l="1"/>
  <c r="I55" i="44" l="1"/>
  <c r="E55" i="44"/>
  <c r="C55" i="44"/>
  <c r="K65" i="43"/>
  <c r="G65" i="43"/>
  <c r="K71" i="10"/>
  <c r="G71" i="10"/>
  <c r="G55" i="44" l="1"/>
  <c r="K55" i="44"/>
  <c r="K71" i="43"/>
  <c r="G71" i="43"/>
  <c r="I61" i="44"/>
  <c r="E61" i="44"/>
  <c r="C61" i="44"/>
  <c r="I2" i="43"/>
  <c r="E2" i="43"/>
  <c r="K61" i="44" l="1"/>
  <c r="G61" i="44"/>
  <c r="K77" i="10" l="1"/>
  <c r="G77" i="10"/>
  <c r="E67" i="10" l="1"/>
  <c r="C67" i="10" l="1"/>
  <c r="I43" i="44" l="1"/>
  <c r="C38" i="43" l="1"/>
  <c r="C37" i="43" s="1"/>
  <c r="E38" i="43"/>
  <c r="E37" i="43" s="1"/>
  <c r="I53" i="44" l="1"/>
  <c r="E60" i="43" l="1"/>
  <c r="C60" i="43"/>
  <c r="C51" i="44"/>
  <c r="E43" i="44"/>
  <c r="C43" i="44"/>
  <c r="K68" i="10" l="1"/>
  <c r="K69" i="10"/>
  <c r="C8" i="44" l="1"/>
  <c r="I54" i="44" l="1"/>
  <c r="E54" i="44"/>
  <c r="C54" i="44"/>
  <c r="C7" i="10" l="1"/>
  <c r="C15" i="10"/>
  <c r="E2" i="44" l="1"/>
  <c r="C2" i="44"/>
  <c r="F17" i="46" l="1"/>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E62" i="44"/>
  <c r="C62" i="44"/>
  <c r="I60" i="44"/>
  <c r="E60" i="44"/>
  <c r="C60" i="44"/>
  <c r="I59" i="44"/>
  <c r="I58" i="44"/>
  <c r="E59" i="44"/>
  <c r="E58" i="44"/>
  <c r="C59" i="44"/>
  <c r="C58" i="44"/>
  <c r="I52" i="44"/>
  <c r="I51" i="44"/>
  <c r="E52" i="44"/>
  <c r="E51" i="44"/>
  <c r="C52" i="44"/>
  <c r="I46" i="44"/>
  <c r="E46" i="44"/>
  <c r="C46" i="44"/>
  <c r="I44" i="44"/>
  <c r="E44" i="44"/>
  <c r="C44" i="44"/>
  <c r="I42" i="44"/>
  <c r="E42" i="44"/>
  <c r="C42" i="44"/>
  <c r="I41" i="44"/>
  <c r="E41" i="44"/>
  <c r="C41" i="44"/>
  <c r="I40" i="44"/>
  <c r="E40" i="44"/>
  <c r="C40" i="44"/>
  <c r="I39" i="44"/>
  <c r="E39" i="44"/>
  <c r="C39" i="44"/>
  <c r="I37" i="44"/>
  <c r="I36" i="44"/>
  <c r="I35" i="44"/>
  <c r="I34" i="44"/>
  <c r="I33" i="44"/>
  <c r="I32" i="44"/>
  <c r="I31" i="44"/>
  <c r="I30" i="44"/>
  <c r="I29" i="44"/>
  <c r="E37" i="44"/>
  <c r="E36" i="44"/>
  <c r="E35" i="44"/>
  <c r="E34" i="44"/>
  <c r="E33" i="44"/>
  <c r="E32" i="44"/>
  <c r="E31" i="44"/>
  <c r="E30" i="44"/>
  <c r="E29" i="44"/>
  <c r="C30" i="44"/>
  <c r="C31" i="44"/>
  <c r="C32" i="44"/>
  <c r="C33" i="44"/>
  <c r="C34" i="44"/>
  <c r="C35" i="44"/>
  <c r="C36" i="44"/>
  <c r="C37" i="44"/>
  <c r="C29" i="44"/>
  <c r="I26" i="44"/>
  <c r="E26" i="44"/>
  <c r="C26" i="44"/>
  <c r="I25" i="44"/>
  <c r="E25" i="44"/>
  <c r="C25" i="44"/>
  <c r="I21" i="44"/>
  <c r="I20" i="44"/>
  <c r="I19" i="44"/>
  <c r="I18" i="44"/>
  <c r="E21" i="44"/>
  <c r="E20" i="44"/>
  <c r="E19" i="44"/>
  <c r="E18" i="44"/>
  <c r="C19" i="44"/>
  <c r="C20" i="44"/>
  <c r="C21" i="44"/>
  <c r="C18" i="44"/>
  <c r="I16" i="44"/>
  <c r="E16" i="44"/>
  <c r="C16" i="44"/>
  <c r="I15" i="44"/>
  <c r="E15" i="44"/>
  <c r="C15" i="44"/>
  <c r="I14" i="44"/>
  <c r="E14" i="44"/>
  <c r="C14" i="44"/>
  <c r="I13" i="44"/>
  <c r="E13" i="44"/>
  <c r="C13" i="44"/>
  <c r="I12" i="44"/>
  <c r="E12" i="44"/>
  <c r="C12" i="44"/>
  <c r="I11" i="44"/>
  <c r="E11" i="44"/>
  <c r="C11" i="44"/>
  <c r="I10" i="44"/>
  <c r="E10" i="44"/>
  <c r="C10" i="44"/>
  <c r="I9" i="44"/>
  <c r="E9" i="44"/>
  <c r="C9" i="44"/>
  <c r="I8" i="44"/>
  <c r="E8" i="44"/>
  <c r="K54" i="44"/>
  <c r="G54" i="44"/>
  <c r="G20" i="44" l="1"/>
  <c r="G14" i="44"/>
  <c r="K35" i="44"/>
  <c r="G39" i="44"/>
  <c r="G10" i="44"/>
  <c r="K60" i="44"/>
  <c r="K32" i="44"/>
  <c r="G51" i="44"/>
  <c r="K15" i="44"/>
  <c r="K43" i="44"/>
  <c r="K31" i="44"/>
  <c r="K20" i="44"/>
  <c r="G13" i="44"/>
  <c r="K13" i="44"/>
  <c r="K51" i="44"/>
  <c r="K26" i="44"/>
  <c r="K62" i="44"/>
  <c r="K21" i="44"/>
  <c r="G60" i="44"/>
  <c r="G9" i="44"/>
  <c r="G12" i="44"/>
  <c r="G8" i="44"/>
  <c r="G36" i="44"/>
  <c r="G62" i="44"/>
  <c r="K9" i="44"/>
  <c r="G32" i="44"/>
  <c r="K29" i="44"/>
  <c r="G31" i="44"/>
  <c r="K59" i="44"/>
  <c r="K10" i="44"/>
  <c r="K36" i="44"/>
  <c r="G35" i="44"/>
  <c r="K33" i="44"/>
  <c r="K37" i="44"/>
  <c r="G44" i="44"/>
  <c r="K44" i="44"/>
  <c r="K39" i="44"/>
  <c r="I17" i="44"/>
  <c r="K14" i="44"/>
  <c r="K8" i="44"/>
  <c r="K12" i="44"/>
  <c r="K16" i="44"/>
  <c r="K11" i="44"/>
  <c r="E50" i="44"/>
  <c r="G21" i="44"/>
  <c r="K58" i="44"/>
  <c r="G59" i="44"/>
  <c r="K46" i="44"/>
  <c r="K34" i="44"/>
  <c r="G29" i="44"/>
  <c r="K30" i="44"/>
  <c r="G11" i="44"/>
  <c r="C7" i="44"/>
  <c r="G58" i="44"/>
  <c r="K53" i="44"/>
  <c r="G53" i="44"/>
  <c r="C50" i="44"/>
  <c r="I50" i="44"/>
  <c r="K52" i="44"/>
  <c r="G52" i="44"/>
  <c r="G46" i="44"/>
  <c r="G43" i="44"/>
  <c r="G42" i="44"/>
  <c r="K42" i="44"/>
  <c r="K41" i="44"/>
  <c r="G41" i="44"/>
  <c r="K40" i="44"/>
  <c r="G40" i="44"/>
  <c r="I28" i="44"/>
  <c r="E28" i="44"/>
  <c r="G30" i="44"/>
  <c r="G34" i="44"/>
  <c r="G33" i="44"/>
  <c r="G37" i="44"/>
  <c r="C28" i="44"/>
  <c r="G26" i="44"/>
  <c r="K25" i="44"/>
  <c r="G25" i="44"/>
  <c r="E17" i="44"/>
  <c r="G19" i="44"/>
  <c r="K19" i="44"/>
  <c r="C17" i="44"/>
  <c r="K18" i="44"/>
  <c r="G18" i="44"/>
  <c r="I7" i="44"/>
  <c r="G16" i="44"/>
  <c r="G15" i="44"/>
  <c r="E7" i="44"/>
  <c r="K50" i="44" l="1"/>
  <c r="G50" i="44"/>
  <c r="K28" i="44"/>
  <c r="G28" i="44"/>
  <c r="G17" i="44"/>
  <c r="K17" i="44"/>
  <c r="K7" i="44"/>
  <c r="G7" i="44"/>
  <c r="K72" i="43" l="1"/>
  <c r="G72" i="43"/>
  <c r="K25" i="43"/>
  <c r="K26" i="43"/>
  <c r="K27" i="43"/>
  <c r="G25" i="43"/>
  <c r="G26" i="43"/>
  <c r="G27" i="43"/>
  <c r="K16" i="43"/>
  <c r="K17" i="43"/>
  <c r="G16" i="43"/>
  <c r="G17" i="43"/>
  <c r="K9" i="43"/>
  <c r="G9" i="43"/>
  <c r="K70" i="43"/>
  <c r="G70" i="43"/>
  <c r="K69" i="43"/>
  <c r="G69" i="43"/>
  <c r="K68" i="43"/>
  <c r="G68" i="43"/>
  <c r="K64" i="43"/>
  <c r="G64" i="43"/>
  <c r="K62" i="43"/>
  <c r="G62" i="43"/>
  <c r="K61" i="43"/>
  <c r="G61" i="43"/>
  <c r="K56" i="43"/>
  <c r="G56" i="43"/>
  <c r="K54" i="43"/>
  <c r="G54" i="43"/>
  <c r="K53" i="43"/>
  <c r="G53" i="43"/>
  <c r="K52" i="43"/>
  <c r="G52" i="43"/>
  <c r="K51" i="43"/>
  <c r="G51" i="43"/>
  <c r="K50" i="43"/>
  <c r="G50" i="43"/>
  <c r="K49" i="43"/>
  <c r="G49" i="43"/>
  <c r="K47" i="43"/>
  <c r="G47" i="43"/>
  <c r="K46" i="43"/>
  <c r="G46" i="43"/>
  <c r="K45" i="43"/>
  <c r="G45" i="43"/>
  <c r="K44" i="43"/>
  <c r="G44" i="43"/>
  <c r="K43" i="43"/>
  <c r="G43" i="43"/>
  <c r="K42" i="43"/>
  <c r="G42" i="43"/>
  <c r="K41" i="43"/>
  <c r="G41" i="43"/>
  <c r="K40" i="43"/>
  <c r="G40" i="43"/>
  <c r="K39" i="43"/>
  <c r="G39" i="43"/>
  <c r="K36" i="43"/>
  <c r="G36" i="43"/>
  <c r="K35" i="43"/>
  <c r="G35" i="43"/>
  <c r="K34" i="43"/>
  <c r="G34" i="43"/>
  <c r="K33" i="43"/>
  <c r="G33" i="43"/>
  <c r="K32" i="43"/>
  <c r="G32" i="43"/>
  <c r="K31" i="43"/>
  <c r="G31" i="43"/>
  <c r="C30" i="43"/>
  <c r="K29" i="43"/>
  <c r="G29" i="43"/>
  <c r="K28" i="43"/>
  <c r="G28" i="43"/>
  <c r="K23" i="43"/>
  <c r="G23" i="43"/>
  <c r="K22" i="43"/>
  <c r="G22" i="43"/>
  <c r="K21" i="43"/>
  <c r="G21" i="43"/>
  <c r="K20" i="43"/>
  <c r="G20" i="43"/>
  <c r="C19" i="43"/>
  <c r="K18" i="43"/>
  <c r="G18" i="43"/>
  <c r="K15" i="43"/>
  <c r="G15" i="43"/>
  <c r="K14" i="43"/>
  <c r="G14" i="43"/>
  <c r="K13" i="43"/>
  <c r="G13" i="43"/>
  <c r="K11" i="43"/>
  <c r="G11" i="43"/>
  <c r="K10" i="43"/>
  <c r="G10" i="43"/>
  <c r="K8" i="43"/>
  <c r="G8" i="43"/>
  <c r="C7" i="43"/>
  <c r="K7" i="43" l="1"/>
  <c r="C6" i="43"/>
  <c r="C55" i="43" s="1"/>
  <c r="E6" i="43"/>
  <c r="F14" i="46"/>
  <c r="K30" i="43"/>
  <c r="K38" i="43"/>
  <c r="K19" i="43"/>
  <c r="K48" i="43"/>
  <c r="G30" i="43"/>
  <c r="K12" i="43"/>
  <c r="G19" i="43"/>
  <c r="G48" i="43"/>
  <c r="G7" i="43"/>
  <c r="G60" i="43"/>
  <c r="K60" i="43"/>
  <c r="G12" i="43"/>
  <c r="G38" i="43"/>
  <c r="K74" i="10"/>
  <c r="K75" i="10"/>
  <c r="K76" i="10"/>
  <c r="G74" i="10"/>
  <c r="G75" i="10"/>
  <c r="G76" i="10"/>
  <c r="E59" i="43" l="1"/>
  <c r="F10" i="46"/>
  <c r="C59" i="43"/>
  <c r="G6" i="43"/>
  <c r="G10" i="46"/>
  <c r="K6" i="43"/>
  <c r="G37" i="43"/>
  <c r="E55" i="43"/>
  <c r="K37" i="43"/>
  <c r="K70" i="10"/>
  <c r="G68" i="10"/>
  <c r="G69" i="10"/>
  <c r="G70" i="10"/>
  <c r="K63" i="10"/>
  <c r="G63" i="10"/>
  <c r="K41" i="10"/>
  <c r="K42" i="10"/>
  <c r="K43" i="10"/>
  <c r="K44" i="10"/>
  <c r="K45" i="10"/>
  <c r="K46" i="10"/>
  <c r="K47" i="10"/>
  <c r="K48" i="10"/>
  <c r="K49" i="10"/>
  <c r="K51" i="10"/>
  <c r="K52" i="10"/>
  <c r="K53" i="10"/>
  <c r="K54" i="10"/>
  <c r="K55" i="10"/>
  <c r="K56" i="10"/>
  <c r="K57" i="10"/>
  <c r="K58" i="10"/>
  <c r="K59" i="10"/>
  <c r="K60" i="10"/>
  <c r="K61" i="10"/>
  <c r="I50" i="10"/>
  <c r="I40" i="10"/>
  <c r="G41" i="10"/>
  <c r="G42" i="10"/>
  <c r="G43" i="10"/>
  <c r="G44" i="10"/>
  <c r="G45" i="10"/>
  <c r="G46" i="10"/>
  <c r="G47" i="10"/>
  <c r="G48" i="10"/>
  <c r="G49" i="10"/>
  <c r="G51" i="10"/>
  <c r="G52" i="10"/>
  <c r="G53" i="10"/>
  <c r="G54" i="10"/>
  <c r="G55" i="10"/>
  <c r="G56" i="10"/>
  <c r="G57" i="10"/>
  <c r="G58" i="10"/>
  <c r="G59" i="10"/>
  <c r="G60" i="10"/>
  <c r="G61" i="10"/>
  <c r="E50" i="10"/>
  <c r="E40" i="10"/>
  <c r="C50" i="10"/>
  <c r="C38" i="44" s="1"/>
  <c r="C40"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I32" i="10"/>
  <c r="I25" i="10"/>
  <c r="I20" i="10"/>
  <c r="I15" i="10"/>
  <c r="I7"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E32" i="10"/>
  <c r="E25" i="10"/>
  <c r="E20" i="10"/>
  <c r="E15" i="10"/>
  <c r="E7" i="10"/>
  <c r="C32" i="10"/>
  <c r="C24" i="44" s="1"/>
  <c r="C25" i="10"/>
  <c r="F18" i="46" l="1"/>
  <c r="G14" i="46"/>
  <c r="C39" i="10"/>
  <c r="C22" i="44"/>
  <c r="C6" i="10"/>
  <c r="E6" i="10"/>
  <c r="I38" i="44"/>
  <c r="I24" i="44"/>
  <c r="I23" i="44"/>
  <c r="I22" i="44"/>
  <c r="E39" i="10"/>
  <c r="E38" i="44"/>
  <c r="E24" i="44"/>
  <c r="E23" i="44"/>
  <c r="E22" i="44"/>
  <c r="C27" i="44"/>
  <c r="C23" i="44"/>
  <c r="E57" i="43"/>
  <c r="K59" i="43"/>
  <c r="G59" i="43"/>
  <c r="K55" i="43"/>
  <c r="G55" i="43"/>
  <c r="C57" i="43"/>
  <c r="C66" i="43" s="1"/>
  <c r="C73" i="43" s="1"/>
  <c r="C67" i="43" s="1"/>
  <c r="G18" i="46"/>
  <c r="K40" i="10"/>
  <c r="K50" i="10"/>
  <c r="G40" i="10"/>
  <c r="G67" i="10"/>
  <c r="K67" i="10"/>
  <c r="G50" i="10"/>
  <c r="I39" i="10"/>
  <c r="K20" i="10"/>
  <c r="G25" i="10"/>
  <c r="G20" i="10"/>
  <c r="I6" i="10"/>
  <c r="K25" i="10"/>
  <c r="G32" i="10"/>
  <c r="G15" i="10"/>
  <c r="G7" i="10"/>
  <c r="K32" i="10"/>
  <c r="K15" i="10"/>
  <c r="K7" i="10"/>
  <c r="E66" i="43" l="1"/>
  <c r="C66" i="10"/>
  <c r="I66" i="10"/>
  <c r="E66" i="10"/>
  <c r="C6" i="44"/>
  <c r="C10" i="46"/>
  <c r="C62" i="10"/>
  <c r="K24" i="44"/>
  <c r="I27" i="44"/>
  <c r="K38" i="44"/>
  <c r="I6" i="44"/>
  <c r="K22" i="44"/>
  <c r="E27" i="44"/>
  <c r="G38" i="44"/>
  <c r="G24" i="44"/>
  <c r="E6" i="44"/>
  <c r="G22" i="44"/>
  <c r="C14" i="46"/>
  <c r="I14" i="46"/>
  <c r="J14" i="46"/>
  <c r="K23" i="44"/>
  <c r="G23" i="44"/>
  <c r="C58" i="43"/>
  <c r="K57" i="43"/>
  <c r="G57" i="43"/>
  <c r="E58" i="43"/>
  <c r="E62" i="10"/>
  <c r="K39" i="10"/>
  <c r="D14" i="46"/>
  <c r="G39" i="10"/>
  <c r="I62" i="10"/>
  <c r="K6" i="10"/>
  <c r="D10" i="46"/>
  <c r="G6" i="10"/>
  <c r="E73" i="43" l="1"/>
  <c r="C64" i="10"/>
  <c r="C72" i="10" s="1"/>
  <c r="C78" i="10" s="1"/>
  <c r="J10" i="46"/>
  <c r="E49" i="44"/>
  <c r="K66" i="10"/>
  <c r="I49" i="44"/>
  <c r="G66" i="10"/>
  <c r="G6" i="44"/>
  <c r="C49" i="44"/>
  <c r="I10" i="46"/>
  <c r="C45" i="44"/>
  <c r="K6" i="44"/>
  <c r="G27" i="44"/>
  <c r="C18" i="46"/>
  <c r="K27" i="44"/>
  <c r="I45" i="44"/>
  <c r="E45" i="44"/>
  <c r="K66" i="43"/>
  <c r="G66" i="43"/>
  <c r="K58" i="43"/>
  <c r="G58" i="43"/>
  <c r="E64" i="10"/>
  <c r="E72" i="10" s="1"/>
  <c r="D18" i="46"/>
  <c r="K62" i="10"/>
  <c r="G62" i="10"/>
  <c r="I64" i="10"/>
  <c r="E67" i="43" l="1"/>
  <c r="E78" i="10"/>
  <c r="E73" i="10" s="1"/>
  <c r="I72" i="10"/>
  <c r="C73" i="10"/>
  <c r="C65" i="10"/>
  <c r="J18" i="46"/>
  <c r="G45" i="44"/>
  <c r="I18" i="46"/>
  <c r="C47" i="44"/>
  <c r="K45" i="44"/>
  <c r="K49" i="44"/>
  <c r="I47" i="44"/>
  <c r="I56" i="44" s="1"/>
  <c r="G49" i="44"/>
  <c r="E47" i="44"/>
  <c r="E56" i="44" s="1"/>
  <c r="E63" i="44" s="1"/>
  <c r="I65" i="10"/>
  <c r="G64" i="10"/>
  <c r="K64" i="10"/>
  <c r="E65" i="10"/>
  <c r="I78" i="10" l="1"/>
  <c r="I73" i="10" s="1"/>
  <c r="I63" i="44"/>
  <c r="I57" i="44" s="1"/>
  <c r="C48" i="44"/>
  <c r="C56" i="44"/>
  <c r="C63" i="44" s="1"/>
  <c r="C57" i="44" s="1"/>
  <c r="K72" i="10"/>
  <c r="K47" i="44"/>
  <c r="I48" i="44"/>
  <c r="G47" i="44"/>
  <c r="E48" i="44"/>
  <c r="K65" i="10"/>
  <c r="G65" i="10"/>
  <c r="K78" i="10" l="1"/>
  <c r="G48" i="44"/>
  <c r="G56" i="44"/>
  <c r="E57" i="44"/>
  <c r="K56" i="44"/>
  <c r="K48" i="44"/>
  <c r="K73" i="10"/>
  <c r="K63" i="44" l="1"/>
  <c r="G63" i="44"/>
  <c r="K57" i="44" l="1"/>
  <c r="G57" i="44"/>
  <c r="K73" i="43"/>
  <c r="K67" i="43"/>
  <c r="G73" i="43"/>
  <c r="G67" i="43" l="1"/>
  <c r="G72" i="10"/>
  <c r="G73" i="10" l="1"/>
  <c r="G78" i="10"/>
</calcChain>
</file>

<file path=xl/sharedStrings.xml><?xml version="1.0" encoding="utf-8"?>
<sst xmlns="http://schemas.openxmlformats.org/spreadsheetml/2006/main" count="473" uniqueCount="198">
  <si>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</si>
  <si>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</si>
  <si>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</si>
  <si>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</si>
  <si>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</si>
  <si>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</si>
  <si>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</si>
  <si>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</si>
  <si>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</si>
  <si>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</si>
  <si>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</si>
  <si>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</si>
  <si>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</si>
  <si>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</si>
  <si>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</si>
  <si>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</si>
  <si>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</si>
  <si>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</si>
  <si>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</si>
  <si>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</si>
  <si>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</si>
  <si>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</si>
  <si>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</si>
  <si>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</si>
  <si>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</si>
  <si>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</si>
  <si>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</si>
  <si>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</si>
  <si>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</si>
  <si>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</si>
  <si>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</si>
  <si>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</si>
  <si>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</si>
  <si>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</si>
  <si>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</si>
  <si>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</si>
  <si>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</si>
  <si>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</si>
  <si>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</si>
  <si>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</si>
  <si>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</si>
  <si>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</si>
  <si>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</si>
  <si>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</si>
  <si>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</si>
  <si>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</si>
  <si>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</si>
  <si>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</si>
  <si>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</si>
  <si>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</si>
  <si>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</si>
  <si>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</si>
  <si>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</si>
  <si>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</si>
  <si>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</si>
  <si>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</si>
  <si>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</si>
  <si>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</si>
  <si>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</si>
  <si>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</si>
  <si>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</si>
  <si>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</si>
  <si>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</si>
  <si>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</si>
  <si>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</si>
  <si>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</si>
  <si>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</si>
  <si>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</si>
  <si>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</si>
  <si>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</si>
  <si>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</si>
  <si>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</si>
  <si>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</si>
  <si>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</si>
  <si>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</si>
  <si>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</si>
  <si>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</si>
  <si>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</si>
  <si>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</si>
  <si>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</si>
  <si>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</si>
  <si>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</si>
  <si>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</si>
  <si>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</si>
  <si>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</si>
  <si>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</si>
  <si>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</si>
  <si>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</si>
  <si>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</si>
  <si>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</si>
  <si>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</si>
  <si>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</si>
  <si>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</si>
  <si>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</si>
  <si>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</si>
  <si>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</si>
  <si>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</si>
  <si>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</si>
  <si>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</si>
  <si>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</si>
  <si>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</si>
  <si>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</si>
  <si>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</si>
  <si>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</si>
  <si>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</si>
  <si>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</si>
  <si>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</si>
  <si>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</si>
  <si>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</si>
  <si>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</si>
  <si>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</si>
  <si>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</si>
  <si>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</si>
  <si>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</si>
  <si>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</si>
  <si>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</si>
  <si>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</si>
  <si>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</si>
  <si>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</si>
  <si>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</si>
  <si>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</si>
  <si>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</si>
  <si>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</si>
  <si>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</si>
  <si>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</si>
  <si>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</si>
  <si>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</si>
  <si>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</si>
  <si>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</si>
  <si>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</si>
  <si>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</si>
  <si>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</si>
  <si>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</si>
  <si>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</si>
  <si>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</si>
  <si>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</si>
  <si>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</si>
  <si>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</si>
  <si>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</si>
  <si>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</si>
  <si>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</si>
  <si>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</si>
  <si>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</si>
  <si>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</si>
  <si>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</si>
  <si>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</si>
  <si>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</si>
  <si>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</si>
  <si>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</si>
  <si>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</si>
  <si>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</si>
  <si>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</si>
  <si>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</si>
  <si>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</si>
  <si>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</si>
  <si>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</si>
  <si>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</si>
  <si>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</si>
  <si>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</si>
  <si>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</si>
  <si>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</si>
  <si>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</si>
  <si>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</si>
  <si>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</si>
  <si>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</si>
  <si>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</si>
  <si>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</si>
  <si>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</si>
  <si>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</si>
  <si>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</si>
  <si>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</si>
  <si>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</si>
  <si>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</si>
  <si>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</si>
  <si>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</si>
  <si>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</si>
  <si>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</si>
  <si>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</si>
  <si>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</si>
  <si>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</si>
  <si>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</si>
  <si>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</si>
  <si>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</si>
  <si>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</si>
  <si>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</si>
  <si>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</si>
  <si>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</si>
  <si>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</si>
  <si>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</si>
  <si>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71175</t>
  </si>
  <si>
    <t>Prirez porezu na dohodak fizičkih lica</t>
  </si>
  <si>
    <t>Q 2 2024</t>
  </si>
  <si>
    <t>Plan Q 2 2024</t>
  </si>
  <si>
    <t>Q 2 2023</t>
  </si>
  <si>
    <t>Q2 2024</t>
  </si>
  <si>
    <t>Plan Q2 2024</t>
  </si>
  <si>
    <t>Q2  2023</t>
  </si>
  <si>
    <t>Q 2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</si>
</sst>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 _€_-;\-* #,##0.00\ _€_-;_-* &quot;-&quot;??\ _€_-;_-@_-"/>
    <numFmt numFmtId="165" formatCode="0.0,,"/>
    <numFmt numFmtId="166" formatCode="#,##0.0"/>
    <numFmt numFmtId="167" formatCode="&quot;   &quot;@"/>
    <numFmt numFmtId="168" formatCode="&quot;      &quot;@"/>
    <numFmt numFmtId="169" formatCode="&quot;         &quot;@"/>
    <numFmt numFmtId="170" formatCode="&quot;            &quot;@"/>
    <numFmt numFmtId="171" formatCode="[&gt;0.05]#,##0.0;[&lt;-0.05]\-#,##0.0;\-\-&quot; &quot;;"/>
    <numFmt numFmtId="172" formatCode="[&gt;0.5]#,##0;[&lt;-0.5]\-#,##0;\-\-&quot; &quot;;"/>
    <numFmt numFmtId="173" formatCode="[Black]#,##0.0;[Black]\-#,##0.0;;"/>
    <numFmt numFmtId="174" formatCode="#,##0.0,,"/>
    <numFmt numFmtId="175" formatCode="0.0"/>
    <numFmt numFmtId="176" formatCode="_-* #,##0.00\ &quot;RSD&quot;_-;\-* #,##0.00\ &quot;RSD&quot;_-;_-* &quot;-&quot;??\ &quot;RSD&quot;_-;_-@_-"/>
    <numFmt numFmtId="177" formatCode="[$-409]General"/>
    <numFmt numFmtId="178" formatCode="0.00,,"/>
    <numFmt numFmtId="179" formatCode="0.000000000000000000"/>
    <numFmt numFmtId="180" formatCode="_-* #,##0.00\ _D_i_n_._-;\-* #,##0.00\ _D_i_n_._-;_-* &quot;-&quot;??\ _D_i_n_._-;_-@_-"/>
  </numFmts>
  <fonts count="69">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
      <sz val="12"/>
      <name val="Arial"/>
      <family val="2"/>
      <charset val="238"/>
    </font>
    <font>
      <sz val="11"/>
      <color rgb="FF9C000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0"/>
      <color indexed="8"/>
      <name val="Arial"/>
      <family val="2"/>
    </font>
    <font>
      <b/>
      <sz val="11"/>
      <color indexed="8"/>
      <name val="Calibri"/>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s>
  <fills count="6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0" fontId="6" fillId="0" borderId="0" applyProtection="0"/>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2" fontId="6" fillId="0" borderId="0" applyProtection="0"/>
    <xf numFmtId="0" fontId="6" fillId="0" borderId="0" applyNumberFormat="0" applyFont="0" applyFill="0" applyBorder="0" applyAlignment="0" applyProtection="0"/>
    <xf numFmtId="0" fontId="9" fillId="0" borderId="0" applyProtection="0"/>
    <xf numFmtId="171" fontId="5" fillId="0" borderId="0" applyFont="0" applyFill="0" applyBorder="0" applyAlignment="0" applyProtection="0"/>
    <xf numFmtId="172" fontId="5" fillId="0" borderId="0" applyFont="0" applyFill="0" applyBorder="0" applyAlignment="0" applyProtection="0"/>
    <xf numFmtId="166" fontId="10" fillId="0" borderId="0"/>
    <xf numFmtId="0" fontId="11" fillId="0" borderId="0"/>
    <xf numFmtId="0" fontId="12" fillId="0" borderId="0"/>
    <xf numFmtId="0" fontId="12" fillId="0" borderId="0"/>
    <xf numFmtId="0" fontId="15" fillId="0" borderId="0"/>
    <xf numFmtId="0" fontId="15" fillId="0" borderId="0"/>
    <xf numFmtId="0" fontId="15" fillId="0" borderId="0"/>
    <xf numFmtId="0" fontId="14" fillId="0" borderId="0">
      <alignment vertical="center"/>
    </xf>
    <xf numFmtId="0" fontId="16" fillId="0" borderId="0"/>
    <xf numFmtId="0" fontId="5" fillId="0" borderId="0"/>
    <xf numFmtId="0" fontId="4" fillId="0" borderId="0"/>
    <xf numFmtId="0" fontId="4"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4" fillId="0" borderId="0"/>
    <xf numFmtId="173" fontId="5" fillId="0" borderId="0" applyFont="0" applyFill="0" applyBorder="0" applyAlignment="0" applyProtection="0"/>
    <xf numFmtId="0" fontId="13"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4" fillId="0" borderId="0" applyFont="0" applyFill="0" applyBorder="0" applyAlignment="0" applyProtection="0"/>
    <xf numFmtId="0" fontId="4" fillId="0" borderId="0"/>
    <xf numFmtId="176" fontId="4" fillId="0" borderId="0" applyFont="0" applyFill="0" applyBorder="0" applyAlignment="0" applyProtection="0"/>
    <xf numFmtId="177" fontId="31" fillId="0" borderId="0"/>
    <xf numFmtId="0" fontId="14" fillId="0" borderId="0"/>
    <xf numFmtId="0" fontId="14" fillId="0" borderId="0"/>
    <xf numFmtId="0" fontId="34" fillId="8" borderId="0" applyNumberFormat="0" applyBorder="0" applyAlignment="0" applyProtection="0"/>
    <xf numFmtId="0" fontId="35" fillId="0" borderId="0" applyNumberFormat="0" applyFill="0" applyBorder="0" applyAlignment="0" applyProtection="0"/>
    <xf numFmtId="0" fontId="36" fillId="0" borderId="32" applyNumberFormat="0" applyFill="0" applyAlignment="0" applyProtection="0"/>
    <xf numFmtId="0" fontId="37" fillId="0" borderId="33" applyNumberFormat="0" applyFill="0" applyAlignment="0" applyProtection="0"/>
    <xf numFmtId="0" fontId="38" fillId="0" borderId="34" applyNumberFormat="0" applyFill="0" applyAlignment="0" applyProtection="0"/>
    <xf numFmtId="0" fontId="38" fillId="0" borderId="0" applyNumberFormat="0" applyFill="0" applyBorder="0" applyAlignment="0" applyProtection="0"/>
    <xf numFmtId="0" fontId="39" fillId="7" borderId="0" applyNumberFormat="0" applyBorder="0" applyAlignment="0" applyProtection="0"/>
    <xf numFmtId="0" fontId="34" fillId="8" borderId="0" applyNumberFormat="0" applyBorder="0" applyAlignment="0" applyProtection="0"/>
    <xf numFmtId="0" fontId="40" fillId="9" borderId="0" applyNumberFormat="0" applyBorder="0" applyAlignment="0" applyProtection="0"/>
    <xf numFmtId="0" fontId="41" fillId="10" borderId="35" applyNumberFormat="0" applyAlignment="0" applyProtection="0"/>
    <xf numFmtId="0" fontId="42" fillId="11" borderId="36" applyNumberFormat="0" applyAlignment="0" applyProtection="0"/>
    <xf numFmtId="0" fontId="43" fillId="11" borderId="35" applyNumberFormat="0" applyAlignment="0" applyProtection="0"/>
    <xf numFmtId="0" fontId="44" fillId="0" borderId="37" applyNumberFormat="0" applyFill="0" applyAlignment="0" applyProtection="0"/>
    <xf numFmtId="0" fontId="45" fillId="12" borderId="38"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40" applyNumberFormat="0" applyFill="0" applyAlignment="0" applyProtection="0"/>
    <xf numFmtId="0" fontId="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9" fillId="37" borderId="0" applyNumberFormat="0" applyBorder="0" applyAlignment="0" applyProtection="0"/>
    <xf numFmtId="0" fontId="2" fillId="0" borderId="0"/>
    <xf numFmtId="0" fontId="2" fillId="13" borderId="3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39"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1" fillId="0" borderId="0"/>
    <xf numFmtId="0" fontId="33" fillId="0" borderId="0"/>
    <xf numFmtId="0" fontId="1"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0" fontId="14" fillId="0" borderId="0"/>
    <xf numFmtId="167" fontId="4" fillId="0" borderId="0" applyFont="0" applyFill="0" applyBorder="0" applyAlignment="0" applyProtection="0"/>
    <xf numFmtId="168" fontId="4" fillId="0" borderId="0" applyFont="0" applyFill="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54" fillId="48"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5" borderId="0" applyNumberFormat="0" applyBorder="0" applyAlignment="0" applyProtection="0"/>
    <xf numFmtId="0" fontId="55" fillId="39" borderId="0" applyNumberFormat="0" applyBorder="0" applyAlignment="0" applyProtection="0"/>
    <xf numFmtId="0" fontId="56" fillId="56" borderId="41" applyNumberFormat="0" applyAlignment="0" applyProtection="0"/>
    <xf numFmtId="0" fontId="57" fillId="57" borderId="42" applyNumberFormat="0" applyAlignment="0" applyProtection="0"/>
    <xf numFmtId="43" fontId="14" fillId="0" borderId="0" applyFont="0" applyFill="0" applyBorder="0" applyAlignment="0" applyProtection="0"/>
    <xf numFmtId="43" fontId="4" fillId="0" borderId="0" applyFont="0" applyFill="0" applyBorder="0" applyAlignment="0" applyProtection="0"/>
    <xf numFmtId="0" fontId="50" fillId="0" borderId="0"/>
    <xf numFmtId="0" fontId="4" fillId="0" borderId="0"/>
    <xf numFmtId="0" fontId="4" fillId="0" borderId="0"/>
    <xf numFmtId="0" fontId="4" fillId="0" borderId="0"/>
    <xf numFmtId="0" fontId="58" fillId="0" borderId="0" applyNumberFormat="0" applyFill="0" applyBorder="0" applyAlignment="0" applyProtection="0"/>
    <xf numFmtId="0" fontId="59" fillId="40" borderId="0" applyNumberFormat="0" applyBorder="0" applyAlignment="0" applyProtection="0"/>
    <xf numFmtId="0" fontId="60" fillId="0" borderId="43" applyNumberFormat="0" applyFill="0" applyAlignment="0" applyProtection="0"/>
    <xf numFmtId="0" fontId="61" fillId="0" borderId="44" applyNumberFormat="0" applyFill="0" applyAlignment="0" applyProtection="0"/>
    <xf numFmtId="0" fontId="62" fillId="0" borderId="45" applyNumberFormat="0" applyFill="0" applyAlignment="0" applyProtection="0"/>
    <xf numFmtId="0" fontId="62" fillId="0" borderId="0" applyNumberForma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63" fillId="43" borderId="41" applyNumberFormat="0" applyAlignment="0" applyProtection="0"/>
    <xf numFmtId="0" fontId="64" fillId="0" borderId="46" applyNumberFormat="0" applyFill="0" applyAlignment="0" applyProtection="0"/>
    <xf numFmtId="0" fontId="65"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lignment vertical="top"/>
    </xf>
    <xf numFmtId="0" fontId="51" fillId="0" borderId="0">
      <alignment vertical="top"/>
    </xf>
    <xf numFmtId="0" fontId="51"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53" fillId="59" borderId="47" applyNumberFormat="0" applyFont="0" applyAlignment="0" applyProtection="0"/>
    <xf numFmtId="0" fontId="66" fillId="56" borderId="48" applyNumberFormat="0" applyAlignment="0" applyProtection="0"/>
    <xf numFmtId="173" fontId="4" fillId="0" borderId="0" applyFont="0" applyFill="0" applyBorder="0" applyAlignment="0" applyProtection="0"/>
    <xf numFmtId="0" fontId="67" fillId="0" borderId="0" applyNumberFormat="0" applyFill="0" applyBorder="0" applyAlignment="0" applyProtection="0"/>
    <xf numFmtId="0" fontId="52" fillId="0" borderId="49" applyNumberFormat="0" applyFill="0" applyAlignment="0" applyProtection="0"/>
    <xf numFmtId="0" fontId="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 fillId="0" borderId="0"/>
    <xf numFmtId="0" fontId="2" fillId="31" borderId="0" applyNumberFormat="0" applyBorder="0" applyAlignment="0" applyProtection="0"/>
    <xf numFmtId="0" fontId="2" fillId="32" borderId="0" applyNumberFormat="0" applyBorder="0" applyAlignment="0" applyProtection="0"/>
    <xf numFmtId="0" fontId="1" fillId="0" borderId="0"/>
    <xf numFmtId="0" fontId="2" fillId="35" borderId="0" applyNumberFormat="0" applyBorder="0" applyAlignment="0" applyProtection="0"/>
    <xf numFmtId="0" fontId="2" fillId="36" borderId="0" applyNumberFormat="0" applyBorder="0" applyAlignment="0" applyProtection="0"/>
    <xf numFmtId="0" fontId="2" fillId="0" borderId="0"/>
    <xf numFmtId="0" fontId="2" fillId="13" borderId="39" applyNumberFormat="0" applyFont="0" applyAlignment="0" applyProtection="0"/>
    <xf numFmtId="0" fontId="1" fillId="0" borderId="0"/>
    <xf numFmtId="0" fontId="1" fillId="0" borderId="0"/>
    <xf numFmtId="180" fontId="1" fillId="0" borderId="0" applyFont="0" applyFill="0" applyBorder="0" applyAlignment="0" applyProtection="0"/>
    <xf numFmtId="0" fontId="1" fillId="0" borderId="0"/>
    <xf numFmtId="0" fontId="1" fillId="0" borderId="0"/>
    <xf numFmtId="0" fontId="1" fillId="0" borderId="0"/>
    <xf numFmtId="0" fontId="1" fillId="0" borderId="0"/>
  </cellStyleXfs>
  <cellXfs count="129">
    <xf numFmtId="0" fontId="0" fillId="0" borderId="0" xfId="0"/>
    <xf numFmtId="0" fontId="4" fillId="0" borderId="0" xfId="27" applyFont="1"/>
    <xf numFmtId="0" fontId="4" fillId="0" borderId="0" xfId="27" applyFont="1" applyFill="1"/>
    <xf numFmtId="0" fontId="4" fillId="2" borderId="0" xfId="27"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0" xfId="27" applyFont="1"/>
    <xf numFmtId="0" fontId="18" fillId="0" borderId="0" xfId="0" applyFont="1"/>
    <xf numFmtId="0" fontId="18" fillId="0" borderId="0" xfId="0" applyFont="1" applyBorder="1" applyAlignment="1"/>
    <xf numFmtId="0" fontId="18" fillId="0" borderId="0" xfId="27" applyFont="1"/>
    <xf numFmtId="165" fontId="18" fillId="0" borderId="0" xfId="0" applyNumberFormat="1" applyFont="1"/>
    <xf numFmtId="165" fontId="18" fillId="0" borderId="1" xfId="0" applyNumberFormat="1" applyFont="1" applyBorder="1" applyAlignment="1">
      <alignment horizontal="center"/>
    </xf>
    <xf numFmtId="0" fontId="18" fillId="0" borderId="1" xfId="0" applyFont="1" applyBorder="1" applyAlignment="1">
      <alignment horizontal="center"/>
    </xf>
    <xf numFmtId="0" fontId="18" fillId="0" borderId="1" xfId="27" applyFont="1" applyBorder="1" applyAlignment="1">
      <alignment horizontal="center"/>
    </xf>
    <xf numFmtId="0" fontId="18" fillId="5" borderId="5" xfId="0" applyFont="1" applyFill="1" applyBorder="1"/>
    <xf numFmtId="0" fontId="19" fillId="5" borderId="1" xfId="0" applyFont="1" applyFill="1" applyBorder="1"/>
    <xf numFmtId="165" fontId="18" fillId="5" borderId="1" xfId="0" applyNumberFormat="1" applyFont="1" applyFill="1" applyBorder="1"/>
    <xf numFmtId="0" fontId="18" fillId="0" borderId="5" xfId="0" applyFont="1" applyBorder="1"/>
    <xf numFmtId="0" fontId="18" fillId="0" borderId="1" xfId="0" applyFont="1" applyBorder="1"/>
    <xf numFmtId="165" fontId="18" fillId="0" borderId="1" xfId="0" applyNumberFormat="1" applyFont="1" applyBorder="1"/>
    <xf numFmtId="0" fontId="17" fillId="0" borderId="5" xfId="0" applyFont="1" applyBorder="1"/>
    <xf numFmtId="0" fontId="17" fillId="0" borderId="1" xfId="0" applyFont="1" applyBorder="1"/>
    <xf numFmtId="165" fontId="17" fillId="0" borderId="1" xfId="0" applyNumberFormat="1" applyFont="1" applyBorder="1"/>
    <xf numFmtId="0" fontId="18" fillId="0" borderId="7" xfId="0" applyFont="1" applyBorder="1"/>
    <xf numFmtId="0" fontId="18" fillId="0" borderId="8" xfId="0" applyFont="1" applyBorder="1"/>
    <xf numFmtId="165" fontId="18" fillId="0" borderId="8" xfId="0" applyNumberFormat="1" applyFont="1" applyBorder="1"/>
    <xf numFmtId="0" fontId="17" fillId="0" borderId="1" xfId="0" applyFont="1" applyBorder="1" applyAlignment="1">
      <alignment wrapText="1"/>
    </xf>
    <xf numFmtId="0" fontId="18" fillId="0" borderId="14" xfId="0" applyFont="1" applyBorder="1"/>
    <xf numFmtId="0" fontId="18" fillId="0" borderId="15" xfId="0" applyFont="1" applyBorder="1"/>
    <xf numFmtId="165" fontId="18" fillId="0" borderId="15" xfId="0" applyNumberFormat="1" applyFont="1" applyBorder="1"/>
    <xf numFmtId="0" fontId="18" fillId="3" borderId="5" xfId="0" applyFont="1" applyFill="1" applyBorder="1"/>
    <xf numFmtId="0" fontId="19" fillId="3" borderId="1" xfId="0" applyFont="1" applyFill="1" applyBorder="1"/>
    <xf numFmtId="165" fontId="18" fillId="3" borderId="1" xfId="0" applyNumberFormat="1" applyFont="1" applyFill="1" applyBorder="1"/>
    <xf numFmtId="0" fontId="4" fillId="3" borderId="0" xfId="27" applyFont="1" applyFill="1"/>
    <xf numFmtId="0" fontId="18" fillId="4" borderId="5" xfId="0" applyFont="1" applyFill="1" applyBorder="1"/>
    <xf numFmtId="0" fontId="19" fillId="4" borderId="1" xfId="0" applyFont="1" applyFill="1" applyBorder="1"/>
    <xf numFmtId="165" fontId="18" fillId="4" borderId="1" xfId="0" applyNumberFormat="1" applyFont="1" applyFill="1" applyBorder="1"/>
    <xf numFmtId="0" fontId="4" fillId="4" borderId="0" xfId="27" applyFont="1" applyFill="1"/>
    <xf numFmtId="175" fontId="18" fillId="5" borderId="1" xfId="0" applyNumberFormat="1" applyFont="1" applyFill="1" applyBorder="1"/>
    <xf numFmtId="175" fontId="18" fillId="0" borderId="1" xfId="0" applyNumberFormat="1" applyFont="1" applyBorder="1"/>
    <xf numFmtId="175" fontId="17" fillId="0" borderId="1" xfId="0" applyNumberFormat="1" applyFont="1" applyBorder="1"/>
    <xf numFmtId="175" fontId="18" fillId="0" borderId="8" xfId="0" applyNumberFormat="1" applyFont="1" applyBorder="1"/>
    <xf numFmtId="175" fontId="18" fillId="3" borderId="1" xfId="0" applyNumberFormat="1" applyFont="1" applyFill="1" applyBorder="1"/>
    <xf numFmtId="175" fontId="18"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0" fillId="6" borderId="0" xfId="0" applyFill="1"/>
    <xf numFmtId="174" fontId="23" fillId="6" borderId="21" xfId="0" applyNumberFormat="1" applyFont="1" applyFill="1" applyBorder="1" applyAlignment="1" applyProtection="1">
      <alignment vertical="center"/>
      <protection hidden="1"/>
    </xf>
    <xf numFmtId="175" fontId="23" fillId="6" borderId="1" xfId="0" applyNumberFormat="1" applyFont="1" applyFill="1" applyBorder="1" applyAlignment="1" applyProtection="1">
      <alignment vertical="center"/>
      <protection hidden="1"/>
    </xf>
    <xf numFmtId="174" fontId="24" fillId="6" borderId="21" xfId="0" applyNumberFormat="1" applyFont="1" applyFill="1" applyBorder="1" applyAlignment="1" applyProtection="1">
      <alignment vertical="center"/>
      <protection hidden="1"/>
    </xf>
    <xf numFmtId="0" fontId="25" fillId="6" borderId="0" xfId="0" applyFont="1" applyFill="1" applyBorder="1" applyAlignment="1" applyProtection="1">
      <alignment horizontal="center" vertical="top"/>
      <protection hidden="1"/>
    </xf>
    <xf numFmtId="0" fontId="26"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2" fillId="6" borderId="0" xfId="0" applyFont="1" applyFill="1" applyAlignment="1" applyProtection="1">
      <alignment vertical="center"/>
      <protection hidden="1"/>
    </xf>
    <xf numFmtId="0" fontId="27"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20" fillId="2" borderId="0" xfId="0" applyFont="1" applyFill="1" applyAlignment="1" applyProtection="1">
      <alignment vertical="center"/>
      <protection hidden="1"/>
    </xf>
    <xf numFmtId="0" fontId="30" fillId="0" borderId="0" xfId="0" applyFont="1" applyAlignment="1">
      <alignment vertical="center" wrapText="1"/>
    </xf>
    <xf numFmtId="165" fontId="18" fillId="2" borderId="1" xfId="0" applyNumberFormat="1" applyFont="1" applyFill="1" applyBorder="1"/>
    <xf numFmtId="0" fontId="19" fillId="3" borderId="6" xfId="0" applyFont="1" applyFill="1" applyBorder="1"/>
    <xf numFmtId="0" fontId="18" fillId="0" borderId="6" xfId="0" applyFont="1" applyBorder="1"/>
    <xf numFmtId="0" fontId="17" fillId="0" borderId="6" xfId="0" applyFont="1" applyBorder="1"/>
    <xf numFmtId="0" fontId="17" fillId="0" borderId="6" xfId="0" applyFont="1" applyBorder="1" applyAlignment="1">
      <alignment wrapText="1"/>
    </xf>
    <xf numFmtId="0" fontId="18" fillId="0" borderId="28" xfId="0" applyFont="1" applyBorder="1"/>
    <xf numFmtId="0" fontId="18" fillId="0" borderId="25" xfId="0" applyFont="1" applyBorder="1"/>
    <xf numFmtId="165" fontId="17" fillId="0" borderId="1" xfId="27" applyNumberFormat="1" applyFont="1" applyBorder="1" applyAlignment="1">
      <alignment horizontal="right"/>
    </xf>
    <xf numFmtId="0" fontId="18" fillId="0" borderId="1" xfId="0" applyFont="1" applyBorder="1" applyAlignment="1">
      <alignment wrapText="1"/>
    </xf>
    <xf numFmtId="2" fontId="4" fillId="0" borderId="0" xfId="27" applyNumberFormat="1" applyFont="1"/>
    <xf numFmtId="0" fontId="19" fillId="4" borderId="6" xfId="0" applyFont="1" applyFill="1" applyBorder="1"/>
    <xf numFmtId="0" fontId="19" fillId="5" borderId="6" xfId="0" applyFont="1" applyFill="1" applyBorder="1"/>
    <xf numFmtId="0" fontId="19" fillId="5" borderId="5" xfId="0" applyFont="1" applyFill="1" applyBorder="1"/>
    <xf numFmtId="165" fontId="17" fillId="0" borderId="1" xfId="28" applyNumberFormat="1" applyFont="1" applyBorder="1" applyAlignment="1">
      <alignment horizontal="right"/>
    </xf>
    <xf numFmtId="175" fontId="4" fillId="0" borderId="0" xfId="27" applyNumberFormat="1" applyFont="1"/>
    <xf numFmtId="166" fontId="17" fillId="0" borderId="0" xfId="0" applyNumberFormat="1" applyFont="1"/>
    <xf numFmtId="166" fontId="17" fillId="0" borderId="0" xfId="27" applyNumberFormat="1" applyFont="1"/>
    <xf numFmtId="178" fontId="4" fillId="0" borderId="0" xfId="27" applyNumberFormat="1" applyFont="1"/>
    <xf numFmtId="165" fontId="4" fillId="0" borderId="0" xfId="27" applyNumberFormat="1" applyFont="1"/>
    <xf numFmtId="166" fontId="0" fillId="0" borderId="0" xfId="0" applyNumberFormat="1"/>
    <xf numFmtId="175" fontId="18" fillId="0" borderId="1" xfId="0" applyNumberFormat="1" applyFont="1" applyBorder="1" applyAlignment="1">
      <alignment horizontal="right"/>
    </xf>
    <xf numFmtId="0" fontId="18" fillId="0" borderId="31" xfId="0" applyFont="1" applyBorder="1"/>
    <xf numFmtId="0" fontId="18" fillId="2" borderId="1" xfId="0" applyFont="1" applyFill="1" applyBorder="1"/>
    <xf numFmtId="0" fontId="32" fillId="0" borderId="1" xfId="0" applyFont="1" applyBorder="1"/>
    <xf numFmtId="175" fontId="18" fillId="5" borderId="1" xfId="0" applyNumberFormat="1" applyFont="1" applyFill="1" applyBorder="1" applyAlignment="1">
      <alignment horizontal="right"/>
    </xf>
    <xf numFmtId="175" fontId="17" fillId="0" borderId="1" xfId="0" applyNumberFormat="1" applyFont="1" applyBorder="1" applyAlignment="1">
      <alignment horizontal="right"/>
    </xf>
    <xf numFmtId="175" fontId="18" fillId="0" borderId="8" xfId="0" applyNumberFormat="1" applyFont="1" applyBorder="1" applyAlignment="1">
      <alignment horizontal="right"/>
    </xf>
    <xf numFmtId="0" fontId="17" fillId="0" borderId="0" xfId="27" applyFont="1" applyAlignment="1">
      <alignment horizontal="right"/>
    </xf>
    <xf numFmtId="0" fontId="18" fillId="0" borderId="0" xfId="27" applyFont="1" applyAlignment="1">
      <alignment horizontal="right"/>
    </xf>
    <xf numFmtId="0" fontId="18" fillId="0" borderId="1" xfId="0" applyFont="1" applyBorder="1" applyAlignment="1">
      <alignment horizontal="right"/>
    </xf>
    <xf numFmtId="175" fontId="18" fillId="3" borderId="1" xfId="0" applyNumberFormat="1" applyFont="1" applyFill="1" applyBorder="1" applyAlignment="1">
      <alignment horizontal="right"/>
    </xf>
    <xf numFmtId="0" fontId="18" fillId="0" borderId="1" xfId="27" applyFont="1" applyBorder="1" applyAlignment="1">
      <alignment horizontal="right"/>
    </xf>
    <xf numFmtId="175" fontId="18" fillId="4" borderId="1" xfId="0" applyNumberFormat="1" applyFont="1" applyFill="1" applyBorder="1" applyAlignment="1">
      <alignment horizontal="right"/>
    </xf>
    <xf numFmtId="0" fontId="18" fillId="0" borderId="1" xfId="0" applyFont="1" applyFill="1" applyBorder="1"/>
    <xf numFmtId="179" fontId="4" fillId="0" borderId="0" xfId="27" applyNumberFormat="1" applyFont="1"/>
    <xf numFmtId="178" fontId="18" fillId="0" borderId="1" xfId="0" applyNumberFormat="1" applyFont="1" applyBorder="1" applyAlignment="1">
      <alignment horizontal="right"/>
    </xf>
    <xf numFmtId="175" fontId="17" fillId="0" borderId="0" xfId="0" applyNumberFormat="1" applyFont="1" applyAlignment="1">
      <alignment horizontal="center"/>
    </xf>
    <xf numFmtId="0" fontId="17" fillId="0" borderId="5" xfId="0" applyFont="1" applyBorder="1" applyAlignment="1">
      <alignment horizontal="right"/>
    </xf>
    <xf numFmtId="165" fontId="17" fillId="0" borderId="1" xfId="0" applyNumberFormat="1" applyFont="1" applyFill="1" applyBorder="1"/>
    <xf numFmtId="165" fontId="18" fillId="0" borderId="1" xfId="0" applyNumberFormat="1" applyFont="1" applyFill="1" applyBorder="1"/>
    <xf numFmtId="165" fontId="17" fillId="0" borderId="1" xfId="27" applyNumberFormat="1" applyFont="1" applyFill="1" applyBorder="1" applyAlignment="1">
      <alignment horizontal="right"/>
    </xf>
    <xf numFmtId="0" fontId="20" fillId="6" borderId="0" xfId="0" applyFont="1" applyFill="1" applyBorder="1" applyAlignment="1" applyProtection="1">
      <alignment horizontal="center" vertical="center" wrapText="1"/>
      <protection hidden="1"/>
    </xf>
    <xf numFmtId="165" fontId="18" fillId="0" borderId="3" xfId="0" applyNumberFormat="1" applyFont="1" applyBorder="1" applyAlignment="1">
      <alignment horizontal="center"/>
    </xf>
    <xf numFmtId="165" fontId="18" fillId="0" borderId="4" xfId="0" applyNumberFormat="1"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2" xfId="0" applyFont="1" applyBorder="1" applyAlignment="1">
      <alignment horizontal="center" wrapText="1"/>
    </xf>
    <xf numFmtId="0" fontId="18" fillId="0" borderId="11" xfId="0" applyFont="1" applyBorder="1" applyAlignment="1">
      <alignment horizontal="center" wrapText="1"/>
    </xf>
    <xf numFmtId="0" fontId="18" fillId="0" borderId="9" xfId="27" applyFont="1" applyBorder="1" applyAlignment="1">
      <alignment horizontal="center"/>
    </xf>
    <xf numFmtId="0" fontId="18" fillId="0" borderId="10" xfId="27"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9" xfId="28" applyFont="1" applyBorder="1" applyAlignment="1">
      <alignment horizontal="center"/>
    </xf>
    <xf numFmtId="0" fontId="18" fillId="0" borderId="10" xfId="28" applyFont="1" applyBorder="1" applyAlignment="1">
      <alignment horizontal="center"/>
    </xf>
    <xf numFmtId="165" fontId="18" fillId="2" borderId="3" xfId="0" applyNumberFormat="1" applyFont="1" applyFill="1" applyBorder="1" applyAlignment="1">
      <alignment horizontal="center"/>
    </xf>
    <xf numFmtId="165" fontId="18" fillId="2" borderId="4" xfId="0" applyNumberFormat="1" applyFont="1" applyFill="1" applyBorder="1" applyAlignment="1">
      <alignment horizontal="center"/>
    </xf>
    <xf numFmtId="0" fontId="18" fillId="0" borderId="29" xfId="27" applyFont="1" applyBorder="1" applyAlignment="1">
      <alignment horizontal="center"/>
    </xf>
    <xf numFmtId="0" fontId="18" fillId="0" borderId="30" xfId="27" applyFont="1" applyBorder="1" applyAlignment="1">
      <alignment horizontal="center"/>
    </xf>
  </cellXfs>
  <cellStyles count="286">
    <cellStyle name="1 indent" xfId="1" xr:uid="{00000000-0005-0000-0000-000000000000}"/>
    <cellStyle name="1 indent 2" xfId="41" xr:uid="{00000000-0005-0000-0000-000001000000}"/>
    <cellStyle name="1 indent 3" xfId="140" xr:uid="{00000000-0005-0000-0000-000002000000}"/>
    <cellStyle name="2 indents" xfId="2" xr:uid="{00000000-0005-0000-0000-000003000000}"/>
    <cellStyle name="2 indents 2" xfId="42" xr:uid="{00000000-0005-0000-0000-000004000000}"/>
    <cellStyle name="2 indents 3" xfId="141" xr:uid="{00000000-0005-0000-0000-000005000000}"/>
    <cellStyle name="20% - Accent1 2" xfId="118" xr:uid="{00000000-0005-0000-0000-000006000000}"/>
    <cellStyle name="20% - Accent1 2 2" xfId="142" xr:uid="{00000000-0005-0000-0000-000007000000}"/>
    <cellStyle name="20% - Accent1 3" xfId="263" xr:uid="{00000000-0005-0000-0000-000008000000}"/>
    <cellStyle name="20% - Accent1 4" xfId="82" xr:uid="{00000000-0005-0000-0000-000009000000}"/>
    <cellStyle name="20% - Accent2 2" xfId="120" xr:uid="{00000000-0005-0000-0000-00000A000000}"/>
    <cellStyle name="20% - Accent2 2 2" xfId="143" xr:uid="{00000000-0005-0000-0000-00000B000000}"/>
    <cellStyle name="20% - Accent2 3" xfId="265" xr:uid="{00000000-0005-0000-0000-00000C000000}"/>
    <cellStyle name="20% - Accent2 4" xfId="86" xr:uid="{00000000-0005-0000-0000-00000D000000}"/>
    <cellStyle name="20% - Accent3 2" xfId="122" xr:uid="{00000000-0005-0000-0000-00000E000000}"/>
    <cellStyle name="20% - Accent3 2 2" xfId="144" xr:uid="{00000000-0005-0000-0000-00000F000000}"/>
    <cellStyle name="20% - Accent3 3" xfId="267" xr:uid="{00000000-0005-0000-0000-000010000000}"/>
    <cellStyle name="20% - Accent3 4" xfId="90" xr:uid="{00000000-0005-0000-0000-000011000000}"/>
    <cellStyle name="20% - Accent4 2" xfId="124" xr:uid="{00000000-0005-0000-0000-000012000000}"/>
    <cellStyle name="20% - Accent4 2 2" xfId="145" xr:uid="{00000000-0005-0000-0000-000013000000}"/>
    <cellStyle name="20% - Accent4 3" xfId="269" xr:uid="{00000000-0005-0000-0000-000014000000}"/>
    <cellStyle name="20% - Accent4 4" xfId="94" xr:uid="{00000000-0005-0000-0000-000015000000}"/>
    <cellStyle name="20% - Accent5 2" xfId="126" xr:uid="{00000000-0005-0000-0000-000016000000}"/>
    <cellStyle name="20% - Accent5 2 2" xfId="146" xr:uid="{00000000-0005-0000-0000-000017000000}"/>
    <cellStyle name="20% - Accent5 3" xfId="272" xr:uid="{00000000-0005-0000-0000-000018000000}"/>
    <cellStyle name="20% - Accent5 4" xfId="98" xr:uid="{00000000-0005-0000-0000-000019000000}"/>
    <cellStyle name="20% - Accent6 2" xfId="128" xr:uid="{00000000-0005-0000-0000-00001A000000}"/>
    <cellStyle name="20% - Accent6 2 2" xfId="147" xr:uid="{00000000-0005-0000-0000-00001B000000}"/>
    <cellStyle name="20% - Accent6 3" xfId="275" xr:uid="{00000000-0005-0000-0000-00001C000000}"/>
    <cellStyle name="20% - Accent6 4" xfId="102" xr:uid="{00000000-0005-0000-0000-00001D000000}"/>
    <cellStyle name="3 indents" xfId="3" xr:uid="{00000000-0005-0000-0000-00001E000000}"/>
    <cellStyle name="3 indents 2" xfId="43" xr:uid="{00000000-0005-0000-0000-00001F000000}"/>
    <cellStyle name="3 indents 3" xfId="148" xr:uid="{00000000-0005-0000-0000-000020000000}"/>
    <cellStyle name="4 indents" xfId="4" xr:uid="{00000000-0005-0000-0000-000021000000}"/>
    <cellStyle name="4 indents 2" xfId="44" xr:uid="{00000000-0005-0000-0000-000022000000}"/>
    <cellStyle name="4 indents 3" xfId="149" xr:uid="{00000000-0005-0000-0000-000023000000}"/>
    <cellStyle name="40% - Accent1 2" xfId="119" xr:uid="{00000000-0005-0000-0000-000024000000}"/>
    <cellStyle name="40% - Accent1 2 2" xfId="150" xr:uid="{00000000-0005-0000-0000-000025000000}"/>
    <cellStyle name="40% - Accent1 3" xfId="264" xr:uid="{00000000-0005-0000-0000-000026000000}"/>
    <cellStyle name="40% - Accent1 4" xfId="83" xr:uid="{00000000-0005-0000-0000-000027000000}"/>
    <cellStyle name="40% - Accent2 2" xfId="121" xr:uid="{00000000-0005-0000-0000-000028000000}"/>
    <cellStyle name="40% - Accent2 2 2" xfId="151" xr:uid="{00000000-0005-0000-0000-000029000000}"/>
    <cellStyle name="40% - Accent2 3" xfId="266" xr:uid="{00000000-0005-0000-0000-00002A000000}"/>
    <cellStyle name="40% - Accent2 4" xfId="87" xr:uid="{00000000-0005-0000-0000-00002B000000}"/>
    <cellStyle name="40% - Accent3 2" xfId="123" xr:uid="{00000000-0005-0000-0000-00002C000000}"/>
    <cellStyle name="40% - Accent3 2 2" xfId="152" xr:uid="{00000000-0005-0000-0000-00002D000000}"/>
    <cellStyle name="40% - Accent3 3" xfId="268" xr:uid="{00000000-0005-0000-0000-00002E000000}"/>
    <cellStyle name="40% - Accent3 4" xfId="91" xr:uid="{00000000-0005-0000-0000-00002F000000}"/>
    <cellStyle name="40% - Accent4 2" xfId="125" xr:uid="{00000000-0005-0000-0000-000030000000}"/>
    <cellStyle name="40% - Accent4 2 2" xfId="153" xr:uid="{00000000-0005-0000-0000-000031000000}"/>
    <cellStyle name="40% - Accent4 3" xfId="270" xr:uid="{00000000-0005-0000-0000-000032000000}"/>
    <cellStyle name="40% - Accent4 4" xfId="95" xr:uid="{00000000-0005-0000-0000-000033000000}"/>
    <cellStyle name="40% - Accent5 2" xfId="127" xr:uid="{00000000-0005-0000-0000-000034000000}"/>
    <cellStyle name="40% - Accent5 2 2" xfId="154" xr:uid="{00000000-0005-0000-0000-000035000000}"/>
    <cellStyle name="40% - Accent5 3" xfId="273" xr:uid="{00000000-0005-0000-0000-000036000000}"/>
    <cellStyle name="40% - Accent5 4" xfId="99" xr:uid="{00000000-0005-0000-0000-000037000000}"/>
    <cellStyle name="40% - Accent6 2" xfId="129" xr:uid="{00000000-0005-0000-0000-000038000000}"/>
    <cellStyle name="40% - Accent6 2 2" xfId="155" xr:uid="{00000000-0005-0000-0000-000039000000}"/>
    <cellStyle name="40% - Accent6 3" xfId="276" xr:uid="{00000000-0005-0000-0000-00003A000000}"/>
    <cellStyle name="40% - Accent6 4" xfId="103" xr:uid="{00000000-0005-0000-0000-00003B000000}"/>
    <cellStyle name="60% - Accent1 2" xfId="156" xr:uid="{00000000-0005-0000-0000-00003C000000}"/>
    <cellStyle name="60% - Accent1 3" xfId="84" xr:uid="{00000000-0005-0000-0000-00003D000000}"/>
    <cellStyle name="60% - Accent2 2" xfId="157" xr:uid="{00000000-0005-0000-0000-00003E000000}"/>
    <cellStyle name="60% - Accent2 3" xfId="88" xr:uid="{00000000-0005-0000-0000-00003F000000}"/>
    <cellStyle name="60% - Accent3 2" xfId="158" xr:uid="{00000000-0005-0000-0000-000040000000}"/>
    <cellStyle name="60% - Accent3 3" xfId="92" xr:uid="{00000000-0005-0000-0000-000041000000}"/>
    <cellStyle name="60% - Accent4 2" xfId="159" xr:uid="{00000000-0005-0000-0000-000042000000}"/>
    <cellStyle name="60% - Accent4 3" xfId="96" xr:uid="{00000000-0005-0000-0000-000043000000}"/>
    <cellStyle name="60% - Accent5 2" xfId="160" xr:uid="{00000000-0005-0000-0000-000044000000}"/>
    <cellStyle name="60% - Accent5 3" xfId="100" xr:uid="{00000000-0005-0000-0000-000045000000}"/>
    <cellStyle name="60% - Accent6 2" xfId="161" xr:uid="{00000000-0005-0000-0000-000046000000}"/>
    <cellStyle name="60% - Accent6 3" xfId="104" xr:uid="{00000000-0005-0000-0000-000047000000}"/>
    <cellStyle name="Accent1 2" xfId="162" xr:uid="{00000000-0005-0000-0000-000048000000}"/>
    <cellStyle name="Accent1 3" xfId="81" xr:uid="{00000000-0005-0000-0000-000049000000}"/>
    <cellStyle name="Accent2 2" xfId="163" xr:uid="{00000000-0005-0000-0000-00004A000000}"/>
    <cellStyle name="Accent2 3" xfId="85" xr:uid="{00000000-0005-0000-0000-00004B000000}"/>
    <cellStyle name="Accent3 2" xfId="164" xr:uid="{00000000-0005-0000-0000-00004C000000}"/>
    <cellStyle name="Accent3 3" xfId="89" xr:uid="{00000000-0005-0000-0000-00004D000000}"/>
    <cellStyle name="Accent4 2" xfId="165" xr:uid="{00000000-0005-0000-0000-00004E000000}"/>
    <cellStyle name="Accent4 3" xfId="93" xr:uid="{00000000-0005-0000-0000-00004F000000}"/>
    <cellStyle name="Accent5 2" xfId="166" xr:uid="{00000000-0005-0000-0000-000050000000}"/>
    <cellStyle name="Accent5 3" xfId="97" xr:uid="{00000000-0005-0000-0000-000051000000}"/>
    <cellStyle name="Accent6 2" xfId="167" xr:uid="{00000000-0005-0000-0000-000052000000}"/>
    <cellStyle name="Accent6 3" xfId="101" xr:uid="{00000000-0005-0000-0000-000053000000}"/>
    <cellStyle name="Bad 2" xfId="64" xr:uid="{00000000-0005-0000-0000-000054000000}"/>
    <cellStyle name="Bad 2 2" xfId="168" xr:uid="{00000000-0005-0000-0000-000055000000}"/>
    <cellStyle name="Bad 3" xfId="71" xr:uid="{00000000-0005-0000-0000-000056000000}"/>
    <cellStyle name="Calculation 2" xfId="169" xr:uid="{00000000-0005-0000-0000-000057000000}"/>
    <cellStyle name="Calculation 3" xfId="75" xr:uid="{00000000-0005-0000-0000-000058000000}"/>
    <cellStyle name="Check Cell 2" xfId="170" xr:uid="{00000000-0005-0000-0000-000059000000}"/>
    <cellStyle name="Check Cell 3" xfId="77" xr:uid="{00000000-0005-0000-0000-00005A000000}"/>
    <cellStyle name="Comma 2" xfId="138" xr:uid="{00000000-0005-0000-0000-00005B000000}"/>
    <cellStyle name="Comma 2 2" xfId="172" xr:uid="{00000000-0005-0000-0000-00005C000000}"/>
    <cellStyle name="Comma 3" xfId="171" xr:uid="{00000000-0005-0000-0000-00005D000000}"/>
    <cellStyle name="Comma 4" xfId="281" xr:uid="{00000000-0005-0000-0000-00005E000000}"/>
    <cellStyle name="Comma 5" xfId="136" xr:uid="{00000000-0005-0000-0000-00005F000000}"/>
    <cellStyle name="Currency 2" xfId="60" xr:uid="{00000000-0005-0000-0000-000060000000}"/>
    <cellStyle name="Date" xfId="5" xr:uid="{00000000-0005-0000-0000-000061000000}"/>
    <cellStyle name="Excel Built-in Normal" xfId="61" xr:uid="{00000000-0005-0000-0000-000062000000}"/>
    <cellStyle name="Excel Built-in Normal 2" xfId="174" xr:uid="{00000000-0005-0000-0000-000063000000}"/>
    <cellStyle name="Excel Built-in Normal 2 2" xfId="175" xr:uid="{00000000-0005-0000-0000-000064000000}"/>
    <cellStyle name="Excel Built-in Normal 2 3" xfId="176" xr:uid="{00000000-0005-0000-0000-000065000000}"/>
    <cellStyle name="Excel Built-in Normal 3" xfId="173" xr:uid="{00000000-0005-0000-0000-000066000000}"/>
    <cellStyle name="Explanatory Text 2" xfId="177" xr:uid="{00000000-0005-0000-0000-000067000000}"/>
    <cellStyle name="Explanatory Text 3" xfId="79" xr:uid="{00000000-0005-0000-0000-000068000000}"/>
    <cellStyle name="F2" xfId="6" xr:uid="{00000000-0005-0000-0000-000069000000}"/>
    <cellStyle name="F3" xfId="7" xr:uid="{00000000-0005-0000-0000-00006A000000}"/>
    <cellStyle name="F4" xfId="8" xr:uid="{00000000-0005-0000-0000-00006B000000}"/>
    <cellStyle name="F5" xfId="9" xr:uid="{00000000-0005-0000-0000-00006C000000}"/>
    <cellStyle name="F6" xfId="10" xr:uid="{00000000-0005-0000-0000-00006D000000}"/>
    <cellStyle name="F7" xfId="11" xr:uid="{00000000-0005-0000-0000-00006E000000}"/>
    <cellStyle name="F8" xfId="12" xr:uid="{00000000-0005-0000-0000-00006F000000}"/>
    <cellStyle name="Fixed" xfId="13" xr:uid="{00000000-0005-0000-0000-000070000000}"/>
    <cellStyle name="Good 2" xfId="178" xr:uid="{00000000-0005-0000-0000-000071000000}"/>
    <cellStyle name="Good 3" xfId="70" xr:uid="{00000000-0005-0000-0000-000072000000}"/>
    <cellStyle name="Heading 1 2" xfId="179" xr:uid="{00000000-0005-0000-0000-000073000000}"/>
    <cellStyle name="Heading 1 3" xfId="66" xr:uid="{00000000-0005-0000-0000-000074000000}"/>
    <cellStyle name="Heading 2 2" xfId="180" xr:uid="{00000000-0005-0000-0000-000075000000}"/>
    <cellStyle name="Heading 2 3" xfId="67" xr:uid="{00000000-0005-0000-0000-000076000000}"/>
    <cellStyle name="Heading 3 2" xfId="181" xr:uid="{00000000-0005-0000-0000-000077000000}"/>
    <cellStyle name="Heading 3 3" xfId="68" xr:uid="{00000000-0005-0000-0000-000078000000}"/>
    <cellStyle name="Heading 4 2" xfId="182" xr:uid="{00000000-0005-0000-0000-000079000000}"/>
    <cellStyle name="Heading 4 3" xfId="69" xr:uid="{00000000-0005-0000-0000-00007A000000}"/>
    <cellStyle name="HEADING1" xfId="14" xr:uid="{00000000-0005-0000-0000-00007B000000}"/>
    <cellStyle name="HEADING2" xfId="15" xr:uid="{00000000-0005-0000-0000-00007C000000}"/>
    <cellStyle name="imf-one decimal" xfId="16" xr:uid="{00000000-0005-0000-0000-00007D000000}"/>
    <cellStyle name="imf-one decimal 2" xfId="45" xr:uid="{00000000-0005-0000-0000-00007E000000}"/>
    <cellStyle name="imf-one decimal 3" xfId="183" xr:uid="{00000000-0005-0000-0000-00007F000000}"/>
    <cellStyle name="imf-zero decimal" xfId="17" xr:uid="{00000000-0005-0000-0000-000080000000}"/>
    <cellStyle name="imf-zero decimal 2" xfId="46" xr:uid="{00000000-0005-0000-0000-000081000000}"/>
    <cellStyle name="imf-zero decimal 3" xfId="184" xr:uid="{00000000-0005-0000-0000-000082000000}"/>
    <cellStyle name="Input 2" xfId="185" xr:uid="{00000000-0005-0000-0000-000083000000}"/>
    <cellStyle name="Input 3" xfId="73" xr:uid="{00000000-0005-0000-0000-000084000000}"/>
    <cellStyle name="Label" xfId="18" xr:uid="{00000000-0005-0000-0000-000085000000}"/>
    <cellStyle name="Linked Cell 2" xfId="186" xr:uid="{00000000-0005-0000-0000-000086000000}"/>
    <cellStyle name="Linked Cell 3" xfId="76" xr:uid="{00000000-0005-0000-0000-000087000000}"/>
    <cellStyle name="Neutral 2" xfId="187" xr:uid="{00000000-0005-0000-0000-000088000000}"/>
    <cellStyle name="Neutral 3" xfId="72" xr:uid="{00000000-0005-0000-0000-000089000000}"/>
    <cellStyle name="Normal" xfId="0" builtinId="0"/>
    <cellStyle name="Normal - Style1" xfId="19" xr:uid="{00000000-0005-0000-0000-00008B000000}"/>
    <cellStyle name="Normal - Style2" xfId="20" xr:uid="{00000000-0005-0000-0000-00008C000000}"/>
    <cellStyle name="Normal - Style3" xfId="21" xr:uid="{00000000-0005-0000-0000-00008D000000}"/>
    <cellStyle name="Normal 10" xfId="22" xr:uid="{00000000-0005-0000-0000-00008E000000}"/>
    <cellStyle name="Normal 10 2" xfId="54" xr:uid="{00000000-0005-0000-0000-00008F000000}"/>
    <cellStyle name="Normal 10 2 2" xfId="254" xr:uid="{00000000-0005-0000-0000-000090000000}"/>
    <cellStyle name="Normal 11" xfId="23" xr:uid="{00000000-0005-0000-0000-000091000000}"/>
    <cellStyle name="Normal 11 2" xfId="55" xr:uid="{00000000-0005-0000-0000-000092000000}"/>
    <cellStyle name="Normal 11 2 2" xfId="255" xr:uid="{00000000-0005-0000-0000-000093000000}"/>
    <cellStyle name="Normal 12" xfId="24" xr:uid="{00000000-0005-0000-0000-000094000000}"/>
    <cellStyle name="Normal 12 2" xfId="56" xr:uid="{00000000-0005-0000-0000-000095000000}"/>
    <cellStyle name="Normal 12 2 2" xfId="256" xr:uid="{00000000-0005-0000-0000-000096000000}"/>
    <cellStyle name="Normal 13" xfId="40" xr:uid="{00000000-0005-0000-0000-000097000000}"/>
    <cellStyle name="Normal 13 2" xfId="63" xr:uid="{00000000-0005-0000-0000-000098000000}"/>
    <cellStyle name="Normal 14" xfId="105" xr:uid="{00000000-0005-0000-0000-000099000000}"/>
    <cellStyle name="Normal 14 2" xfId="257" xr:uid="{00000000-0005-0000-0000-00009A000000}"/>
    <cellStyle name="Normal 15" xfId="25" xr:uid="{00000000-0005-0000-0000-00009B000000}"/>
    <cellStyle name="Normal 15 2" xfId="107" xr:uid="{00000000-0005-0000-0000-00009C000000}"/>
    <cellStyle name="Normal 16" xfId="26" xr:uid="{00000000-0005-0000-0000-00009D000000}"/>
    <cellStyle name="Normal 16 2" xfId="130" xr:uid="{00000000-0005-0000-0000-00009E000000}"/>
    <cellStyle name="Normal 16 2 2" xfId="189" xr:uid="{00000000-0005-0000-0000-00009F000000}"/>
    <cellStyle name="Normal 16 3" xfId="190" xr:uid="{00000000-0005-0000-0000-0000A0000000}"/>
    <cellStyle name="Normal 16 4" xfId="188" xr:uid="{00000000-0005-0000-0000-0000A1000000}"/>
    <cellStyle name="Normal 16 5" xfId="111" xr:uid="{00000000-0005-0000-0000-0000A2000000}"/>
    <cellStyle name="Normal 17" xfId="113" xr:uid="{00000000-0005-0000-0000-0000A3000000}"/>
    <cellStyle name="Normal 17 2" xfId="131" xr:uid="{00000000-0005-0000-0000-0000A4000000}"/>
    <cellStyle name="Normal 17 2 2" xfId="192" xr:uid="{00000000-0005-0000-0000-0000A5000000}"/>
    <cellStyle name="Normal 17 3" xfId="193" xr:uid="{00000000-0005-0000-0000-0000A6000000}"/>
    <cellStyle name="Normal 17 4" xfId="191" xr:uid="{00000000-0005-0000-0000-0000A7000000}"/>
    <cellStyle name="Normal 18" xfId="114" xr:uid="{00000000-0005-0000-0000-0000A8000000}"/>
    <cellStyle name="Normal 19" xfId="109" xr:uid="{00000000-0005-0000-0000-0000A9000000}"/>
    <cellStyle name="Normal 19 2" xfId="132" xr:uid="{00000000-0005-0000-0000-0000AA000000}"/>
    <cellStyle name="Normal 19 2 2" xfId="195" xr:uid="{00000000-0005-0000-0000-0000AB000000}"/>
    <cellStyle name="Normal 19 3" xfId="196" xr:uid="{00000000-0005-0000-0000-0000AC000000}"/>
    <cellStyle name="Normal 19 4" xfId="194" xr:uid="{00000000-0005-0000-0000-0000AD000000}"/>
    <cellStyle name="Normal 2" xfId="27" xr:uid="{00000000-0005-0000-0000-0000AE000000}"/>
    <cellStyle name="Normal 2 10" xfId="198" xr:uid="{00000000-0005-0000-0000-0000AF000000}"/>
    <cellStyle name="Normal 2 11" xfId="197" xr:uid="{00000000-0005-0000-0000-0000B0000000}"/>
    <cellStyle name="Normal 2 2" xfId="28" xr:uid="{00000000-0005-0000-0000-0000B1000000}"/>
    <cellStyle name="Normal 2 2 2" xfId="59" xr:uid="{00000000-0005-0000-0000-0000B2000000}"/>
    <cellStyle name="Normal 2 2 2 2" xfId="200" xr:uid="{00000000-0005-0000-0000-0000B3000000}"/>
    <cellStyle name="Normal 2 2 3" xfId="201" xr:uid="{00000000-0005-0000-0000-0000B4000000}"/>
    <cellStyle name="Normal 2 2 4" xfId="199" xr:uid="{00000000-0005-0000-0000-0000B5000000}"/>
    <cellStyle name="Normal 2 3" xfId="202" xr:uid="{00000000-0005-0000-0000-0000B6000000}"/>
    <cellStyle name="Normal 2 3 2" xfId="203" xr:uid="{00000000-0005-0000-0000-0000B7000000}"/>
    <cellStyle name="Normal 2 3 3" xfId="204" xr:uid="{00000000-0005-0000-0000-0000B8000000}"/>
    <cellStyle name="Normal 2 4" xfId="205" xr:uid="{00000000-0005-0000-0000-0000B9000000}"/>
    <cellStyle name="Normal 2 4 2" xfId="206" xr:uid="{00000000-0005-0000-0000-0000BA000000}"/>
    <cellStyle name="Normal 2 4 3" xfId="207" xr:uid="{00000000-0005-0000-0000-0000BB000000}"/>
    <cellStyle name="Normal 2 5" xfId="208" xr:uid="{00000000-0005-0000-0000-0000BC000000}"/>
    <cellStyle name="Normal 2 5 2" xfId="209" xr:uid="{00000000-0005-0000-0000-0000BD000000}"/>
    <cellStyle name="Normal 2 5 3" xfId="210" xr:uid="{00000000-0005-0000-0000-0000BE000000}"/>
    <cellStyle name="Normal 2 6" xfId="211" xr:uid="{00000000-0005-0000-0000-0000BF000000}"/>
    <cellStyle name="Normal 2 6 2" xfId="212" xr:uid="{00000000-0005-0000-0000-0000C0000000}"/>
    <cellStyle name="Normal 2 6 3" xfId="213" xr:uid="{00000000-0005-0000-0000-0000C1000000}"/>
    <cellStyle name="Normal 2 7" xfId="214" xr:uid="{00000000-0005-0000-0000-0000C2000000}"/>
    <cellStyle name="Normal 2 7 2" xfId="215" xr:uid="{00000000-0005-0000-0000-0000C3000000}"/>
    <cellStyle name="Normal 2 7 3" xfId="216" xr:uid="{00000000-0005-0000-0000-0000C4000000}"/>
    <cellStyle name="Normal 2 8" xfId="217" xr:uid="{00000000-0005-0000-0000-0000C5000000}"/>
    <cellStyle name="Normal 2 8 2" xfId="218" xr:uid="{00000000-0005-0000-0000-0000C6000000}"/>
    <cellStyle name="Normal 2 8 3" xfId="219" xr:uid="{00000000-0005-0000-0000-0000C7000000}"/>
    <cellStyle name="Normal 2 9" xfId="220" xr:uid="{00000000-0005-0000-0000-0000C8000000}"/>
    <cellStyle name="Normal 20" xfId="108" xr:uid="{00000000-0005-0000-0000-0000C9000000}"/>
    <cellStyle name="Normal 21" xfId="110" xr:uid="{00000000-0005-0000-0000-0000CA000000}"/>
    <cellStyle name="Normal 22" xfId="112" xr:uid="{00000000-0005-0000-0000-0000CB000000}"/>
    <cellStyle name="Normal 23" xfId="115" xr:uid="{00000000-0005-0000-0000-0000CC000000}"/>
    <cellStyle name="Normal 24" xfId="116" xr:uid="{00000000-0005-0000-0000-0000CD000000}"/>
    <cellStyle name="Normal 25" xfId="137" xr:uid="{00000000-0005-0000-0000-0000CE000000}"/>
    <cellStyle name="Normal 26" xfId="139" xr:uid="{00000000-0005-0000-0000-0000CF000000}"/>
    <cellStyle name="Normal 27" xfId="258" xr:uid="{00000000-0005-0000-0000-0000D0000000}"/>
    <cellStyle name="Normal 28" xfId="262" xr:uid="{00000000-0005-0000-0000-0000D1000000}"/>
    <cellStyle name="Normal 29" xfId="274" xr:uid="{00000000-0005-0000-0000-0000D2000000}"/>
    <cellStyle name="Normal 3" xfId="29" xr:uid="{00000000-0005-0000-0000-0000D3000000}"/>
    <cellStyle name="Normal 3 2" xfId="221" xr:uid="{00000000-0005-0000-0000-0000D4000000}"/>
    <cellStyle name="Normal 3 2 2" xfId="222" xr:uid="{00000000-0005-0000-0000-0000D5000000}"/>
    <cellStyle name="Normal 3 2 3" xfId="223" xr:uid="{00000000-0005-0000-0000-0000D6000000}"/>
    <cellStyle name="Normal 3 3" xfId="224" xr:uid="{00000000-0005-0000-0000-0000D7000000}"/>
    <cellStyle name="Normal 3 3 2" xfId="225" xr:uid="{00000000-0005-0000-0000-0000D8000000}"/>
    <cellStyle name="Normal 3 3 3" xfId="226" xr:uid="{00000000-0005-0000-0000-0000D9000000}"/>
    <cellStyle name="Normal 3 4" xfId="227" xr:uid="{00000000-0005-0000-0000-0000DA000000}"/>
    <cellStyle name="Normal 3 4 2" xfId="228" xr:uid="{00000000-0005-0000-0000-0000DB000000}"/>
    <cellStyle name="Normal 3 4 3" xfId="229" xr:uid="{00000000-0005-0000-0000-0000DC000000}"/>
    <cellStyle name="Normal 3 5" xfId="230" xr:uid="{00000000-0005-0000-0000-0000DD000000}"/>
    <cellStyle name="Normal 3 5 2" xfId="231" xr:uid="{00000000-0005-0000-0000-0000DE000000}"/>
    <cellStyle name="Normal 3 5 3" xfId="232" xr:uid="{00000000-0005-0000-0000-0000DF000000}"/>
    <cellStyle name="Normal 3 6" xfId="233" xr:uid="{00000000-0005-0000-0000-0000E0000000}"/>
    <cellStyle name="Normal 3 6 2" xfId="234" xr:uid="{00000000-0005-0000-0000-0000E1000000}"/>
    <cellStyle name="Normal 3 6 3" xfId="235" xr:uid="{00000000-0005-0000-0000-0000E2000000}"/>
    <cellStyle name="Normal 3 7" xfId="236" xr:uid="{00000000-0005-0000-0000-0000E3000000}"/>
    <cellStyle name="Normal 3 7 2" xfId="237" xr:uid="{00000000-0005-0000-0000-0000E4000000}"/>
    <cellStyle name="Normal 3 7 3" xfId="238" xr:uid="{00000000-0005-0000-0000-0000E5000000}"/>
    <cellStyle name="Normal 3 8" xfId="239" xr:uid="{00000000-0005-0000-0000-0000E6000000}"/>
    <cellStyle name="Normal 3 8 2" xfId="240" xr:uid="{00000000-0005-0000-0000-0000E7000000}"/>
    <cellStyle name="Normal 3 8 3" xfId="241" xr:uid="{00000000-0005-0000-0000-0000E8000000}"/>
    <cellStyle name="Normal 30" xfId="271" xr:uid="{00000000-0005-0000-0000-0000E9000000}"/>
    <cellStyle name="Normal 31" xfId="260" xr:uid="{00000000-0005-0000-0000-0000EA000000}"/>
    <cellStyle name="Normal 32" xfId="261" xr:uid="{00000000-0005-0000-0000-0000EB000000}"/>
    <cellStyle name="Normal 33" xfId="279" xr:uid="{00000000-0005-0000-0000-0000EC000000}"/>
    <cellStyle name="Normal 34" xfId="285" xr:uid="{00000000-0005-0000-0000-0000ED000000}"/>
    <cellStyle name="Normal 35" xfId="283" xr:uid="{00000000-0005-0000-0000-0000EE000000}"/>
    <cellStyle name="Normal 36" xfId="284" xr:uid="{00000000-0005-0000-0000-0000EF000000}"/>
    <cellStyle name="Normal 37" xfId="282" xr:uid="{00000000-0005-0000-0000-0000F0000000}"/>
    <cellStyle name="Normal 38" xfId="62" xr:uid="{00000000-0005-0000-0000-0000F1000000}"/>
    <cellStyle name="Normal 4" xfId="30" xr:uid="{00000000-0005-0000-0000-0000F2000000}"/>
    <cellStyle name="Normal 4 2" xfId="57" xr:uid="{00000000-0005-0000-0000-0000F3000000}"/>
    <cellStyle name="Normal 4 2 2" xfId="243" xr:uid="{00000000-0005-0000-0000-0000F4000000}"/>
    <cellStyle name="Normal 4 2 3" xfId="133" xr:uid="{00000000-0005-0000-0000-0000F5000000}"/>
    <cellStyle name="Normal 4 3" xfId="48" xr:uid="{00000000-0005-0000-0000-0000F6000000}"/>
    <cellStyle name="Normal 4 3 2" xfId="244" xr:uid="{00000000-0005-0000-0000-0000F7000000}"/>
    <cellStyle name="Normal 4 4" xfId="242" xr:uid="{00000000-0005-0000-0000-0000F8000000}"/>
    <cellStyle name="Normal 4 5" xfId="259" xr:uid="{00000000-0005-0000-0000-0000F9000000}"/>
    <cellStyle name="Normal 48" xfId="31" xr:uid="{00000000-0005-0000-0000-0000FA000000}"/>
    <cellStyle name="Normal 5" xfId="32" xr:uid="{00000000-0005-0000-0000-0000FB000000}"/>
    <cellStyle name="Normal 5 2" xfId="49" xr:uid="{00000000-0005-0000-0000-0000FC000000}"/>
    <cellStyle name="Normal 5 2 2" xfId="135" xr:uid="{00000000-0005-0000-0000-0000FD000000}"/>
    <cellStyle name="Normal 5 3" xfId="245" xr:uid="{00000000-0005-0000-0000-0000FE000000}"/>
    <cellStyle name="Normal 5 4" xfId="280" xr:uid="{00000000-0005-0000-0000-0000FF000000}"/>
    <cellStyle name="Normal 6" xfId="33" xr:uid="{00000000-0005-0000-0000-000000010000}"/>
    <cellStyle name="Normal 6 2" xfId="50" xr:uid="{00000000-0005-0000-0000-000001010000}"/>
    <cellStyle name="Normal 7" xfId="34" xr:uid="{00000000-0005-0000-0000-000002010000}"/>
    <cellStyle name="Normal 7 2" xfId="51" xr:uid="{00000000-0005-0000-0000-000003010000}"/>
    <cellStyle name="Normal 7 2 2" xfId="252" xr:uid="{00000000-0005-0000-0000-000004010000}"/>
    <cellStyle name="Normal 7 3" xfId="277" xr:uid="{00000000-0005-0000-0000-000005010000}"/>
    <cellStyle name="Normal 8" xfId="35" xr:uid="{00000000-0005-0000-0000-000006010000}"/>
    <cellStyle name="Normal 8 2" xfId="52" xr:uid="{00000000-0005-0000-0000-000007010000}"/>
    <cellStyle name="Normal 9" xfId="36" xr:uid="{00000000-0005-0000-0000-000008010000}"/>
    <cellStyle name="Normal 9 2" xfId="53" xr:uid="{00000000-0005-0000-0000-000009010000}"/>
    <cellStyle name="Normal 9 2 2" xfId="253" xr:uid="{00000000-0005-0000-0000-00000A010000}"/>
    <cellStyle name="Note 2" xfId="106" xr:uid="{00000000-0005-0000-0000-00000B010000}"/>
    <cellStyle name="Note 2 2" xfId="246" xr:uid="{00000000-0005-0000-0000-00000C010000}"/>
    <cellStyle name="Note 2 3" xfId="278" xr:uid="{00000000-0005-0000-0000-00000D010000}"/>
    <cellStyle name="Note 3" xfId="117" xr:uid="{00000000-0005-0000-0000-00000E010000}"/>
    <cellStyle name="Obično_KnjigaZIKS i Min pomorstva i saobracaja" xfId="37" xr:uid="{00000000-0005-0000-0000-00000F010000}"/>
    <cellStyle name="Output 2" xfId="247" xr:uid="{00000000-0005-0000-0000-000010010000}"/>
    <cellStyle name="Output 3" xfId="74" xr:uid="{00000000-0005-0000-0000-000011010000}"/>
    <cellStyle name="Percent 2" xfId="58" xr:uid="{00000000-0005-0000-0000-000012010000}"/>
    <cellStyle name="percentage difference" xfId="38" xr:uid="{00000000-0005-0000-0000-000013010000}"/>
    <cellStyle name="percentage difference 2" xfId="47" xr:uid="{00000000-0005-0000-0000-000014010000}"/>
    <cellStyle name="percentage difference 3" xfId="248" xr:uid="{00000000-0005-0000-0000-000015010000}"/>
    <cellStyle name="Publication" xfId="39" xr:uid="{00000000-0005-0000-0000-000016010000}"/>
    <cellStyle name="Standard_Tabellenteil in EURO" xfId="134" xr:uid="{00000000-0005-0000-0000-000017010000}"/>
    <cellStyle name="Title 2" xfId="249" xr:uid="{00000000-0005-0000-0000-000018010000}"/>
    <cellStyle name="Title 3" xfId="65" xr:uid="{00000000-0005-0000-0000-000019010000}"/>
    <cellStyle name="Total 2" xfId="250" xr:uid="{00000000-0005-0000-0000-00001A010000}"/>
    <cellStyle name="Total 3" xfId="80" xr:uid="{00000000-0005-0000-0000-00001B010000}"/>
    <cellStyle name="Warning Text 2" xfId="251" xr:uid="{00000000-0005-0000-0000-00001C010000}"/>
    <cellStyle name="Warning Text 3" xfId="78" xr:uid="{00000000-0005-0000-0000-00001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a:t>
          </a:r>
          <a:r>
            <a:rPr lang="sr-Latn-ME" sz="1100" b="0" i="0" u="none" strike="noStrike" baseline="0">
              <a:solidFill>
                <a:schemeClr val="dk1"/>
              </a:solidFill>
              <a:effectLst/>
              <a:latin typeface="+mn-lt"/>
              <a:ea typeface="+mn-ea"/>
              <a:cs typeface="+mn-cs"/>
            </a:rPr>
            <a:t>4</a:t>
          </a:r>
          <a:r>
            <a:rPr lang="sr-Latn-CS" sz="1100" b="0" i="0" u="none" strike="noStrike" baseline="0">
              <a:solidFill>
                <a:schemeClr val="dk1"/>
              </a:solidFill>
              <a:effectLst/>
              <a:latin typeface="+mn-lt"/>
              <a:ea typeface="+mn-ea"/>
              <a:cs typeface="+mn-cs"/>
            </a:rPr>
            <a:t>.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2024.</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zoomScale="85" zoomScaleNormal="85" workbookViewId="0">
      <selection activeCell="I27" sqref="I27"/>
    </sheetView>
  </sheetViews>
  <sheetFormatPr defaultRowHeight="12.75"/>
  <cols>
    <col min="4" max="4" width="25.28515625" customWidth="1"/>
    <col min="7" max="7" width="24.28515625" customWidth="1"/>
    <col min="10" max="10" width="26.42578125" customWidth="1"/>
  </cols>
  <sheetData>
    <row r="2" spans="2:11">
      <c r="D2" s="67" t="s">
        <v>169</v>
      </c>
    </row>
    <row r="3" spans="2:11">
      <c r="D3" s="67" t="s">
        <v>181</v>
      </c>
    </row>
    <row r="4" spans="2:11">
      <c r="D4" s="67" t="s">
        <v>170</v>
      </c>
    </row>
    <row r="5" spans="2:11" ht="13.5" thickBot="1"/>
    <row r="6" spans="2:11">
      <c r="B6" s="45"/>
      <c r="C6" s="46"/>
      <c r="D6" s="46"/>
      <c r="E6" s="46"/>
      <c r="F6" s="46"/>
      <c r="G6" s="46"/>
      <c r="H6" s="46"/>
      <c r="I6" s="46"/>
      <c r="J6" s="46"/>
      <c r="K6" s="47"/>
    </row>
    <row r="7" spans="2:11">
      <c r="B7" s="48"/>
      <c r="C7" s="110" t="s">
        <v>163</v>
      </c>
      <c r="D7" s="110"/>
      <c r="E7" s="49"/>
      <c r="F7" s="110" t="s">
        <v>164</v>
      </c>
      <c r="G7" s="110"/>
      <c r="H7" s="49"/>
      <c r="I7" s="110" t="s">
        <v>165</v>
      </c>
      <c r="J7" s="110"/>
      <c r="K7" s="50"/>
    </row>
    <row r="8" spans="2:11">
      <c r="B8" s="48"/>
      <c r="C8" s="51"/>
      <c r="D8" s="49"/>
      <c r="E8" s="49"/>
      <c r="F8" s="49"/>
      <c r="G8" s="49"/>
      <c r="H8" s="49"/>
      <c r="I8" s="49"/>
      <c r="J8" s="49"/>
      <c r="K8" s="50"/>
    </row>
    <row r="9" spans="2:11" ht="15">
      <c r="B9" s="48"/>
      <c r="C9" s="52" t="s">
        <v>166</v>
      </c>
      <c r="D9" s="53"/>
      <c r="E9" s="53"/>
      <c r="F9" s="52" t="str">
        <f>+C9</f>
        <v>Prihodi/Revenues</v>
      </c>
      <c r="G9" s="54"/>
      <c r="H9" s="55"/>
      <c r="I9" s="52" t="str">
        <f>+F9</f>
        <v>Prihodi/Revenues</v>
      </c>
      <c r="J9" s="54"/>
      <c r="K9" s="50"/>
    </row>
    <row r="10" spans="2:11">
      <c r="B10" s="48"/>
      <c r="C10" s="56">
        <f>+'Centralna država-ek klas'!C6</f>
        <v>1309179714.48</v>
      </c>
      <c r="D10" s="57">
        <f>+'Centralna država-ek klas'!D6</f>
        <v>18.612165403468868</v>
      </c>
      <c r="E10" s="49"/>
      <c r="F10" s="58">
        <f>+'Lokalna država-ek klas '!C6</f>
        <v>188361388.484</v>
      </c>
      <c r="G10" s="57">
        <f>+'Lokalna država-ek klas '!D6</f>
        <v>2.67787018032414</v>
      </c>
      <c r="H10" s="55"/>
      <c r="I10" s="58">
        <f>+'Opšta država-ek klas'!C6</f>
        <v>1497541102.9640002</v>
      </c>
      <c r="J10" s="57">
        <f>+'Opšta država-ek klas'!D6</f>
        <v>21.29003558379301</v>
      </c>
      <c r="K10" s="50"/>
    </row>
    <row r="11" spans="2:11">
      <c r="B11" s="48"/>
      <c r="C11" s="59" t="s">
        <v>161</v>
      </c>
      <c r="D11" s="59" t="s">
        <v>162</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167</v>
      </c>
      <c r="D13" s="55"/>
      <c r="E13" s="49"/>
      <c r="F13" s="52" t="str">
        <f>+C13</f>
        <v>Rashodi/Expenditures</v>
      </c>
      <c r="G13" s="54"/>
      <c r="H13" s="55"/>
      <c r="I13" s="52" t="str">
        <f>+F13</f>
        <v>Rashodi/Expenditures</v>
      </c>
      <c r="J13" s="54"/>
      <c r="K13" s="50"/>
    </row>
    <row r="14" spans="2:11">
      <c r="B14" s="48"/>
      <c r="C14" s="56">
        <f>+'Centralna država-ek klas'!C39</f>
        <v>1278685424.8799999</v>
      </c>
      <c r="D14" s="57">
        <f>+'Centralna država-ek klas'!D39</f>
        <v>18.178638397497863</v>
      </c>
      <c r="E14" s="49"/>
      <c r="F14" s="58">
        <f>+'Lokalna država-ek klas '!C37</f>
        <v>176043392.64300004</v>
      </c>
      <c r="G14" s="57">
        <f>+'Lokalna država-ek klas '!D37</f>
        <v>2.502749397824851</v>
      </c>
      <c r="H14" s="55"/>
      <c r="I14" s="58">
        <f>+'Opšta država-ek klas'!C27</f>
        <v>1454728817.523</v>
      </c>
      <c r="J14" s="57">
        <f>+'Opšta država-ek klas'!D27</f>
        <v>20.681387795322717</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168</v>
      </c>
      <c r="D17" s="49"/>
      <c r="E17" s="49"/>
      <c r="F17" s="52" t="str">
        <f>+C17</f>
        <v>Budžetski bilans/ Budget balance</v>
      </c>
      <c r="G17" s="54"/>
      <c r="H17" s="55"/>
      <c r="I17" s="52" t="str">
        <f>+F17</f>
        <v>Budžetski bilans/ Budget balance</v>
      </c>
      <c r="J17" s="54"/>
      <c r="K17" s="50"/>
    </row>
    <row r="18" spans="2:11">
      <c r="B18" s="48"/>
      <c r="C18" s="56">
        <f>+'Centralna država-ek klas'!C62</f>
        <v>30494289.600000143</v>
      </c>
      <c r="D18" s="57">
        <f>+'Centralna država-ek klas'!D62</f>
        <v>0.43352700597100002</v>
      </c>
      <c r="E18" s="49"/>
      <c r="F18" s="58">
        <f>+'Lokalna država-ek klas '!C55</f>
        <v>12317995.840999961</v>
      </c>
      <c r="G18" s="57">
        <f>+'Lokalna država-ek klas '!D55</f>
        <v>0.17512078249928861</v>
      </c>
      <c r="H18" s="55"/>
      <c r="I18" s="58">
        <f>+'Opšta država-ek klas'!C45</f>
        <v>42812285.441000223</v>
      </c>
      <c r="J18" s="57">
        <f>+'Opšta država-ek klas'!D45</f>
        <v>0.60864778847029033</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88"/>
    </row>
    <row r="24" spans="2:11">
      <c r="D24" s="88"/>
    </row>
    <row r="25" spans="2:11">
      <c r="D25" s="88"/>
    </row>
    <row r="41" spans="19:19" ht="15">
      <c r="S41" s="68"/>
    </row>
    <row r="42" spans="19:19" ht="15">
      <c r="S42" s="68"/>
    </row>
  </sheetData>
  <sheetProtection algorithmName="SHA-512" hashValue="RbCb3YwSayr40MX8R+LVO1hUtC6Q6xIFbFaMZroqIxg3uXhZgfDqi+opgqSxgUvvoiPSfDraaM0neJ7ZycvieA==" saltValue="Cr7tONHysjmk800Klgszzg=="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42" activePane="bottomLeft" state="frozen"/>
      <selection activeCell="G14" sqref="G14"/>
      <selection pane="bottomLeft" activeCell="L7" sqref="L7:L78"/>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96" customWidth="1"/>
    <col min="9" max="9" width="11.140625" style="6" customWidth="1"/>
    <col min="10" max="10" width="10.28515625" style="7" customWidth="1"/>
    <col min="11" max="11" width="10.7109375" style="6" customWidth="1"/>
    <col min="12" max="12" width="12" style="96" customWidth="1"/>
    <col min="13" max="13" width="59.5703125" style="4" bestFit="1"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58</v>
      </c>
      <c r="B2" s="8"/>
      <c r="C2" s="111">
        <v>7034000000</v>
      </c>
      <c r="D2" s="112"/>
      <c r="E2" s="111">
        <v>7034000000</v>
      </c>
      <c r="F2" s="112"/>
      <c r="G2" s="9"/>
      <c r="H2" s="97"/>
      <c r="I2" s="111">
        <v>6847118000</v>
      </c>
      <c r="J2" s="112"/>
      <c r="K2" s="9"/>
      <c r="L2" s="97"/>
      <c r="M2" s="8" t="s">
        <v>78</v>
      </c>
    </row>
    <row r="3" spans="1:13" ht="15" customHeight="1" thickBot="1">
      <c r="A3" s="8"/>
      <c r="B3" s="8"/>
      <c r="C3" s="11"/>
      <c r="D3" s="8"/>
      <c r="E3" s="11"/>
      <c r="F3" s="10"/>
      <c r="G3" s="11"/>
      <c r="H3" s="97"/>
      <c r="I3" s="11"/>
      <c r="J3" s="10"/>
      <c r="K3" s="11"/>
      <c r="L3" s="97"/>
      <c r="M3" s="8"/>
    </row>
    <row r="4" spans="1:13" ht="15" customHeight="1">
      <c r="A4" s="117" t="s">
        <v>70</v>
      </c>
      <c r="B4" s="115" t="s">
        <v>71</v>
      </c>
      <c r="C4" s="121" t="s">
        <v>194</v>
      </c>
      <c r="D4" s="122"/>
      <c r="E4" s="123" t="s">
        <v>195</v>
      </c>
      <c r="F4" s="124"/>
      <c r="G4" s="119" t="s">
        <v>171</v>
      </c>
      <c r="H4" s="120"/>
      <c r="I4" s="119" t="s">
        <v>196</v>
      </c>
      <c r="J4" s="120"/>
      <c r="K4" s="119" t="s">
        <v>171</v>
      </c>
      <c r="L4" s="120"/>
      <c r="M4" s="113" t="s">
        <v>148</v>
      </c>
    </row>
    <row r="5" spans="1:13" ht="27" customHeight="1">
      <c r="A5" s="118"/>
      <c r="B5" s="116"/>
      <c r="C5" s="12" t="s">
        <v>61</v>
      </c>
      <c r="D5" s="13" t="s">
        <v>56</v>
      </c>
      <c r="E5" s="12" t="s">
        <v>61</v>
      </c>
      <c r="F5" s="13" t="s">
        <v>56</v>
      </c>
      <c r="G5" s="12" t="s">
        <v>64</v>
      </c>
      <c r="H5" s="98" t="s">
        <v>62</v>
      </c>
      <c r="I5" s="12" t="s">
        <v>61</v>
      </c>
      <c r="J5" s="14" t="s">
        <v>56</v>
      </c>
      <c r="K5" s="12" t="s">
        <v>61</v>
      </c>
      <c r="L5" s="100" t="s">
        <v>62</v>
      </c>
      <c r="M5" s="114"/>
    </row>
    <row r="6" spans="1:13" ht="15" customHeight="1">
      <c r="A6" s="15"/>
      <c r="B6" s="16" t="s">
        <v>51</v>
      </c>
      <c r="C6" s="17">
        <f>+C7+C15+C20+C25+C32+C37+C38</f>
        <v>1309179714.48</v>
      </c>
      <c r="D6" s="39">
        <f>IFERROR(C6/$C$2*100,0)</f>
        <v>18.612165403468868</v>
      </c>
      <c r="E6" s="17">
        <f>+E7+E15+E20+E25+E32+E37+E38</f>
        <v>1233777000.3179073</v>
      </c>
      <c r="F6" s="39">
        <f>IFERROR(E6/$E$2*100,0)</f>
        <v>17.540190507789415</v>
      </c>
      <c r="G6" s="17">
        <f>+C6-E6</f>
        <v>75402714.162092686</v>
      </c>
      <c r="H6" s="93">
        <f>IFERROR(C6/E6*100-100,0)</f>
        <v>6.1115350782729507</v>
      </c>
      <c r="I6" s="17">
        <f>+I7+I15+I20+I25+I32+I37+I38</f>
        <v>1236468238.8300002</v>
      </c>
      <c r="J6" s="39">
        <f>IFERROR(I6/$I$2*100,0)</f>
        <v>18.058228861106237</v>
      </c>
      <c r="K6" s="17">
        <f>+C6-I6</f>
        <v>72711475.649999857</v>
      </c>
      <c r="L6" s="93">
        <f>IFERROR(C6/I6*100-100,0)</f>
        <v>5.8805777104960413</v>
      </c>
      <c r="M6" s="80" t="s">
        <v>149</v>
      </c>
    </row>
    <row r="7" spans="1:13" ht="15" customHeight="1">
      <c r="A7" s="18">
        <v>711</v>
      </c>
      <c r="B7" s="19" t="s">
        <v>1</v>
      </c>
      <c r="C7" s="20">
        <f>+SUM(C8:C14)</f>
        <v>959313974.54999995</v>
      </c>
      <c r="D7" s="40">
        <f t="shared" ref="D7:D70" si="0">IFERROR(C7/$C$2*100,0)</f>
        <v>13.63824245877168</v>
      </c>
      <c r="E7" s="20">
        <f>+SUM(E8:E14)</f>
        <v>898543595.2253648</v>
      </c>
      <c r="F7" s="40">
        <f t="shared" ref="F7:F70" si="1">IFERROR(E7/$E$2*100,0)</f>
        <v>12.774290520690428</v>
      </c>
      <c r="G7" s="20">
        <f t="shared" ref="G7:G62" si="2">+C7-E7</f>
        <v>60770379.324635148</v>
      </c>
      <c r="H7" s="89">
        <f t="shared" ref="H7:H70" si="3">IFERROR(C7/E7*100-100,0)</f>
        <v>6.7632087800250957</v>
      </c>
      <c r="I7" s="20">
        <f>+SUM(I8:I14)</f>
        <v>800204074.13999999</v>
      </c>
      <c r="J7" s="40">
        <f t="shared" ref="J7:J70" si="4">IFERROR(I7/$I$2*100,0)</f>
        <v>11.686728257640659</v>
      </c>
      <c r="K7" s="20">
        <f t="shared" ref="K7:K38" si="5">+C7-I7</f>
        <v>159109900.40999997</v>
      </c>
      <c r="L7" s="89">
        <f t="shared" ref="L7:L70" si="6">IFERROR(C7/I7*100-100,0)</f>
        <v>19.883665373860964</v>
      </c>
      <c r="M7" s="71" t="s">
        <v>79</v>
      </c>
    </row>
    <row r="8" spans="1:13" ht="15" customHeight="1">
      <c r="A8" s="21">
        <v>7111</v>
      </c>
      <c r="B8" s="22" t="s">
        <v>2</v>
      </c>
      <c r="C8" s="23">
        <v>37769481.850000001</v>
      </c>
      <c r="D8" s="41">
        <f t="shared" si="0"/>
        <v>0.53695595464884849</v>
      </c>
      <c r="E8" s="23">
        <v>30948850.904415201</v>
      </c>
      <c r="F8" s="41">
        <f t="shared" si="1"/>
        <v>0.43998935036131931</v>
      </c>
      <c r="G8" s="23">
        <f t="shared" si="2"/>
        <v>6820630.9455848001</v>
      </c>
      <c r="H8" s="94">
        <f t="shared" si="3"/>
        <v>22.038398022111252</v>
      </c>
      <c r="I8" s="23">
        <v>25446607.539999999</v>
      </c>
      <c r="J8" s="41">
        <f t="shared" si="4"/>
        <v>0.3716396816879744</v>
      </c>
      <c r="K8" s="23">
        <f t="shared" si="5"/>
        <v>12322874.310000002</v>
      </c>
      <c r="L8" s="94">
        <f t="shared" si="6"/>
        <v>48.426393540394116</v>
      </c>
      <c r="M8" s="72" t="s">
        <v>80</v>
      </c>
    </row>
    <row r="9" spans="1:13" ht="15" customHeight="1">
      <c r="A9" s="21">
        <v>7112</v>
      </c>
      <c r="B9" s="22" t="s">
        <v>3</v>
      </c>
      <c r="C9" s="23">
        <v>191189769.47999999</v>
      </c>
      <c r="D9" s="41">
        <f t="shared" si="0"/>
        <v>2.7180803167472276</v>
      </c>
      <c r="E9" s="23">
        <v>141231727.92810538</v>
      </c>
      <c r="F9" s="41">
        <f t="shared" si="1"/>
        <v>2.0078437294299882</v>
      </c>
      <c r="G9" s="23">
        <f t="shared" si="2"/>
        <v>49958041.551894605</v>
      </c>
      <c r="H9" s="94">
        <f t="shared" si="3"/>
        <v>35.373100849779263</v>
      </c>
      <c r="I9" s="23">
        <v>131603996.28999999</v>
      </c>
      <c r="J9" s="41">
        <f t="shared" si="4"/>
        <v>1.9220348808067862</v>
      </c>
      <c r="K9" s="23">
        <f t="shared" si="5"/>
        <v>59585773.189999998</v>
      </c>
      <c r="L9" s="94">
        <f t="shared" si="6"/>
        <v>45.276568242424759</v>
      </c>
      <c r="M9" s="72" t="s">
        <v>81</v>
      </c>
    </row>
    <row r="10" spans="1:13" ht="15" customHeight="1">
      <c r="A10" s="21">
        <v>7113</v>
      </c>
      <c r="B10" s="22" t="s">
        <v>4</v>
      </c>
      <c r="C10" s="23">
        <v>0</v>
      </c>
      <c r="D10" s="41">
        <f t="shared" si="0"/>
        <v>0</v>
      </c>
      <c r="E10" s="23">
        <v>0</v>
      </c>
      <c r="F10" s="41">
        <f t="shared" si="1"/>
        <v>0</v>
      </c>
      <c r="G10" s="23">
        <f t="shared" si="2"/>
        <v>0</v>
      </c>
      <c r="H10" s="94">
        <f t="shared" si="3"/>
        <v>0</v>
      </c>
      <c r="I10" s="23">
        <v>0</v>
      </c>
      <c r="J10" s="41">
        <f t="shared" si="4"/>
        <v>0</v>
      </c>
      <c r="K10" s="23">
        <f t="shared" si="5"/>
        <v>0</v>
      </c>
      <c r="L10" s="94">
        <f t="shared" si="6"/>
        <v>0</v>
      </c>
      <c r="M10" s="72" t="s">
        <v>82</v>
      </c>
    </row>
    <row r="11" spans="1:13" ht="15" customHeight="1">
      <c r="A11" s="21">
        <v>7114</v>
      </c>
      <c r="B11" s="22" t="s">
        <v>5</v>
      </c>
      <c r="C11" s="23">
        <v>535961758.94</v>
      </c>
      <c r="D11" s="41">
        <f t="shared" si="0"/>
        <v>7.619587133067955</v>
      </c>
      <c r="E11" s="23">
        <v>536608672.65978539</v>
      </c>
      <c r="F11" s="41">
        <f t="shared" si="1"/>
        <v>7.6287840867185857</v>
      </c>
      <c r="G11" s="23">
        <f t="shared" si="2"/>
        <v>-646913.71978539228</v>
      </c>
      <c r="H11" s="94">
        <f t="shared" si="3"/>
        <v>-0.12055595683514753</v>
      </c>
      <c r="I11" s="23">
        <v>475587698.05000001</v>
      </c>
      <c r="J11" s="41">
        <f t="shared" si="4"/>
        <v>6.9458084123860582</v>
      </c>
      <c r="K11" s="23">
        <f t="shared" si="5"/>
        <v>60374060.889999986</v>
      </c>
      <c r="L11" s="94">
        <f t="shared" si="6"/>
        <v>12.694622072342312</v>
      </c>
      <c r="M11" s="72" t="s">
        <v>83</v>
      </c>
    </row>
    <row r="12" spans="1:13" ht="15" customHeight="1">
      <c r="A12" s="21">
        <v>7115</v>
      </c>
      <c r="B12" s="22" t="s">
        <v>6</v>
      </c>
      <c r="C12" s="23">
        <v>160218575.27000001</v>
      </c>
      <c r="D12" s="41">
        <f t="shared" si="0"/>
        <v>2.2777733191640603</v>
      </c>
      <c r="E12" s="23">
        <v>156267237.32614911</v>
      </c>
      <c r="F12" s="41">
        <f t="shared" si="1"/>
        <v>2.2215984834539251</v>
      </c>
      <c r="G12" s="23">
        <f t="shared" si="2"/>
        <v>3951337.9438509047</v>
      </c>
      <c r="H12" s="94">
        <f t="shared" si="3"/>
        <v>2.528577334226469</v>
      </c>
      <c r="I12" s="23">
        <v>136710345.29999998</v>
      </c>
      <c r="J12" s="41">
        <f t="shared" si="4"/>
        <v>1.9966114984435785</v>
      </c>
      <c r="K12" s="23">
        <f t="shared" si="5"/>
        <v>23508229.970000029</v>
      </c>
      <c r="L12" s="94">
        <f t="shared" si="6"/>
        <v>17.195648155531387</v>
      </c>
      <c r="M12" s="72" t="s">
        <v>84</v>
      </c>
    </row>
    <row r="13" spans="1:13" ht="15" customHeight="1">
      <c r="A13" s="21">
        <v>7116</v>
      </c>
      <c r="B13" s="22" t="s">
        <v>7</v>
      </c>
      <c r="C13" s="23">
        <v>27246928.510000002</v>
      </c>
      <c r="D13" s="41">
        <f t="shared" si="0"/>
        <v>0.38736037119704292</v>
      </c>
      <c r="E13" s="23">
        <v>26848404.901829094</v>
      </c>
      <c r="F13" s="41">
        <f t="shared" si="1"/>
        <v>0.38169469578943838</v>
      </c>
      <c r="G13" s="23">
        <f t="shared" si="2"/>
        <v>398523.60817090794</v>
      </c>
      <c r="H13" s="94">
        <f t="shared" si="3"/>
        <v>1.4843474300544273</v>
      </c>
      <c r="I13" s="23">
        <v>24484852.199999999</v>
      </c>
      <c r="J13" s="41">
        <f t="shared" si="4"/>
        <v>0.35759354811761679</v>
      </c>
      <c r="K13" s="23">
        <f t="shared" si="5"/>
        <v>2762076.3100000024</v>
      </c>
      <c r="L13" s="94">
        <f t="shared" si="6"/>
        <v>11.280755495023982</v>
      </c>
      <c r="M13" s="72" t="s">
        <v>85</v>
      </c>
    </row>
    <row r="14" spans="1:13" ht="15" customHeight="1">
      <c r="A14" s="21">
        <v>7118</v>
      </c>
      <c r="B14" s="22" t="s">
        <v>60</v>
      </c>
      <c r="C14" s="23">
        <v>6927460.5</v>
      </c>
      <c r="D14" s="41">
        <f t="shared" si="0"/>
        <v>9.8485363946545335E-2</v>
      </c>
      <c r="E14" s="23">
        <v>6638701.5050805844</v>
      </c>
      <c r="F14" s="41">
        <f t="shared" si="1"/>
        <v>9.4380174937170658E-2</v>
      </c>
      <c r="G14" s="23">
        <f t="shared" si="2"/>
        <v>288758.99491941556</v>
      </c>
      <c r="H14" s="94">
        <f t="shared" si="3"/>
        <v>4.3496306423542137</v>
      </c>
      <c r="I14" s="23">
        <v>6370574.7599999998</v>
      </c>
      <c r="J14" s="41">
        <f t="shared" si="4"/>
        <v>9.3040236198645918E-2</v>
      </c>
      <c r="K14" s="23">
        <f t="shared" si="5"/>
        <v>556885.74000000022</v>
      </c>
      <c r="L14" s="94">
        <f t="shared" si="6"/>
        <v>8.7415305679577386</v>
      </c>
      <c r="M14" s="72" t="s">
        <v>86</v>
      </c>
    </row>
    <row r="15" spans="1:13" ht="15" customHeight="1">
      <c r="A15" s="18">
        <v>712</v>
      </c>
      <c r="B15" s="19" t="s">
        <v>8</v>
      </c>
      <c r="C15" s="20">
        <f>+SUM(C16:C19)</f>
        <v>265955415.06999999</v>
      </c>
      <c r="D15" s="40">
        <f t="shared" si="0"/>
        <v>3.7809982239124253</v>
      </c>
      <c r="E15" s="20">
        <f>+SUM(E16:E19)</f>
        <v>253782738.44578338</v>
      </c>
      <c r="F15" s="40">
        <f t="shared" si="1"/>
        <v>3.6079433955897549</v>
      </c>
      <c r="G15" s="20">
        <f t="shared" si="2"/>
        <v>12172676.624216616</v>
      </c>
      <c r="H15" s="89">
        <f t="shared" si="3"/>
        <v>4.796495103947791</v>
      </c>
      <c r="I15" s="20">
        <f>+SUM(I16:I19)</f>
        <v>241408130.23000002</v>
      </c>
      <c r="J15" s="40">
        <f t="shared" si="4"/>
        <v>3.5256896438764458</v>
      </c>
      <c r="K15" s="20">
        <f t="shared" si="5"/>
        <v>24547284.839999974</v>
      </c>
      <c r="L15" s="89">
        <f t="shared" si="6"/>
        <v>10.168375363585611</v>
      </c>
      <c r="M15" s="71" t="s">
        <v>87</v>
      </c>
    </row>
    <row r="16" spans="1:13" ht="15" customHeight="1">
      <c r="A16" s="21">
        <v>7121</v>
      </c>
      <c r="B16" s="22" t="s">
        <v>9</v>
      </c>
      <c r="C16" s="23">
        <v>244101507.11000001</v>
      </c>
      <c r="D16" s="41">
        <f t="shared" si="0"/>
        <v>3.4703086026442995</v>
      </c>
      <c r="E16" s="23">
        <v>234698201.8945803</v>
      </c>
      <c r="F16" s="41">
        <f t="shared" si="1"/>
        <v>3.3366249913929531</v>
      </c>
      <c r="G16" s="23">
        <f t="shared" si="2"/>
        <v>9403305.2154197097</v>
      </c>
      <c r="H16" s="94">
        <f t="shared" si="3"/>
        <v>4.0065518779063325</v>
      </c>
      <c r="I16" s="23">
        <v>220749150.03</v>
      </c>
      <c r="J16" s="41">
        <f t="shared" si="4"/>
        <v>3.2239717503042886</v>
      </c>
      <c r="K16" s="23">
        <f t="shared" si="5"/>
        <v>23352357.080000013</v>
      </c>
      <c r="L16" s="94">
        <f t="shared" si="6"/>
        <v>10.578684935741052</v>
      </c>
      <c r="M16" s="72" t="s">
        <v>88</v>
      </c>
    </row>
    <row r="17" spans="1:13" ht="15" customHeight="1">
      <c r="A17" s="21">
        <v>7122</v>
      </c>
      <c r="B17" s="22" t="s">
        <v>10</v>
      </c>
      <c r="C17" s="23">
        <v>2309927.13</v>
      </c>
      <c r="D17" s="41">
        <f t="shared" si="0"/>
        <v>3.2839453085015631E-2</v>
      </c>
      <c r="E17" s="23">
        <v>1306618.490073805</v>
      </c>
      <c r="F17" s="41">
        <f t="shared" si="1"/>
        <v>1.8575753341964811E-2</v>
      </c>
      <c r="G17" s="23">
        <f t="shared" si="2"/>
        <v>1003308.6399261949</v>
      </c>
      <c r="H17" s="94">
        <f t="shared" si="3"/>
        <v>76.786655595966835</v>
      </c>
      <c r="I17" s="23">
        <v>3062079.09</v>
      </c>
      <c r="J17" s="41">
        <f t="shared" si="4"/>
        <v>4.472069986233624E-2</v>
      </c>
      <c r="K17" s="23">
        <f t="shared" si="5"/>
        <v>-752151.96</v>
      </c>
      <c r="L17" s="94">
        <f t="shared" si="6"/>
        <v>-24.563439999193491</v>
      </c>
      <c r="M17" s="72" t="s">
        <v>89</v>
      </c>
    </row>
    <row r="18" spans="1:13" ht="15" customHeight="1">
      <c r="A18" s="21">
        <v>7123</v>
      </c>
      <c r="B18" s="22" t="s">
        <v>11</v>
      </c>
      <c r="C18" s="23">
        <v>11381160.689999999</v>
      </c>
      <c r="D18" s="41">
        <f t="shared" si="0"/>
        <v>0.16180211387546203</v>
      </c>
      <c r="E18" s="23">
        <v>9963408.4873554204</v>
      </c>
      <c r="F18" s="41">
        <f t="shared" si="1"/>
        <v>0.14164641011309953</v>
      </c>
      <c r="G18" s="23">
        <f t="shared" si="2"/>
        <v>1417752.2026445791</v>
      </c>
      <c r="H18" s="94">
        <f t="shared" si="3"/>
        <v>14.229590249600335</v>
      </c>
      <c r="I18" s="23">
        <v>10055807.119999999</v>
      </c>
      <c r="J18" s="41">
        <f t="shared" si="4"/>
        <v>0.14686189313518475</v>
      </c>
      <c r="K18" s="23">
        <f t="shared" si="5"/>
        <v>1325353.5700000003</v>
      </c>
      <c r="L18" s="94">
        <f t="shared" si="6"/>
        <v>13.179982016202402</v>
      </c>
      <c r="M18" s="72" t="s">
        <v>90</v>
      </c>
    </row>
    <row r="19" spans="1:13" ht="15" customHeight="1">
      <c r="A19" s="21">
        <v>7124</v>
      </c>
      <c r="B19" s="22" t="s">
        <v>12</v>
      </c>
      <c r="C19" s="23">
        <v>8162820.1399999997</v>
      </c>
      <c r="D19" s="41">
        <f t="shared" si="0"/>
        <v>0.11604805430764857</v>
      </c>
      <c r="E19" s="23">
        <v>7814509.5737738498</v>
      </c>
      <c r="F19" s="41">
        <f t="shared" si="1"/>
        <v>0.11109624074173799</v>
      </c>
      <c r="G19" s="23">
        <f t="shared" si="2"/>
        <v>348310.56622614991</v>
      </c>
      <c r="H19" s="94">
        <f t="shared" si="3"/>
        <v>4.457228735058564</v>
      </c>
      <c r="I19" s="23">
        <v>7541093.9900000002</v>
      </c>
      <c r="J19" s="41">
        <f t="shared" si="4"/>
        <v>0.11013530057463594</v>
      </c>
      <c r="K19" s="23">
        <f t="shared" si="5"/>
        <v>621726.14999999944</v>
      </c>
      <c r="L19" s="94">
        <f t="shared" si="6"/>
        <v>8.2445086989294936</v>
      </c>
      <c r="M19" s="72" t="s">
        <v>91</v>
      </c>
    </row>
    <row r="20" spans="1:13" ht="15" customHeight="1">
      <c r="A20" s="18">
        <v>713</v>
      </c>
      <c r="B20" s="19" t="s">
        <v>13</v>
      </c>
      <c r="C20" s="20">
        <f>SUM(C21:C24)</f>
        <v>6782962.2199999988</v>
      </c>
      <c r="D20" s="40">
        <f t="shared" si="0"/>
        <v>9.6431080750639733E-2</v>
      </c>
      <c r="E20" s="20">
        <f>+SUM(E21:E24)</f>
        <v>6603429.4959609509</v>
      </c>
      <c r="F20" s="40">
        <f t="shared" si="1"/>
        <v>9.3878724708003278E-2</v>
      </c>
      <c r="G20" s="20">
        <f t="shared" si="2"/>
        <v>179532.72403904796</v>
      </c>
      <c r="H20" s="89">
        <f t="shared" si="3"/>
        <v>2.7187800543469081</v>
      </c>
      <c r="I20" s="20">
        <f>+SUM(I21:I24)</f>
        <v>6632095.209999999</v>
      </c>
      <c r="J20" s="40">
        <f t="shared" si="4"/>
        <v>9.6859659932835962E-2</v>
      </c>
      <c r="K20" s="20">
        <f t="shared" si="5"/>
        <v>150867.00999999978</v>
      </c>
      <c r="L20" s="89">
        <f t="shared" si="6"/>
        <v>2.2748016309011945</v>
      </c>
      <c r="M20" s="71" t="s">
        <v>92</v>
      </c>
    </row>
    <row r="21" spans="1:13" ht="15" customHeight="1">
      <c r="A21" s="21">
        <v>7131</v>
      </c>
      <c r="B21" s="22" t="s">
        <v>14</v>
      </c>
      <c r="C21" s="23">
        <v>4709998.0599999996</v>
      </c>
      <c r="D21" s="41">
        <f t="shared" si="0"/>
        <v>6.6960450099516636E-2</v>
      </c>
      <c r="E21" s="23">
        <v>4747435.9122667313</v>
      </c>
      <c r="F21" s="41">
        <f t="shared" si="1"/>
        <v>6.7492691388494896E-2</v>
      </c>
      <c r="G21" s="23">
        <f t="shared" si="2"/>
        <v>-37437.852266731672</v>
      </c>
      <c r="H21" s="94">
        <f t="shared" si="3"/>
        <v>-0.78859099856403247</v>
      </c>
      <c r="I21" s="23">
        <v>4664077.8999999994</v>
      </c>
      <c r="J21" s="41">
        <f t="shared" si="4"/>
        <v>6.8117387490620129E-2</v>
      </c>
      <c r="K21" s="23">
        <f t="shared" si="5"/>
        <v>45920.160000000149</v>
      </c>
      <c r="L21" s="94">
        <f t="shared" si="6"/>
        <v>0.98454959339338188</v>
      </c>
      <c r="M21" s="72" t="s">
        <v>93</v>
      </c>
    </row>
    <row r="22" spans="1:13" ht="15" customHeight="1">
      <c r="A22" s="21">
        <v>7132</v>
      </c>
      <c r="B22" s="22" t="s">
        <v>15</v>
      </c>
      <c r="C22" s="23">
        <v>714698.73</v>
      </c>
      <c r="D22" s="41">
        <f t="shared" si="0"/>
        <v>1.016063022462326E-2</v>
      </c>
      <c r="E22" s="23">
        <v>459112.16345632233</v>
      </c>
      <c r="F22" s="41">
        <f t="shared" si="1"/>
        <v>6.527042414789911E-3</v>
      </c>
      <c r="G22" s="23">
        <f t="shared" si="2"/>
        <v>255586.56654367765</v>
      </c>
      <c r="H22" s="94">
        <f t="shared" si="3"/>
        <v>55.669744103391196</v>
      </c>
      <c r="I22" s="23">
        <v>563639.91999999993</v>
      </c>
      <c r="J22" s="41">
        <f t="shared" si="4"/>
        <v>8.2317833576111867E-3</v>
      </c>
      <c r="K22" s="23">
        <f t="shared" si="5"/>
        <v>151058.81000000006</v>
      </c>
      <c r="L22" s="94">
        <f t="shared" si="6"/>
        <v>26.800587509841407</v>
      </c>
      <c r="M22" s="72" t="s">
        <v>94</v>
      </c>
    </row>
    <row r="23" spans="1:13" ht="15" customHeight="1">
      <c r="A23" s="21">
        <v>7133</v>
      </c>
      <c r="B23" s="22" t="s">
        <v>16</v>
      </c>
      <c r="C23" s="23">
        <v>637008.46</v>
      </c>
      <c r="D23" s="41">
        <f t="shared" si="0"/>
        <v>9.0561339209553598E-3</v>
      </c>
      <c r="E23" s="23">
        <v>763706.90071241907</v>
      </c>
      <c r="F23" s="41">
        <f t="shared" si="1"/>
        <v>1.0857362819340619E-2</v>
      </c>
      <c r="G23" s="23">
        <f t="shared" si="2"/>
        <v>-126698.44071241911</v>
      </c>
      <c r="H23" s="94">
        <f t="shared" si="3"/>
        <v>-16.589930062728158</v>
      </c>
      <c r="I23" s="23">
        <v>678999.54</v>
      </c>
      <c r="J23" s="41">
        <f t="shared" si="4"/>
        <v>9.9165742433531892E-3</v>
      </c>
      <c r="K23" s="23">
        <f t="shared" si="5"/>
        <v>-41991.080000000075</v>
      </c>
      <c r="L23" s="94">
        <f t="shared" si="6"/>
        <v>-6.1842575033261511</v>
      </c>
      <c r="M23" s="72" t="s">
        <v>95</v>
      </c>
    </row>
    <row r="24" spans="1:13" ht="15" customHeight="1">
      <c r="A24" s="21">
        <v>7136</v>
      </c>
      <c r="B24" s="22" t="s">
        <v>18</v>
      </c>
      <c r="C24" s="23">
        <v>721256.97</v>
      </c>
      <c r="D24" s="41">
        <f t="shared" si="0"/>
        <v>1.0253866505544497E-2</v>
      </c>
      <c r="E24" s="23">
        <v>633174.51952547813</v>
      </c>
      <c r="F24" s="41">
        <f t="shared" si="1"/>
        <v>9.0016280853778517E-3</v>
      </c>
      <c r="G24" s="23">
        <f t="shared" si="2"/>
        <v>88082.450474521844</v>
      </c>
      <c r="H24" s="94">
        <f t="shared" si="3"/>
        <v>13.91124370268939</v>
      </c>
      <c r="I24" s="23">
        <v>725377.85</v>
      </c>
      <c r="J24" s="41">
        <f t="shared" si="4"/>
        <v>1.0593914841251459E-2</v>
      </c>
      <c r="K24" s="23">
        <f t="shared" si="5"/>
        <v>-4120.8800000000047</v>
      </c>
      <c r="L24" s="94">
        <f t="shared" si="6"/>
        <v>-0.56810116272505695</v>
      </c>
      <c r="M24" s="72" t="s">
        <v>96</v>
      </c>
    </row>
    <row r="25" spans="1:13" ht="15" customHeight="1">
      <c r="A25" s="18">
        <v>714</v>
      </c>
      <c r="B25" s="19" t="s">
        <v>19</v>
      </c>
      <c r="C25" s="20">
        <f>+SUM(C26:C31)</f>
        <v>22970622.700000003</v>
      </c>
      <c r="D25" s="40">
        <f t="shared" si="0"/>
        <v>0.32656557719647433</v>
      </c>
      <c r="E25" s="20">
        <f>+SUM(E26:E31)</f>
        <v>23949799.684398599</v>
      </c>
      <c r="F25" s="40">
        <f t="shared" si="1"/>
        <v>0.34048620535113161</v>
      </c>
      <c r="G25" s="20">
        <f t="shared" si="2"/>
        <v>-979176.98439859599</v>
      </c>
      <c r="H25" s="89">
        <f t="shared" si="3"/>
        <v>-4.0884558422275745</v>
      </c>
      <c r="I25" s="20">
        <f>+SUM(I26:I31)</f>
        <v>31252694.090000004</v>
      </c>
      <c r="J25" s="40">
        <f t="shared" si="4"/>
        <v>0.45643574552096233</v>
      </c>
      <c r="K25" s="20">
        <f t="shared" si="5"/>
        <v>-8282071.3900000006</v>
      </c>
      <c r="L25" s="89">
        <f t="shared" si="6"/>
        <v>-26.500343830038105</v>
      </c>
      <c r="M25" s="71" t="s">
        <v>97</v>
      </c>
    </row>
    <row r="26" spans="1:13" ht="15" customHeight="1">
      <c r="A26" s="21">
        <v>7141</v>
      </c>
      <c r="B26" s="22" t="s">
        <v>20</v>
      </c>
      <c r="C26" s="23">
        <v>790610.95</v>
      </c>
      <c r="D26" s="41">
        <f t="shared" si="0"/>
        <v>1.1239848592550469E-2</v>
      </c>
      <c r="E26" s="23">
        <v>560838.3163156287</v>
      </c>
      <c r="F26" s="41">
        <f t="shared" si="1"/>
        <v>7.9732487392042764E-3</v>
      </c>
      <c r="G26" s="23">
        <f t="shared" si="2"/>
        <v>229772.63368437125</v>
      </c>
      <c r="H26" s="94">
        <f t="shared" si="3"/>
        <v>40.969496377109124</v>
      </c>
      <c r="I26" s="23">
        <v>969049.59999999998</v>
      </c>
      <c r="J26" s="41">
        <f t="shared" si="4"/>
        <v>1.4152663938316821E-2</v>
      </c>
      <c r="K26" s="23">
        <f t="shared" si="5"/>
        <v>-178438.65000000002</v>
      </c>
      <c r="L26" s="94">
        <f t="shared" si="6"/>
        <v>-18.413778819990227</v>
      </c>
      <c r="M26" s="72" t="s">
        <v>98</v>
      </c>
    </row>
    <row r="27" spans="1:13" ht="15" customHeight="1">
      <c r="A27" s="21">
        <v>7142</v>
      </c>
      <c r="B27" s="22" t="s">
        <v>21</v>
      </c>
      <c r="C27" s="23">
        <v>1355893.92</v>
      </c>
      <c r="D27" s="41">
        <f t="shared" si="0"/>
        <v>1.9276285470571509E-2</v>
      </c>
      <c r="E27" s="23">
        <v>2406079.4626684189</v>
      </c>
      <c r="F27" s="41">
        <f t="shared" si="1"/>
        <v>3.4206418292129927E-2</v>
      </c>
      <c r="G27" s="23">
        <f t="shared" si="2"/>
        <v>-1050185.542668419</v>
      </c>
      <c r="H27" s="94">
        <f t="shared" si="3"/>
        <v>-43.647167891276936</v>
      </c>
      <c r="I27" s="23">
        <v>3177800.49</v>
      </c>
      <c r="J27" s="41">
        <f t="shared" si="4"/>
        <v>4.6410774430935761E-2</v>
      </c>
      <c r="K27" s="23">
        <f t="shared" si="5"/>
        <v>-1821906.5700000003</v>
      </c>
      <c r="L27" s="94">
        <f t="shared" si="6"/>
        <v>-57.332314465090924</v>
      </c>
      <c r="M27" s="72" t="s">
        <v>99</v>
      </c>
    </row>
    <row r="28" spans="1:13" ht="15" customHeight="1">
      <c r="A28" s="21">
        <v>7143</v>
      </c>
      <c r="B28" s="22" t="s">
        <v>22</v>
      </c>
      <c r="C28" s="23">
        <v>0</v>
      </c>
      <c r="D28" s="41">
        <f t="shared" si="0"/>
        <v>0</v>
      </c>
      <c r="E28" s="23">
        <v>0</v>
      </c>
      <c r="F28" s="41">
        <f t="shared" si="1"/>
        <v>0</v>
      </c>
      <c r="G28" s="23">
        <f t="shared" si="2"/>
        <v>0</v>
      </c>
      <c r="H28" s="94">
        <f t="shared" si="3"/>
        <v>0</v>
      </c>
      <c r="I28" s="23">
        <v>0</v>
      </c>
      <c r="J28" s="41">
        <f t="shared" si="4"/>
        <v>0</v>
      </c>
      <c r="K28" s="23">
        <f t="shared" si="5"/>
        <v>0</v>
      </c>
      <c r="L28" s="94">
        <f t="shared" si="6"/>
        <v>0</v>
      </c>
      <c r="M28" s="72" t="s">
        <v>100</v>
      </c>
    </row>
    <row r="29" spans="1:13" ht="15" customHeight="1">
      <c r="A29" s="21">
        <v>7144</v>
      </c>
      <c r="B29" s="22" t="s">
        <v>23</v>
      </c>
      <c r="C29" s="23">
        <v>8700385.6300000008</v>
      </c>
      <c r="D29" s="41">
        <f t="shared" si="0"/>
        <v>0.12369044114301964</v>
      </c>
      <c r="E29" s="23">
        <v>9918794.6078251787</v>
      </c>
      <c r="F29" s="41">
        <f t="shared" si="1"/>
        <v>0.14101214967053138</v>
      </c>
      <c r="G29" s="23">
        <f t="shared" si="2"/>
        <v>-1218408.9778251778</v>
      </c>
      <c r="H29" s="94">
        <f t="shared" si="3"/>
        <v>-12.283841192395954</v>
      </c>
      <c r="I29" s="23">
        <v>5050519.33</v>
      </c>
      <c r="J29" s="41">
        <f t="shared" si="4"/>
        <v>7.3761242759362411E-2</v>
      </c>
      <c r="K29" s="23">
        <f t="shared" si="5"/>
        <v>3649866.3000000007</v>
      </c>
      <c r="L29" s="94">
        <f t="shared" si="6"/>
        <v>72.267148416200598</v>
      </c>
      <c r="M29" s="72" t="s">
        <v>101</v>
      </c>
    </row>
    <row r="30" spans="1:13" ht="15" customHeight="1">
      <c r="A30" s="21">
        <v>7148</v>
      </c>
      <c r="B30" s="22" t="s">
        <v>24</v>
      </c>
      <c r="C30" s="76">
        <v>1545850.49</v>
      </c>
      <c r="D30" s="41">
        <f t="shared" si="0"/>
        <v>2.1976833807222065E-2</v>
      </c>
      <c r="E30" s="76">
        <v>1572709.8575893757</v>
      </c>
      <c r="F30" s="41">
        <f t="shared" si="1"/>
        <v>2.2358684355834175E-2</v>
      </c>
      <c r="G30" s="76">
        <f t="shared" si="2"/>
        <v>-26859.367589375703</v>
      </c>
      <c r="H30" s="94">
        <f t="shared" si="3"/>
        <v>-1.7078399718652122</v>
      </c>
      <c r="I30" s="76">
        <v>1779162.05</v>
      </c>
      <c r="J30" s="41">
        <f t="shared" si="4"/>
        <v>2.5984100902014542E-2</v>
      </c>
      <c r="K30" s="76">
        <f t="shared" si="5"/>
        <v>-233311.56000000006</v>
      </c>
      <c r="L30" s="94">
        <f t="shared" si="6"/>
        <v>-13.113564332152876</v>
      </c>
      <c r="M30" s="72" t="s">
        <v>102</v>
      </c>
    </row>
    <row r="31" spans="1:13" ht="15" customHeight="1">
      <c r="A31" s="21">
        <v>7149</v>
      </c>
      <c r="B31" s="22" t="s">
        <v>25</v>
      </c>
      <c r="C31" s="76">
        <v>10577881.710000001</v>
      </c>
      <c r="D31" s="41">
        <f t="shared" si="0"/>
        <v>0.15038216818311062</v>
      </c>
      <c r="E31" s="76">
        <v>9491377.4399999995</v>
      </c>
      <c r="F31" s="41">
        <f t="shared" si="1"/>
        <v>0.13493570429343188</v>
      </c>
      <c r="G31" s="76">
        <f t="shared" si="2"/>
        <v>1086504.2700000014</v>
      </c>
      <c r="H31" s="94">
        <f t="shared" si="3"/>
        <v>11.447277035060168</v>
      </c>
      <c r="I31" s="76">
        <v>20276162.620000001</v>
      </c>
      <c r="J31" s="41">
        <f t="shared" si="4"/>
        <v>0.29612696349033274</v>
      </c>
      <c r="K31" s="76">
        <f t="shared" si="5"/>
        <v>-9698280.9100000001</v>
      </c>
      <c r="L31" s="94">
        <f t="shared" si="6"/>
        <v>-47.830948546614096</v>
      </c>
      <c r="M31" s="72" t="s">
        <v>103</v>
      </c>
    </row>
    <row r="32" spans="1:13" ht="15" customHeight="1">
      <c r="A32" s="18">
        <v>715</v>
      </c>
      <c r="B32" s="19" t="s">
        <v>26</v>
      </c>
      <c r="C32" s="20">
        <f>+SUM(C33:C36)</f>
        <v>40429328.480000004</v>
      </c>
      <c r="D32" s="40">
        <f t="shared" si="0"/>
        <v>0.57477009496730169</v>
      </c>
      <c r="E32" s="20">
        <f>+SUM(E33:E36)</f>
        <v>35793728.070844039</v>
      </c>
      <c r="F32" s="40">
        <f t="shared" si="1"/>
        <v>0.50886733111805571</v>
      </c>
      <c r="G32" s="20">
        <f t="shared" si="2"/>
        <v>4635600.4091559649</v>
      </c>
      <c r="H32" s="89">
        <f t="shared" si="3"/>
        <v>12.950873404360237</v>
      </c>
      <c r="I32" s="20">
        <f>+SUM(I33:I36)</f>
        <v>112793281</v>
      </c>
      <c r="J32" s="40">
        <f t="shared" si="4"/>
        <v>1.6473103136239218</v>
      </c>
      <c r="K32" s="20">
        <f t="shared" si="5"/>
        <v>-72363952.519999996</v>
      </c>
      <c r="L32" s="89">
        <f t="shared" si="6"/>
        <v>-64.15626168370791</v>
      </c>
      <c r="M32" s="71" t="s">
        <v>104</v>
      </c>
    </row>
    <row r="33" spans="1:105" ht="15" customHeight="1">
      <c r="A33" s="21">
        <v>7151</v>
      </c>
      <c r="B33" s="22" t="s">
        <v>27</v>
      </c>
      <c r="C33" s="76">
        <v>14363279.710000001</v>
      </c>
      <c r="D33" s="41">
        <f t="shared" si="0"/>
        <v>0.20419789181120274</v>
      </c>
      <c r="E33" s="76">
        <v>9192099.6033420376</v>
      </c>
      <c r="F33" s="41">
        <f t="shared" si="1"/>
        <v>0.13068097246718846</v>
      </c>
      <c r="G33" s="76">
        <f t="shared" si="2"/>
        <v>5171180.1066579632</v>
      </c>
      <c r="H33" s="94">
        <f t="shared" si="3"/>
        <v>56.256789306088905</v>
      </c>
      <c r="I33" s="76">
        <v>67129255.390000001</v>
      </c>
      <c r="J33" s="41">
        <f t="shared" si="4"/>
        <v>0.98040161408055182</v>
      </c>
      <c r="K33" s="76">
        <f t="shared" si="5"/>
        <v>-52765975.68</v>
      </c>
      <c r="L33" s="94">
        <f t="shared" si="6"/>
        <v>-78.603546804513428</v>
      </c>
      <c r="M33" s="72" t="s">
        <v>105</v>
      </c>
    </row>
    <row r="34" spans="1:105" ht="15" customHeight="1">
      <c r="A34" s="21">
        <v>7152</v>
      </c>
      <c r="B34" s="22" t="s">
        <v>28</v>
      </c>
      <c r="C34" s="76">
        <v>8449159.7799999993</v>
      </c>
      <c r="D34" s="41">
        <f t="shared" si="0"/>
        <v>0.12011884816605059</v>
      </c>
      <c r="E34" s="76">
        <v>5908675.9899342395</v>
      </c>
      <c r="F34" s="41">
        <f t="shared" si="1"/>
        <v>8.4001648989682112E-2</v>
      </c>
      <c r="G34" s="76">
        <f t="shared" si="2"/>
        <v>2540483.7900657598</v>
      </c>
      <c r="H34" s="94">
        <f t="shared" si="3"/>
        <v>42.995821642506996</v>
      </c>
      <c r="I34" s="76">
        <v>7113601.7699999996</v>
      </c>
      <c r="J34" s="41">
        <f t="shared" si="4"/>
        <v>0.10389191145822227</v>
      </c>
      <c r="K34" s="76">
        <f t="shared" si="5"/>
        <v>1335558.0099999998</v>
      </c>
      <c r="L34" s="94">
        <f t="shared" si="6"/>
        <v>18.774708694439596</v>
      </c>
      <c r="M34" s="72" t="s">
        <v>106</v>
      </c>
    </row>
    <row r="35" spans="1:105">
      <c r="A35" s="21">
        <v>7153</v>
      </c>
      <c r="B35" s="22" t="s">
        <v>29</v>
      </c>
      <c r="C35" s="76">
        <v>1025235.93</v>
      </c>
      <c r="D35" s="41">
        <f t="shared" si="0"/>
        <v>1.4575432613022464E-2</v>
      </c>
      <c r="E35" s="76">
        <v>1094651.0868770329</v>
      </c>
      <c r="F35" s="41">
        <f t="shared" si="1"/>
        <v>1.5562284431007009E-2</v>
      </c>
      <c r="G35" s="76">
        <f t="shared" si="2"/>
        <v>-69415.15687703283</v>
      </c>
      <c r="H35" s="94">
        <f t="shared" si="3"/>
        <v>-6.3413043397298168</v>
      </c>
      <c r="I35" s="76">
        <v>949035.34000000008</v>
      </c>
      <c r="J35" s="41">
        <f t="shared" si="4"/>
        <v>1.3860361980033062E-2</v>
      </c>
      <c r="K35" s="76">
        <f t="shared" si="5"/>
        <v>76200.589999999967</v>
      </c>
      <c r="L35" s="94">
        <f t="shared" si="6"/>
        <v>8.0292679090327539</v>
      </c>
      <c r="M35" s="72" t="s">
        <v>107</v>
      </c>
    </row>
    <row r="36" spans="1:105" s="3" customFormat="1" ht="15" customHeight="1">
      <c r="A36" s="21">
        <v>7155</v>
      </c>
      <c r="B36" s="22" t="s">
        <v>26</v>
      </c>
      <c r="C36" s="76">
        <v>16591653.060000001</v>
      </c>
      <c r="D36" s="41">
        <f t="shared" si="0"/>
        <v>0.2358779223770259</v>
      </c>
      <c r="E36" s="76">
        <v>19598301.390690729</v>
      </c>
      <c r="F36" s="41">
        <f t="shared" si="1"/>
        <v>0.27862242523017816</v>
      </c>
      <c r="G36" s="76">
        <f t="shared" si="2"/>
        <v>-3006648.3306907285</v>
      </c>
      <c r="H36" s="94">
        <f t="shared" si="3"/>
        <v>-15.341372044206338</v>
      </c>
      <c r="I36" s="76">
        <v>37601388.5</v>
      </c>
      <c r="J36" s="41">
        <f t="shared" si="4"/>
        <v>0.54915642610511461</v>
      </c>
      <c r="K36" s="76">
        <f t="shared" si="5"/>
        <v>-21009735.439999998</v>
      </c>
      <c r="L36" s="94">
        <f t="shared" si="6"/>
        <v>-55.87489259871348</v>
      </c>
      <c r="M36" s="72" t="s">
        <v>104</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customHeight="1">
      <c r="A37" s="18">
        <v>73</v>
      </c>
      <c r="B37" s="92" t="s">
        <v>187</v>
      </c>
      <c r="C37" s="20">
        <v>0</v>
      </c>
      <c r="D37" s="40">
        <f t="shared" si="0"/>
        <v>0</v>
      </c>
      <c r="E37" s="20">
        <v>0</v>
      </c>
      <c r="F37" s="40">
        <f t="shared" si="1"/>
        <v>0</v>
      </c>
      <c r="G37" s="20">
        <f t="shared" si="2"/>
        <v>0</v>
      </c>
      <c r="H37" s="89">
        <f t="shared" si="3"/>
        <v>0</v>
      </c>
      <c r="I37" s="20">
        <v>0</v>
      </c>
      <c r="J37" s="40">
        <f t="shared" si="4"/>
        <v>0</v>
      </c>
      <c r="K37" s="20">
        <f t="shared" si="5"/>
        <v>0</v>
      </c>
      <c r="L37" s="89">
        <f t="shared" si="6"/>
        <v>0</v>
      </c>
      <c r="M37" s="71" t="s">
        <v>108</v>
      </c>
    </row>
    <row r="38" spans="1:105" ht="15" customHeight="1">
      <c r="A38" s="18">
        <v>74</v>
      </c>
      <c r="B38" s="19" t="s">
        <v>183</v>
      </c>
      <c r="C38" s="20">
        <v>13727411.460000001</v>
      </c>
      <c r="D38" s="40">
        <f t="shared" si="0"/>
        <v>0.19515796787034406</v>
      </c>
      <c r="E38" s="20">
        <v>15103709.39555556</v>
      </c>
      <c r="F38" s="40">
        <f t="shared" si="1"/>
        <v>0.21472433033203811</v>
      </c>
      <c r="G38" s="20">
        <f t="shared" si="2"/>
        <v>-1376297.9355555587</v>
      </c>
      <c r="H38" s="89">
        <f t="shared" si="3"/>
        <v>-9.1123173752306883</v>
      </c>
      <c r="I38" s="20">
        <v>44177964.159999996</v>
      </c>
      <c r="J38" s="40">
        <f t="shared" si="4"/>
        <v>0.64520524051140926</v>
      </c>
      <c r="K38" s="20">
        <f t="shared" si="5"/>
        <v>-30450552.699999996</v>
      </c>
      <c r="L38" s="89">
        <f t="shared" si="6"/>
        <v>-68.927016622397474</v>
      </c>
      <c r="M38" s="71" t="s">
        <v>109</v>
      </c>
    </row>
    <row r="39" spans="1:105" ht="15" customHeight="1">
      <c r="A39" s="15"/>
      <c r="B39" s="16" t="s">
        <v>72</v>
      </c>
      <c r="C39" s="17">
        <f>+C40+C50+C56+C57+C58+C59+C60+C61</f>
        <v>1278685424.8799999</v>
      </c>
      <c r="D39" s="39">
        <f t="shared" si="0"/>
        <v>18.178638397497863</v>
      </c>
      <c r="E39" s="17">
        <f>+E40+E50+E56+E57+E58+E59+E60+E61</f>
        <v>1387211283.0000002</v>
      </c>
      <c r="F39" s="39">
        <f t="shared" si="1"/>
        <v>19.721513832812061</v>
      </c>
      <c r="G39" s="17">
        <f t="shared" si="2"/>
        <v>-108525858.12000036</v>
      </c>
      <c r="H39" s="93">
        <f t="shared" si="3"/>
        <v>-7.8233113765699045</v>
      </c>
      <c r="I39" s="17">
        <f>+I40+I50+I56+I57+I58+I59+I60+I61</f>
        <v>1071486809.4100001</v>
      </c>
      <c r="J39" s="39">
        <f t="shared" si="4"/>
        <v>15.648727090872395</v>
      </c>
      <c r="K39" s="17">
        <f t="shared" ref="K39:K61" si="7">+C39-I39</f>
        <v>207198615.46999979</v>
      </c>
      <c r="L39" s="93">
        <f t="shared" si="6"/>
        <v>19.337486346107326</v>
      </c>
      <c r="M39" s="80" t="s">
        <v>110</v>
      </c>
    </row>
    <row r="40" spans="1:105" ht="15" customHeight="1">
      <c r="A40" s="18">
        <v>41</v>
      </c>
      <c r="B40" s="19" t="s">
        <v>69</v>
      </c>
      <c r="C40" s="20">
        <f>+SUM(C41:C49)</f>
        <v>513283423.42000002</v>
      </c>
      <c r="D40" s="40">
        <f t="shared" si="0"/>
        <v>7.2971769038953651</v>
      </c>
      <c r="E40" s="20">
        <f>+SUM(E41:E49)</f>
        <v>564433910.21000004</v>
      </c>
      <c r="F40" s="40">
        <f t="shared" si="1"/>
        <v>8.0243660820301397</v>
      </c>
      <c r="G40" s="20">
        <f t="shared" si="2"/>
        <v>-51150486.790000021</v>
      </c>
      <c r="H40" s="89">
        <f t="shared" si="3"/>
        <v>-9.0622632454823986</v>
      </c>
      <c r="I40" s="20">
        <f>+SUM(I41:I49)</f>
        <v>473732837.2700001</v>
      </c>
      <c r="J40" s="40">
        <f t="shared" si="4"/>
        <v>6.9187187553946066</v>
      </c>
      <c r="K40" s="20">
        <f t="shared" si="7"/>
        <v>39550586.149999917</v>
      </c>
      <c r="L40" s="89">
        <f t="shared" si="6"/>
        <v>8.3487111381004695</v>
      </c>
      <c r="M40" s="71" t="s">
        <v>111</v>
      </c>
    </row>
    <row r="41" spans="1:105" ht="15" customHeight="1">
      <c r="A41" s="21">
        <v>411</v>
      </c>
      <c r="B41" s="22" t="s">
        <v>30</v>
      </c>
      <c r="C41" s="107">
        <v>335039276.09000003</v>
      </c>
      <c r="D41" s="41">
        <f t="shared" si="0"/>
        <v>4.763140120699461</v>
      </c>
      <c r="E41" s="23">
        <v>339062861.24000001</v>
      </c>
      <c r="F41" s="41">
        <f t="shared" si="1"/>
        <v>4.8203420705146431</v>
      </c>
      <c r="G41" s="23">
        <f t="shared" si="2"/>
        <v>-4023585.1499999762</v>
      </c>
      <c r="H41" s="94">
        <f t="shared" si="3"/>
        <v>-1.1866782269474072</v>
      </c>
      <c r="I41" s="23">
        <v>314586238.12</v>
      </c>
      <c r="J41" s="41">
        <f t="shared" si="4"/>
        <v>4.5944328419635827</v>
      </c>
      <c r="K41" s="23">
        <f t="shared" si="7"/>
        <v>20453037.970000029</v>
      </c>
      <c r="L41" s="94">
        <f t="shared" si="6"/>
        <v>6.5015679300625067</v>
      </c>
      <c r="M41" s="72" t="s">
        <v>112</v>
      </c>
    </row>
    <row r="42" spans="1:105" ht="15" customHeight="1">
      <c r="A42" s="21">
        <v>412</v>
      </c>
      <c r="B42" s="22" t="s">
        <v>31</v>
      </c>
      <c r="C42" s="23">
        <v>9003748.3999999985</v>
      </c>
      <c r="D42" s="41">
        <f t="shared" si="0"/>
        <v>0.12800324708558428</v>
      </c>
      <c r="E42" s="23">
        <v>10661040.280000005</v>
      </c>
      <c r="F42" s="41">
        <f t="shared" si="1"/>
        <v>0.15156440545919825</v>
      </c>
      <c r="G42" s="23">
        <f t="shared" si="2"/>
        <v>-1657291.8800000064</v>
      </c>
      <c r="H42" s="94">
        <f t="shared" si="3"/>
        <v>-15.545311118550671</v>
      </c>
      <c r="I42" s="23">
        <v>7741325.5999999978</v>
      </c>
      <c r="J42" s="41">
        <f t="shared" si="4"/>
        <v>0.11305962012046525</v>
      </c>
      <c r="K42" s="23">
        <f t="shared" si="7"/>
        <v>1262422.8000000007</v>
      </c>
      <c r="L42" s="94">
        <f t="shared" si="6"/>
        <v>16.307579156727385</v>
      </c>
      <c r="M42" s="72" t="s">
        <v>113</v>
      </c>
    </row>
    <row r="43" spans="1:105" ht="15" customHeight="1">
      <c r="A43" s="21">
        <v>413</v>
      </c>
      <c r="B43" s="22" t="s">
        <v>73</v>
      </c>
      <c r="C43" s="23">
        <v>14804390.48</v>
      </c>
      <c r="D43" s="41">
        <f t="shared" si="0"/>
        <v>0.21046901450099517</v>
      </c>
      <c r="E43" s="23">
        <v>22744632.529999997</v>
      </c>
      <c r="F43" s="41">
        <f t="shared" si="1"/>
        <v>0.32335275135058283</v>
      </c>
      <c r="G43" s="23">
        <f t="shared" si="2"/>
        <v>-7940242.049999997</v>
      </c>
      <c r="H43" s="94">
        <f t="shared" si="3"/>
        <v>-34.910399363572381</v>
      </c>
      <c r="I43" s="23">
        <v>16321306.32</v>
      </c>
      <c r="J43" s="41">
        <f t="shared" si="4"/>
        <v>0.238367533902585</v>
      </c>
      <c r="K43" s="23">
        <f t="shared" si="7"/>
        <v>-1516915.8399999999</v>
      </c>
      <c r="L43" s="94">
        <f t="shared" si="6"/>
        <v>-9.2940835142661484</v>
      </c>
      <c r="M43" s="72" t="s">
        <v>114</v>
      </c>
    </row>
    <row r="44" spans="1:105" ht="15" customHeight="1">
      <c r="A44" s="21">
        <v>414</v>
      </c>
      <c r="B44" s="22" t="s">
        <v>74</v>
      </c>
      <c r="C44" s="23">
        <v>26318981.449999999</v>
      </c>
      <c r="D44" s="41">
        <f t="shared" si="0"/>
        <v>0.37416806155814614</v>
      </c>
      <c r="E44" s="23">
        <v>33619498.63000001</v>
      </c>
      <c r="F44" s="41">
        <f t="shared" si="1"/>
        <v>0.47795704620415141</v>
      </c>
      <c r="G44" s="23">
        <f t="shared" si="2"/>
        <v>-7300517.1800000109</v>
      </c>
      <c r="H44" s="94">
        <f t="shared" si="3"/>
        <v>-21.715128058112882</v>
      </c>
      <c r="I44" s="23">
        <v>27679764.090000004</v>
      </c>
      <c r="J44" s="41">
        <f t="shared" si="4"/>
        <v>0.40425422915159342</v>
      </c>
      <c r="K44" s="23">
        <f t="shared" si="7"/>
        <v>-1360782.6400000043</v>
      </c>
      <c r="L44" s="94">
        <f t="shared" si="6"/>
        <v>-4.9161641536230434</v>
      </c>
      <c r="M44" s="72" t="s">
        <v>115</v>
      </c>
    </row>
    <row r="45" spans="1:105" ht="15.75" customHeight="1">
      <c r="A45" s="21">
        <v>415</v>
      </c>
      <c r="B45" s="22" t="s">
        <v>32</v>
      </c>
      <c r="C45" s="23">
        <v>10206706.42</v>
      </c>
      <c r="D45" s="41">
        <f t="shared" si="0"/>
        <v>0.14510529456923515</v>
      </c>
      <c r="E45" s="23">
        <v>15508565.310000001</v>
      </c>
      <c r="F45" s="41">
        <f t="shared" si="1"/>
        <v>0.22048002999715668</v>
      </c>
      <c r="G45" s="23">
        <f t="shared" si="2"/>
        <v>-5301858.8900000006</v>
      </c>
      <c r="H45" s="94">
        <f t="shared" si="3"/>
        <v>-34.186649661147811</v>
      </c>
      <c r="I45" s="23">
        <v>9077254.1100000013</v>
      </c>
      <c r="J45" s="41">
        <f t="shared" si="4"/>
        <v>0.1325704348895404</v>
      </c>
      <c r="K45" s="23">
        <f t="shared" si="7"/>
        <v>1129452.3099999987</v>
      </c>
      <c r="L45" s="94">
        <f t="shared" si="6"/>
        <v>12.442664888666414</v>
      </c>
      <c r="M45" s="72" t="s">
        <v>116</v>
      </c>
    </row>
    <row r="46" spans="1:105" ht="15" customHeight="1">
      <c r="A46" s="21">
        <v>416</v>
      </c>
      <c r="B46" s="22" t="s">
        <v>33</v>
      </c>
      <c r="C46" s="23">
        <v>60426316.879999988</v>
      </c>
      <c r="D46" s="41">
        <f t="shared" si="0"/>
        <v>0.85906051862382693</v>
      </c>
      <c r="E46" s="23">
        <v>65256780.939999998</v>
      </c>
      <c r="F46" s="41">
        <f t="shared" si="1"/>
        <v>0.92773359311913561</v>
      </c>
      <c r="G46" s="23">
        <f t="shared" si="2"/>
        <v>-4830464.0600000098</v>
      </c>
      <c r="H46" s="94">
        <f t="shared" si="3"/>
        <v>-7.402240794625385</v>
      </c>
      <c r="I46" s="23">
        <v>48867447.219999999</v>
      </c>
      <c r="J46" s="41">
        <f t="shared" si="4"/>
        <v>0.71369366235546106</v>
      </c>
      <c r="K46" s="23">
        <f t="shared" si="7"/>
        <v>11558869.659999989</v>
      </c>
      <c r="L46" s="94">
        <f t="shared" si="6"/>
        <v>23.653516435925638</v>
      </c>
      <c r="M46" s="72" t="s">
        <v>117</v>
      </c>
    </row>
    <row r="47" spans="1:105" ht="15" customHeight="1">
      <c r="A47" s="21">
        <v>417</v>
      </c>
      <c r="B47" s="22" t="s">
        <v>34</v>
      </c>
      <c r="C47" s="23">
        <v>5360782.8600000013</v>
      </c>
      <c r="D47" s="41">
        <f t="shared" si="0"/>
        <v>7.6212437588854154E-2</v>
      </c>
      <c r="E47" s="23">
        <v>7044811.6799999997</v>
      </c>
      <c r="F47" s="41">
        <f t="shared" si="1"/>
        <v>0.10015370599943134</v>
      </c>
      <c r="G47" s="23">
        <f t="shared" si="2"/>
        <v>-1684028.8199999984</v>
      </c>
      <c r="H47" s="94">
        <f t="shared" si="3"/>
        <v>-23.904525720409296</v>
      </c>
      <c r="I47" s="23">
        <v>4840501.7200000007</v>
      </c>
      <c r="J47" s="41">
        <f t="shared" si="4"/>
        <v>7.0694001768335235E-2</v>
      </c>
      <c r="K47" s="23">
        <f t="shared" si="7"/>
        <v>520281.1400000006</v>
      </c>
      <c r="L47" s="94">
        <f t="shared" si="6"/>
        <v>10.748496129033498</v>
      </c>
      <c r="M47" s="72" t="s">
        <v>118</v>
      </c>
    </row>
    <row r="48" spans="1:105" ht="15" customHeight="1">
      <c r="A48" s="21">
        <v>418</v>
      </c>
      <c r="B48" s="22" t="s">
        <v>35</v>
      </c>
      <c r="C48" s="23">
        <v>25070634.649999976</v>
      </c>
      <c r="D48" s="41">
        <f t="shared" si="0"/>
        <v>0.35642073713392064</v>
      </c>
      <c r="E48" s="23">
        <v>28400519.960000001</v>
      </c>
      <c r="F48" s="41">
        <f t="shared" si="1"/>
        <v>0.40376059084446975</v>
      </c>
      <c r="G48" s="23">
        <f t="shared" si="2"/>
        <v>-3329885.3100000247</v>
      </c>
      <c r="H48" s="94">
        <f t="shared" si="3"/>
        <v>-11.724733612940597</v>
      </c>
      <c r="I48" s="23">
        <v>23263706.349999998</v>
      </c>
      <c r="J48" s="41">
        <f t="shared" si="4"/>
        <v>0.33975909791535647</v>
      </c>
      <c r="K48" s="23">
        <f t="shared" si="7"/>
        <v>1806928.2999999784</v>
      </c>
      <c r="L48" s="94">
        <f t="shared" si="6"/>
        <v>7.7671557266711204</v>
      </c>
      <c r="M48" s="72" t="s">
        <v>119</v>
      </c>
    </row>
    <row r="49" spans="1:15" ht="15" customHeight="1">
      <c r="A49" s="21">
        <v>419</v>
      </c>
      <c r="B49" s="22" t="s">
        <v>36</v>
      </c>
      <c r="C49" s="23">
        <v>27052586.189999998</v>
      </c>
      <c r="D49" s="41">
        <f t="shared" si="0"/>
        <v>0.38459747213534262</v>
      </c>
      <c r="E49" s="23">
        <v>42135199.640000001</v>
      </c>
      <c r="F49" s="41">
        <f t="shared" si="1"/>
        <v>0.59902188854137051</v>
      </c>
      <c r="G49" s="23">
        <f t="shared" si="2"/>
        <v>-15082613.450000003</v>
      </c>
      <c r="H49" s="94">
        <f t="shared" si="3"/>
        <v>-35.795756466955723</v>
      </c>
      <c r="I49" s="23">
        <v>21355293.739999998</v>
      </c>
      <c r="J49" s="41">
        <f t="shared" si="4"/>
        <v>0.31188733332768614</v>
      </c>
      <c r="K49" s="23">
        <f t="shared" si="7"/>
        <v>5697292.4499999993</v>
      </c>
      <c r="L49" s="94">
        <f t="shared" si="6"/>
        <v>26.678595571497851</v>
      </c>
      <c r="M49" s="72" t="s">
        <v>120</v>
      </c>
    </row>
    <row r="50" spans="1:15" ht="15" customHeight="1">
      <c r="A50" s="18">
        <v>42</v>
      </c>
      <c r="B50" s="19" t="s">
        <v>37</v>
      </c>
      <c r="C50" s="20">
        <f>+SUM(C51:C55)</f>
        <v>483216004.69999987</v>
      </c>
      <c r="D50" s="40">
        <f t="shared" si="0"/>
        <v>6.8697185769121383</v>
      </c>
      <c r="E50" s="20">
        <f>+SUM(E51:E55)</f>
        <v>497826795.5</v>
      </c>
      <c r="F50" s="40">
        <f t="shared" si="1"/>
        <v>7.0774352502132505</v>
      </c>
      <c r="G50" s="20">
        <f t="shared" si="2"/>
        <v>-14610790.800000131</v>
      </c>
      <c r="H50" s="89">
        <f t="shared" si="3"/>
        <v>-2.9349144987918123</v>
      </c>
      <c r="I50" s="20">
        <f>+SUM(I51:I55)</f>
        <v>391915173.74000001</v>
      </c>
      <c r="J50" s="40">
        <f t="shared" si="4"/>
        <v>5.7237975705983164</v>
      </c>
      <c r="K50" s="20">
        <f t="shared" si="7"/>
        <v>91300830.959999859</v>
      </c>
      <c r="L50" s="89">
        <f t="shared" si="6"/>
        <v>23.29606942459688</v>
      </c>
      <c r="M50" s="71" t="s">
        <v>121</v>
      </c>
    </row>
    <row r="51" spans="1:15" ht="15" customHeight="1">
      <c r="A51" s="21">
        <v>421</v>
      </c>
      <c r="B51" s="22" t="s">
        <v>38</v>
      </c>
      <c r="C51" s="107">
        <v>104227586.47999999</v>
      </c>
      <c r="D51" s="41">
        <f t="shared" si="0"/>
        <v>1.4817683605345462</v>
      </c>
      <c r="E51" s="23">
        <v>106599233.20999999</v>
      </c>
      <c r="F51" s="41">
        <f t="shared" si="1"/>
        <v>1.5154852603070799</v>
      </c>
      <c r="G51" s="23">
        <f t="shared" si="2"/>
        <v>-2371646.7300000042</v>
      </c>
      <c r="H51" s="94">
        <f t="shared" si="3"/>
        <v>-2.2248253187036227</v>
      </c>
      <c r="I51" s="23">
        <v>102808128.44</v>
      </c>
      <c r="J51" s="41">
        <f t="shared" si="4"/>
        <v>1.5014803080653787</v>
      </c>
      <c r="K51" s="23">
        <f t="shared" si="7"/>
        <v>1419458.0399999917</v>
      </c>
      <c r="L51" s="94">
        <f t="shared" si="6"/>
        <v>1.3806865872754344</v>
      </c>
      <c r="M51" s="72" t="s">
        <v>122</v>
      </c>
    </row>
    <row r="52" spans="1:15" ht="15" customHeight="1">
      <c r="A52" s="21">
        <v>422</v>
      </c>
      <c r="B52" s="22" t="s">
        <v>39</v>
      </c>
      <c r="C52" s="23">
        <v>9578144.4299999997</v>
      </c>
      <c r="D52" s="41">
        <f t="shared" si="0"/>
        <v>0.13616924125675289</v>
      </c>
      <c r="E52" s="23">
        <v>12553149.960000001</v>
      </c>
      <c r="F52" s="41">
        <f t="shared" si="1"/>
        <v>0.17846388911003697</v>
      </c>
      <c r="G52" s="23">
        <f t="shared" si="2"/>
        <v>-2975005.5300000012</v>
      </c>
      <c r="H52" s="94">
        <f t="shared" si="3"/>
        <v>-23.699274998543885</v>
      </c>
      <c r="I52" s="23">
        <v>10502825.219999999</v>
      </c>
      <c r="J52" s="41">
        <f t="shared" si="4"/>
        <v>0.15339045157393225</v>
      </c>
      <c r="K52" s="23">
        <f t="shared" si="7"/>
        <v>-924680.78999999911</v>
      </c>
      <c r="L52" s="94">
        <f t="shared" si="6"/>
        <v>-8.8041148036927837</v>
      </c>
      <c r="M52" s="72" t="s">
        <v>123</v>
      </c>
    </row>
    <row r="53" spans="1:15">
      <c r="A53" s="21">
        <v>423</v>
      </c>
      <c r="B53" s="22" t="s">
        <v>40</v>
      </c>
      <c r="C53" s="107">
        <v>355504273.29999995</v>
      </c>
      <c r="D53" s="41">
        <f t="shared" si="0"/>
        <v>5.0540840673869774</v>
      </c>
      <c r="E53" s="23">
        <v>360344412.33000004</v>
      </c>
      <c r="F53" s="41">
        <f t="shared" si="1"/>
        <v>5.1228946876599384</v>
      </c>
      <c r="G53" s="23">
        <f t="shared" si="2"/>
        <v>-4840139.0300000906</v>
      </c>
      <c r="H53" s="94">
        <f t="shared" si="3"/>
        <v>-1.3431980251070286</v>
      </c>
      <c r="I53" s="23">
        <v>263266819.85999998</v>
      </c>
      <c r="J53" s="41">
        <f t="shared" si="4"/>
        <v>3.8449289154940809</v>
      </c>
      <c r="K53" s="23">
        <f t="shared" si="7"/>
        <v>92237453.439999968</v>
      </c>
      <c r="L53" s="94">
        <f t="shared" si="6"/>
        <v>35.035730476423112</v>
      </c>
      <c r="M53" s="72" t="s">
        <v>124</v>
      </c>
    </row>
    <row r="54" spans="1:15" ht="15" customHeight="1">
      <c r="A54" s="21">
        <v>424</v>
      </c>
      <c r="B54" s="22" t="s">
        <v>41</v>
      </c>
      <c r="C54" s="23">
        <v>6449236.1499999994</v>
      </c>
      <c r="D54" s="41">
        <f t="shared" si="0"/>
        <v>9.1686610036963309E-2</v>
      </c>
      <c r="E54" s="23">
        <v>10530000</v>
      </c>
      <c r="F54" s="41">
        <f t="shared" si="1"/>
        <v>0.14970145009951663</v>
      </c>
      <c r="G54" s="23">
        <f t="shared" si="2"/>
        <v>-4080763.8500000006</v>
      </c>
      <c r="H54" s="94">
        <f t="shared" si="3"/>
        <v>-38.753692782526116</v>
      </c>
      <c r="I54" s="23">
        <v>10103236.290000001</v>
      </c>
      <c r="J54" s="41">
        <f t="shared" si="4"/>
        <v>0.14755458121212459</v>
      </c>
      <c r="K54" s="23">
        <f t="shared" si="7"/>
        <v>-3654000.1400000015</v>
      </c>
      <c r="L54" s="94">
        <f t="shared" si="6"/>
        <v>-36.166630524287193</v>
      </c>
      <c r="M54" s="72" t="s">
        <v>125</v>
      </c>
    </row>
    <row r="55" spans="1:15" ht="15" customHeight="1">
      <c r="A55" s="21">
        <v>425</v>
      </c>
      <c r="B55" s="22" t="s">
        <v>42</v>
      </c>
      <c r="C55" s="23">
        <v>7456764.3399999989</v>
      </c>
      <c r="D55" s="41">
        <f t="shared" si="0"/>
        <v>0.10601029769690075</v>
      </c>
      <c r="E55" s="23">
        <v>7800000</v>
      </c>
      <c r="F55" s="41">
        <f t="shared" si="1"/>
        <v>0.11088996303667897</v>
      </c>
      <c r="G55" s="23">
        <f t="shared" si="2"/>
        <v>-343235.66000000108</v>
      </c>
      <c r="H55" s="94">
        <f t="shared" si="3"/>
        <v>-4.4004571794871907</v>
      </c>
      <c r="I55" s="23">
        <v>5234163.93</v>
      </c>
      <c r="J55" s="41">
        <f t="shared" si="4"/>
        <v>7.6443314252799502E-2</v>
      </c>
      <c r="K55" s="23">
        <f t="shared" si="7"/>
        <v>2222600.4099999992</v>
      </c>
      <c r="L55" s="94">
        <f t="shared" si="6"/>
        <v>42.463332056930795</v>
      </c>
      <c r="M55" s="72" t="s">
        <v>126</v>
      </c>
      <c r="O55" s="78"/>
    </row>
    <row r="56" spans="1:15" ht="15" customHeight="1">
      <c r="A56" s="18">
        <v>43</v>
      </c>
      <c r="B56" s="77" t="s">
        <v>43</v>
      </c>
      <c r="C56" s="20">
        <v>177218129.10000002</v>
      </c>
      <c r="D56" s="40">
        <f t="shared" si="0"/>
        <v>2.5194502288882576</v>
      </c>
      <c r="E56" s="20">
        <v>201421836.65000004</v>
      </c>
      <c r="F56" s="40">
        <f t="shared" si="1"/>
        <v>2.8635461565254481</v>
      </c>
      <c r="G56" s="20">
        <f t="shared" si="2"/>
        <v>-24203707.550000012</v>
      </c>
      <c r="H56" s="89">
        <f t="shared" si="3"/>
        <v>-12.016426794904817</v>
      </c>
      <c r="I56" s="20">
        <v>145022618.66</v>
      </c>
      <c r="J56" s="40">
        <f t="shared" si="4"/>
        <v>2.1180096306212337</v>
      </c>
      <c r="K56" s="20">
        <f t="shared" si="7"/>
        <v>32195510.440000027</v>
      </c>
      <c r="L56" s="89">
        <f t="shared" si="6"/>
        <v>22.200337255998107</v>
      </c>
      <c r="M56" s="71" t="s">
        <v>127</v>
      </c>
    </row>
    <row r="57" spans="1:15" ht="15" customHeight="1">
      <c r="A57" s="18">
        <v>44</v>
      </c>
      <c r="B57" s="19" t="s">
        <v>65</v>
      </c>
      <c r="C57" s="20">
        <v>75535046.920000002</v>
      </c>
      <c r="D57" s="40">
        <f t="shared" si="0"/>
        <v>1.0738562257605915</v>
      </c>
      <c r="E57" s="20">
        <v>89049213.49000001</v>
      </c>
      <c r="F57" s="40">
        <f t="shared" si="1"/>
        <v>1.2659825631219792</v>
      </c>
      <c r="G57" s="20">
        <f t="shared" si="2"/>
        <v>-13514166.570000008</v>
      </c>
      <c r="H57" s="89">
        <f t="shared" si="3"/>
        <v>-15.17606505476617</v>
      </c>
      <c r="I57" s="20">
        <v>45187478.890000001</v>
      </c>
      <c r="J57" s="40">
        <f t="shared" si="4"/>
        <v>0.65994888491771286</v>
      </c>
      <c r="K57" s="20">
        <f t="shared" si="7"/>
        <v>30347568.030000001</v>
      </c>
      <c r="L57" s="89">
        <f t="shared" si="6"/>
        <v>67.159241399315874</v>
      </c>
      <c r="M57" s="71" t="s">
        <v>128</v>
      </c>
    </row>
    <row r="58" spans="1:15" ht="15" customHeight="1">
      <c r="A58" s="18">
        <v>45</v>
      </c>
      <c r="B58" s="19" t="s">
        <v>44</v>
      </c>
      <c r="C58" s="20">
        <v>0</v>
      </c>
      <c r="D58" s="40">
        <f t="shared" si="0"/>
        <v>0</v>
      </c>
      <c r="E58" s="20">
        <v>0</v>
      </c>
      <c r="F58" s="40">
        <f t="shared" si="1"/>
        <v>0</v>
      </c>
      <c r="G58" s="20">
        <f t="shared" si="2"/>
        <v>0</v>
      </c>
      <c r="H58" s="89">
        <f t="shared" si="3"/>
        <v>0</v>
      </c>
      <c r="I58" s="20">
        <v>0</v>
      </c>
      <c r="J58" s="40">
        <f t="shared" si="4"/>
        <v>0</v>
      </c>
      <c r="K58" s="20">
        <f t="shared" si="7"/>
        <v>0</v>
      </c>
      <c r="L58" s="89">
        <f t="shared" si="6"/>
        <v>0</v>
      </c>
      <c r="M58" s="71" t="s">
        <v>129</v>
      </c>
      <c r="N58" s="87"/>
    </row>
    <row r="59" spans="1:15" ht="15" customHeight="1">
      <c r="A59" s="18">
        <v>462</v>
      </c>
      <c r="B59" s="19" t="s">
        <v>45</v>
      </c>
      <c r="C59" s="20">
        <v>2301161.16</v>
      </c>
      <c r="D59" s="40">
        <f t="shared" si="0"/>
        <v>3.2714830253056583E-2</v>
      </c>
      <c r="E59" s="20">
        <v>2</v>
      </c>
      <c r="F59" s="40">
        <f t="shared" si="1"/>
        <v>2.8433323855558715E-8</v>
      </c>
      <c r="G59" s="20">
        <f t="shared" si="2"/>
        <v>2301159.16</v>
      </c>
      <c r="H59" s="104">
        <f t="shared" si="3"/>
        <v>115057958</v>
      </c>
      <c r="I59" s="20">
        <v>1168915.48</v>
      </c>
      <c r="J59" s="40">
        <f t="shared" si="4"/>
        <v>1.7071642112783801E-2</v>
      </c>
      <c r="K59" s="20">
        <f t="shared" si="7"/>
        <v>1132245.6800000002</v>
      </c>
      <c r="L59" s="89">
        <f t="shared" si="6"/>
        <v>96.862921175447184</v>
      </c>
      <c r="M59" s="71" t="s">
        <v>130</v>
      </c>
    </row>
    <row r="60" spans="1:15" ht="15" customHeight="1">
      <c r="A60" s="18">
        <v>463</v>
      </c>
      <c r="B60" s="19" t="s">
        <v>46</v>
      </c>
      <c r="C60" s="20">
        <v>12211275.33</v>
      </c>
      <c r="D60" s="40">
        <f t="shared" si="0"/>
        <v>0.17360357307364233</v>
      </c>
      <c r="E60" s="20">
        <v>12462786.130000003</v>
      </c>
      <c r="F60" s="40">
        <f t="shared" si="1"/>
        <v>0.17717921708842765</v>
      </c>
      <c r="G60" s="20">
        <f t="shared" si="2"/>
        <v>-251510.80000000261</v>
      </c>
      <c r="H60" s="89">
        <f t="shared" si="3"/>
        <v>-2.01809448847537</v>
      </c>
      <c r="I60" s="20">
        <v>7853346.2800000003</v>
      </c>
      <c r="J60" s="40">
        <f t="shared" si="4"/>
        <v>0.11469564684002817</v>
      </c>
      <c r="K60" s="20">
        <f t="shared" si="7"/>
        <v>4357929.05</v>
      </c>
      <c r="L60" s="89">
        <f t="shared" si="6"/>
        <v>55.491365013386371</v>
      </c>
      <c r="M60" s="71" t="s">
        <v>131</v>
      </c>
    </row>
    <row r="61" spans="1:15" ht="15" customHeight="1">
      <c r="A61" s="18">
        <v>47</v>
      </c>
      <c r="B61" s="19" t="s">
        <v>47</v>
      </c>
      <c r="C61" s="20">
        <v>14920384.25</v>
      </c>
      <c r="D61" s="40">
        <f t="shared" si="0"/>
        <v>0.21211805871481376</v>
      </c>
      <c r="E61" s="20">
        <v>22016739.02</v>
      </c>
      <c r="F61" s="40">
        <f t="shared" si="1"/>
        <v>0.31300453539948819</v>
      </c>
      <c r="G61" s="20">
        <f t="shared" si="2"/>
        <v>-7096354.7699999996</v>
      </c>
      <c r="H61" s="89">
        <f t="shared" si="3"/>
        <v>-32.23163413779703</v>
      </c>
      <c r="I61" s="20">
        <v>6606439.0899999999</v>
      </c>
      <c r="J61" s="40">
        <f t="shared" si="4"/>
        <v>9.6484960387713481E-2</v>
      </c>
      <c r="K61" s="20">
        <f t="shared" si="7"/>
        <v>8313945.1600000001</v>
      </c>
      <c r="L61" s="89">
        <f t="shared" si="6"/>
        <v>125.84608813823181</v>
      </c>
      <c r="M61" s="71" t="s">
        <v>132</v>
      </c>
    </row>
    <row r="62" spans="1:15" s="2" customFormat="1" ht="15" customHeight="1">
      <c r="A62" s="15"/>
      <c r="B62" s="16" t="s">
        <v>77</v>
      </c>
      <c r="C62" s="17">
        <f>+C6-C39</f>
        <v>30494289.600000143</v>
      </c>
      <c r="D62" s="39">
        <f t="shared" si="0"/>
        <v>0.43352700597100002</v>
      </c>
      <c r="E62" s="17">
        <f>+E6-E39</f>
        <v>-153434282.68209291</v>
      </c>
      <c r="F62" s="39">
        <f t="shared" si="1"/>
        <v>-2.181323325022646</v>
      </c>
      <c r="G62" s="17">
        <f t="shared" si="2"/>
        <v>183928572.28209305</v>
      </c>
      <c r="H62" s="93">
        <f t="shared" si="3"/>
        <v>-119.87449549536629</v>
      </c>
      <c r="I62" s="17">
        <f>+I6-I39</f>
        <v>164981429.42000008</v>
      </c>
      <c r="J62" s="39">
        <f t="shared" si="4"/>
        <v>2.4095017702338426</v>
      </c>
      <c r="K62" s="17">
        <f t="shared" ref="K62" si="8">+C62-I62</f>
        <v>-134487139.81999993</v>
      </c>
      <c r="L62" s="93">
        <f t="shared" si="6"/>
        <v>-81.516532068364157</v>
      </c>
      <c r="M62" s="80" t="s">
        <v>134</v>
      </c>
    </row>
    <row r="63" spans="1:15" ht="15" customHeight="1">
      <c r="A63" s="90"/>
      <c r="B63" s="91" t="s">
        <v>182</v>
      </c>
      <c r="C63" s="20">
        <v>0</v>
      </c>
      <c r="D63" s="40">
        <f t="shared" si="0"/>
        <v>0</v>
      </c>
      <c r="E63" s="20">
        <v>0</v>
      </c>
      <c r="F63" s="40">
        <f t="shared" si="1"/>
        <v>0</v>
      </c>
      <c r="G63" s="20">
        <f t="shared" ref="G63:G64" si="9">+C63-E63</f>
        <v>0</v>
      </c>
      <c r="H63" s="89">
        <f t="shared" si="3"/>
        <v>0</v>
      </c>
      <c r="I63" s="20">
        <v>0</v>
      </c>
      <c r="J63" s="40">
        <f t="shared" si="4"/>
        <v>0</v>
      </c>
      <c r="K63" s="20">
        <f t="shared" ref="K63:K64" si="10">+C63-I63</f>
        <v>0</v>
      </c>
      <c r="L63" s="89">
        <f t="shared" si="6"/>
        <v>0</v>
      </c>
      <c r="M63" s="71" t="s">
        <v>133</v>
      </c>
    </row>
    <row r="64" spans="1:15" s="2" customFormat="1" ht="15" customHeight="1">
      <c r="A64" s="15"/>
      <c r="B64" s="16" t="s">
        <v>59</v>
      </c>
      <c r="C64" s="17">
        <f>+C62-C63</f>
        <v>30494289.600000143</v>
      </c>
      <c r="D64" s="39">
        <f t="shared" si="0"/>
        <v>0.43352700597100002</v>
      </c>
      <c r="E64" s="17">
        <f>+E62-E63</f>
        <v>-153434282.68209291</v>
      </c>
      <c r="F64" s="39">
        <f t="shared" si="1"/>
        <v>-2.181323325022646</v>
      </c>
      <c r="G64" s="17">
        <f t="shared" si="9"/>
        <v>183928572.28209305</v>
      </c>
      <c r="H64" s="93">
        <f t="shared" si="3"/>
        <v>-119.87449549536629</v>
      </c>
      <c r="I64" s="17">
        <f>+I62-I63</f>
        <v>164981429.42000008</v>
      </c>
      <c r="J64" s="39">
        <f t="shared" si="4"/>
        <v>2.4095017702338426</v>
      </c>
      <c r="K64" s="17">
        <f t="shared" si="10"/>
        <v>-134487139.81999993</v>
      </c>
      <c r="L64" s="93">
        <f t="shared" si="6"/>
        <v>-81.516532068364157</v>
      </c>
      <c r="M64" s="80" t="s">
        <v>137</v>
      </c>
    </row>
    <row r="65" spans="1:13" s="2" customFormat="1" ht="15" customHeight="1">
      <c r="A65" s="15"/>
      <c r="B65" s="16" t="s">
        <v>186</v>
      </c>
      <c r="C65" s="17">
        <f>+C64+C46</f>
        <v>90920606.480000138</v>
      </c>
      <c r="D65" s="39">
        <f t="shared" si="0"/>
        <v>1.2925875245948271</v>
      </c>
      <c r="E65" s="17">
        <f>+E64+E46</f>
        <v>-88177501.742092907</v>
      </c>
      <c r="F65" s="39">
        <f t="shared" si="1"/>
        <v>-1.2535897319035101</v>
      </c>
      <c r="G65" s="17">
        <f t="shared" ref="G65" si="11">+C65-E65</f>
        <v>179098108.22209305</v>
      </c>
      <c r="H65" s="93">
        <f t="shared" si="3"/>
        <v>-203.11088960756729</v>
      </c>
      <c r="I65" s="17">
        <f>+I64+I46</f>
        <v>213848876.64000008</v>
      </c>
      <c r="J65" s="39">
        <f t="shared" si="4"/>
        <v>3.1231954325893039</v>
      </c>
      <c r="K65" s="17">
        <f t="shared" ref="K65" si="12">+C65-I65</f>
        <v>-122928270.15999994</v>
      </c>
      <c r="L65" s="93">
        <f t="shared" si="6"/>
        <v>-57.483710969845895</v>
      </c>
      <c r="M65" s="80" t="s">
        <v>136</v>
      </c>
    </row>
    <row r="66" spans="1:13" s="2" customFormat="1" ht="15" customHeight="1">
      <c r="A66" s="15"/>
      <c r="B66" s="16" t="s">
        <v>76</v>
      </c>
      <c r="C66" s="17">
        <f>+C6-(C39-C57)</f>
        <v>106029336.52000022</v>
      </c>
      <c r="D66" s="39">
        <f t="shared" si="0"/>
        <v>1.5073832317315925</v>
      </c>
      <c r="E66" s="17">
        <f>+E6-(E39-E57)</f>
        <v>-64385069.192092896</v>
      </c>
      <c r="F66" s="39">
        <f t="shared" si="1"/>
        <v>-0.91534076190066682</v>
      </c>
      <c r="G66" s="17">
        <f>+C66-E66</f>
        <v>170414405.71209311</v>
      </c>
      <c r="H66" s="93">
        <f t="shared" si="3"/>
        <v>-264.68000710484853</v>
      </c>
      <c r="I66" s="17">
        <f>+I6-(I39-I57)</f>
        <v>210168908.31000006</v>
      </c>
      <c r="J66" s="39">
        <f t="shared" si="4"/>
        <v>3.069450655151555</v>
      </c>
      <c r="K66" s="17">
        <f>+C66-I66</f>
        <v>-104139571.78999984</v>
      </c>
      <c r="L66" s="93">
        <f t="shared" si="6"/>
        <v>-49.55041762713708</v>
      </c>
      <c r="M66" s="80" t="s">
        <v>135</v>
      </c>
    </row>
    <row r="67" spans="1:13" s="2" customFormat="1" ht="15" customHeight="1">
      <c r="A67" s="15"/>
      <c r="B67" s="16" t="s">
        <v>0</v>
      </c>
      <c r="C67" s="17">
        <f>+C68+C69</f>
        <v>307598986.94</v>
      </c>
      <c r="D67" s="39">
        <f t="shared" si="0"/>
        <v>4.3730308066533974</v>
      </c>
      <c r="E67" s="17">
        <f>+E68+E69</f>
        <v>320789330.73000002</v>
      </c>
      <c r="F67" s="39">
        <f t="shared" si="1"/>
        <v>4.5605534650270121</v>
      </c>
      <c r="G67" s="17">
        <f t="shared" ref="G67" si="13">+C67-E67</f>
        <v>-13190343.790000021</v>
      </c>
      <c r="H67" s="93">
        <f t="shared" si="3"/>
        <v>-4.111839929334181</v>
      </c>
      <c r="I67" s="17">
        <f>+I68+I69</f>
        <v>159642790.19</v>
      </c>
      <c r="J67" s="39">
        <f t="shared" si="4"/>
        <v>2.3315326271578787</v>
      </c>
      <c r="K67" s="17">
        <f t="shared" ref="K67" si="14">+C67-I67</f>
        <v>147956196.75</v>
      </c>
      <c r="L67" s="93">
        <f t="shared" si="6"/>
        <v>92.679535714646988</v>
      </c>
      <c r="M67" s="80" t="s">
        <v>138</v>
      </c>
    </row>
    <row r="68" spans="1:13">
      <c r="A68" s="21">
        <v>4611</v>
      </c>
      <c r="B68" s="22" t="s">
        <v>179</v>
      </c>
      <c r="C68" s="23">
        <v>161676167.66</v>
      </c>
      <c r="D68" s="41">
        <f t="shared" si="0"/>
        <v>2.298495417401194</v>
      </c>
      <c r="E68" s="23">
        <v>164739217.65000001</v>
      </c>
      <c r="F68" s="41">
        <f t="shared" si="1"/>
        <v>2.3420417635769124</v>
      </c>
      <c r="G68" s="23">
        <f t="shared" ref="G68:G77" si="15">+C68-E68</f>
        <v>-3063049.9900000095</v>
      </c>
      <c r="H68" s="94">
        <f t="shared" si="3"/>
        <v>-1.8593326068281186</v>
      </c>
      <c r="I68" s="23">
        <v>56391783.43</v>
      </c>
      <c r="J68" s="41">
        <f t="shared" si="4"/>
        <v>0.82358422083568594</v>
      </c>
      <c r="K68" s="23">
        <f t="shared" ref="K68:K71" si="16">+C68-I68</f>
        <v>105284384.22999999</v>
      </c>
      <c r="L68" s="94">
        <f t="shared" si="6"/>
        <v>186.70163954060996</v>
      </c>
      <c r="M68" s="72" t="s">
        <v>139</v>
      </c>
    </row>
    <row r="69" spans="1:13" ht="15" customHeight="1">
      <c r="A69" s="21">
        <v>4612</v>
      </c>
      <c r="B69" s="22" t="s">
        <v>180</v>
      </c>
      <c r="C69" s="23">
        <v>145922819.28</v>
      </c>
      <c r="D69" s="41">
        <f t="shared" si="0"/>
        <v>2.0745353892522038</v>
      </c>
      <c r="E69" s="23">
        <v>156050113.07999998</v>
      </c>
      <c r="F69" s="41">
        <f t="shared" si="1"/>
        <v>2.2185117014500992</v>
      </c>
      <c r="G69" s="23">
        <f t="shared" si="15"/>
        <v>-10127293.799999982</v>
      </c>
      <c r="H69" s="94">
        <f t="shared" si="3"/>
        <v>-6.4897702411841038</v>
      </c>
      <c r="I69" s="23">
        <v>103251006.75999999</v>
      </c>
      <c r="J69" s="41">
        <f t="shared" si="4"/>
        <v>1.5079484063221926</v>
      </c>
      <c r="K69" s="23">
        <f t="shared" si="16"/>
        <v>42671812.520000011</v>
      </c>
      <c r="L69" s="94">
        <f t="shared" si="6"/>
        <v>41.328229001376968</v>
      </c>
      <c r="M69" s="72" t="s">
        <v>140</v>
      </c>
    </row>
    <row r="70" spans="1:13" s="2" customFormat="1" ht="15" customHeight="1">
      <c r="A70" s="81">
        <v>4418</v>
      </c>
      <c r="B70" s="16" t="s">
        <v>63</v>
      </c>
      <c r="C70" s="17">
        <v>3266458.45</v>
      </c>
      <c r="D70" s="39">
        <f t="shared" si="0"/>
        <v>4.6438135484788173E-2</v>
      </c>
      <c r="E70" s="17">
        <v>2200000.96</v>
      </c>
      <c r="F70" s="39">
        <f t="shared" si="1"/>
        <v>3.1276669889110036E-2</v>
      </c>
      <c r="G70" s="17">
        <f t="shared" si="15"/>
        <v>1066457.4900000002</v>
      </c>
      <c r="H70" s="93">
        <f t="shared" si="3"/>
        <v>48.475319301678866</v>
      </c>
      <c r="I70" s="17">
        <v>614939.4</v>
      </c>
      <c r="J70" s="39">
        <f t="shared" si="4"/>
        <v>8.9809960920784488E-3</v>
      </c>
      <c r="K70" s="17">
        <f t="shared" si="16"/>
        <v>2651519.0500000003</v>
      </c>
      <c r="L70" s="93">
        <f t="shared" si="6"/>
        <v>431.18379632204415</v>
      </c>
      <c r="M70" s="80" t="s">
        <v>141</v>
      </c>
    </row>
    <row r="71" spans="1:13" s="2" customFormat="1" ht="15" customHeight="1">
      <c r="A71" s="81">
        <v>45</v>
      </c>
      <c r="B71" s="16" t="s">
        <v>44</v>
      </c>
      <c r="C71" s="17">
        <v>4787376.97</v>
      </c>
      <c r="D71" s="39">
        <f t="shared" ref="D71:D78" si="17">IFERROR(C71/$C$2*100,0)</f>
        <v>6.8060519903326691E-2</v>
      </c>
      <c r="E71" s="17">
        <v>2581026.1800000002</v>
      </c>
      <c r="F71" s="39">
        <f t="shared" ref="F71:F78" si="18">IFERROR(E71/$E$2*100,0)</f>
        <v>3.669357662780779E-2</v>
      </c>
      <c r="G71" s="17">
        <f t="shared" si="15"/>
        <v>2206350.7899999996</v>
      </c>
      <c r="H71" s="93">
        <f t="shared" ref="H71:H78" si="19">IFERROR(C71/E71*100-100,0)</f>
        <v>85.48347192665824</v>
      </c>
      <c r="I71" s="17">
        <v>6983029.4399999995</v>
      </c>
      <c r="J71" s="39">
        <f t="shared" ref="J71:J78" si="20">IFERROR(I71/$I$2*100,0)</f>
        <v>0.10198494373837284</v>
      </c>
      <c r="K71" s="17">
        <f t="shared" si="16"/>
        <v>-2195652.4699999997</v>
      </c>
      <c r="L71" s="93">
        <f t="shared" ref="L71:L78" si="21">IFERROR(C71/I71*100-100,0)</f>
        <v>-31.442692442665688</v>
      </c>
      <c r="M71" s="80" t="s">
        <v>108</v>
      </c>
    </row>
    <row r="72" spans="1:13" s="2" customFormat="1" ht="15" customHeight="1">
      <c r="A72" s="15"/>
      <c r="B72" s="16" t="s">
        <v>54</v>
      </c>
      <c r="C72" s="17">
        <f>+C64-C67-C70-C71</f>
        <v>-285158532.75999987</v>
      </c>
      <c r="D72" s="39">
        <f t="shared" si="17"/>
        <v>-4.0540024560705126</v>
      </c>
      <c r="E72" s="17">
        <f>+E64-E67-E70-E71</f>
        <v>-479004640.55209291</v>
      </c>
      <c r="F72" s="39">
        <f t="shared" si="18"/>
        <v>-6.809847036566576</v>
      </c>
      <c r="G72" s="17">
        <f t="shared" si="15"/>
        <v>193846107.79209304</v>
      </c>
      <c r="H72" s="93">
        <f t="shared" si="19"/>
        <v>-40.468523972684103</v>
      </c>
      <c r="I72" s="17">
        <f>+I64-I67-I70-I71</f>
        <v>-2259329.6099999212</v>
      </c>
      <c r="J72" s="39">
        <f t="shared" si="20"/>
        <v>-3.2996796754487377E-2</v>
      </c>
      <c r="K72" s="17">
        <f t="shared" ref="K72:K78" si="22">+C72-I72</f>
        <v>-282899203.14999998</v>
      </c>
      <c r="L72" s="93">
        <f t="shared" si="21"/>
        <v>12521.378106933667</v>
      </c>
      <c r="M72" s="80" t="s">
        <v>142</v>
      </c>
    </row>
    <row r="73" spans="1:13" s="2" customFormat="1" ht="15" customHeight="1">
      <c r="A73" s="15"/>
      <c r="B73" s="16" t="s">
        <v>48</v>
      </c>
      <c r="C73" s="17">
        <f>SUM(C74:C78)+C63</f>
        <v>285158532.75999987</v>
      </c>
      <c r="D73" s="39">
        <f t="shared" si="17"/>
        <v>4.0540024560705126</v>
      </c>
      <c r="E73" s="17">
        <f>SUM(E74:E78)+E63</f>
        <v>479004640.55209291</v>
      </c>
      <c r="F73" s="39">
        <f t="shared" si="18"/>
        <v>6.809847036566576</v>
      </c>
      <c r="G73" s="17">
        <f t="shared" si="15"/>
        <v>-193846107.79209304</v>
      </c>
      <c r="H73" s="93">
        <f t="shared" si="19"/>
        <v>-40.468523972684103</v>
      </c>
      <c r="I73" s="17">
        <f>SUM(I74:I78)+I63</f>
        <v>2259329.6099999249</v>
      </c>
      <c r="J73" s="39">
        <f t="shared" si="20"/>
        <v>3.2996796754487433E-2</v>
      </c>
      <c r="K73" s="17">
        <f t="shared" si="22"/>
        <v>282899203.14999998</v>
      </c>
      <c r="L73" s="93">
        <f t="shared" si="21"/>
        <v>12521.378106933647</v>
      </c>
      <c r="M73" s="80" t="s">
        <v>143</v>
      </c>
    </row>
    <row r="74" spans="1:13">
      <c r="A74" s="21">
        <v>7511</v>
      </c>
      <c r="B74" s="22" t="s">
        <v>55</v>
      </c>
      <c r="C74" s="23">
        <v>0</v>
      </c>
      <c r="D74" s="41">
        <f t="shared" si="17"/>
        <v>0</v>
      </c>
      <c r="E74" s="23">
        <v>0</v>
      </c>
      <c r="F74" s="41">
        <f t="shared" si="18"/>
        <v>0</v>
      </c>
      <c r="G74" s="23">
        <f t="shared" si="15"/>
        <v>0</v>
      </c>
      <c r="H74" s="94">
        <f t="shared" si="19"/>
        <v>0</v>
      </c>
      <c r="I74" s="23">
        <v>0</v>
      </c>
      <c r="J74" s="41">
        <f t="shared" si="20"/>
        <v>0</v>
      </c>
      <c r="K74" s="23">
        <f t="shared" si="22"/>
        <v>0</v>
      </c>
      <c r="L74" s="94">
        <f t="shared" si="21"/>
        <v>0</v>
      </c>
      <c r="M74" s="72" t="s">
        <v>144</v>
      </c>
    </row>
    <row r="75" spans="1:13" ht="15" customHeight="1">
      <c r="A75" s="21">
        <v>7512</v>
      </c>
      <c r="B75" s="22" t="s">
        <v>49</v>
      </c>
      <c r="C75" s="23">
        <v>699598099.29999995</v>
      </c>
      <c r="D75" s="41">
        <f t="shared" si="17"/>
        <v>9.9459496630651127</v>
      </c>
      <c r="E75" s="23">
        <v>687000000</v>
      </c>
      <c r="F75" s="41">
        <f t="shared" si="18"/>
        <v>9.7668467443844182</v>
      </c>
      <c r="G75" s="23">
        <f t="shared" si="15"/>
        <v>12598099.299999952</v>
      </c>
      <c r="H75" s="94">
        <f t="shared" si="19"/>
        <v>1.8337844687045077</v>
      </c>
      <c r="I75" s="23">
        <v>115237814.27999999</v>
      </c>
      <c r="J75" s="41">
        <f t="shared" si="20"/>
        <v>1.6830119515977375</v>
      </c>
      <c r="K75" s="23">
        <f t="shared" si="22"/>
        <v>584360285.01999998</v>
      </c>
      <c r="L75" s="94">
        <f t="shared" si="21"/>
        <v>507.09073985050259</v>
      </c>
      <c r="M75" s="72" t="s">
        <v>145</v>
      </c>
    </row>
    <row r="76" spans="1:13" ht="15" customHeight="1">
      <c r="A76" s="18">
        <v>72</v>
      </c>
      <c r="B76" s="19" t="s">
        <v>172</v>
      </c>
      <c r="C76" s="20">
        <v>1067317.03</v>
      </c>
      <c r="D76" s="40">
        <f t="shared" si="17"/>
        <v>1.517368538527154E-2</v>
      </c>
      <c r="E76" s="20">
        <v>3000000</v>
      </c>
      <c r="F76" s="40">
        <f t="shared" si="18"/>
        <v>4.2649985783338069E-2</v>
      </c>
      <c r="G76" s="20">
        <f t="shared" si="15"/>
        <v>-1932682.97</v>
      </c>
      <c r="H76" s="89">
        <f t="shared" si="19"/>
        <v>-64.422765666666663</v>
      </c>
      <c r="I76" s="20">
        <v>1883241.7000000002</v>
      </c>
      <c r="J76" s="40">
        <f t="shared" si="20"/>
        <v>2.7504151381646996E-2</v>
      </c>
      <c r="K76" s="20">
        <f t="shared" si="22"/>
        <v>-815924.67000000016</v>
      </c>
      <c r="L76" s="89">
        <f t="shared" si="21"/>
        <v>-43.325541803795019</v>
      </c>
      <c r="M76" s="71" t="s">
        <v>146</v>
      </c>
    </row>
    <row r="77" spans="1:13" ht="15" customHeight="1">
      <c r="A77" s="28">
        <v>73</v>
      </c>
      <c r="B77" s="29" t="s">
        <v>187</v>
      </c>
      <c r="C77" s="30">
        <v>10058386.83</v>
      </c>
      <c r="D77" s="40">
        <f t="shared" si="17"/>
        <v>0.1429966851009383</v>
      </c>
      <c r="E77" s="30">
        <v>3726463.6537240706</v>
      </c>
      <c r="F77" s="40">
        <f t="shared" si="18"/>
        <v>5.2977873951152554E-2</v>
      </c>
      <c r="G77" s="20">
        <f t="shared" si="15"/>
        <v>6331923.1762759294</v>
      </c>
      <c r="H77" s="89">
        <f t="shared" si="19"/>
        <v>169.91774949818904</v>
      </c>
      <c r="I77" s="30">
        <v>8382034.6699999999</v>
      </c>
      <c r="J77" s="40">
        <f t="shared" si="20"/>
        <v>0.12241697411962228</v>
      </c>
      <c r="K77" s="20">
        <f t="shared" si="22"/>
        <v>1676352.1600000001</v>
      </c>
      <c r="L77" s="89">
        <f t="shared" si="21"/>
        <v>19.999346530977789</v>
      </c>
      <c r="M77" s="71" t="s">
        <v>108</v>
      </c>
    </row>
    <row r="78" spans="1:13" ht="15" customHeight="1" thickBot="1">
      <c r="A78" s="24"/>
      <c r="B78" s="25" t="s">
        <v>50</v>
      </c>
      <c r="C78" s="26">
        <f>+-C72-(SUM(C74:C77)+C63)</f>
        <v>-425565270.4000001</v>
      </c>
      <c r="D78" s="42">
        <f t="shared" si="17"/>
        <v>-6.0501175774808091</v>
      </c>
      <c r="E78" s="26">
        <f>+-E72-(SUM(E74:E77)+E63)</f>
        <v>-214721823.10163116</v>
      </c>
      <c r="F78" s="42">
        <f t="shared" si="18"/>
        <v>-3.0526275675523338</v>
      </c>
      <c r="G78" s="26">
        <f>+C78-E78</f>
        <v>-210843447.29836893</v>
      </c>
      <c r="H78" s="95">
        <f t="shared" si="19"/>
        <v>98.193767290515893</v>
      </c>
      <c r="I78" s="26">
        <f t="shared" ref="I78" si="23">-I72-SUM(I74:I77)</f>
        <v>-123243761.04000007</v>
      </c>
      <c r="J78" s="42">
        <f t="shared" si="20"/>
        <v>-1.7999362803445198</v>
      </c>
      <c r="K78" s="26">
        <f t="shared" si="22"/>
        <v>-302321509.36000001</v>
      </c>
      <c r="L78" s="95">
        <f t="shared" si="21"/>
        <v>245.30370284778826</v>
      </c>
      <c r="M78" s="75" t="s">
        <v>147</v>
      </c>
    </row>
    <row r="79" spans="1:13" ht="13.5" customHeight="1"/>
    <row r="82" spans="9:9">
      <c r="I82" s="7"/>
    </row>
  </sheetData>
  <sheetProtection algorithmName="SHA-512" hashValue="BUfvmtoqUWsqiMeWBW9Bvvm72RoTKLOKKzC+Chf/nq1IksaLuTGXs81RaJZz13+fIHqpEC+kP2Rkr6Ye4pXC2A==" saltValue="xlrodg+3p9NCmAnGNFe4BA==" spinCount="100000" sheet="1" formatCells="0" formatColumns="0" formatRows="0"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zoomScale="90" zoomScaleNormal="90" zoomScaleSheetLayoutView="90" workbookViewId="0">
      <pane ySplit="5" topLeftCell="A35" activePane="bottomLeft" state="frozen"/>
      <selection activeCell="G14" sqref="G14"/>
      <selection pane="bottomLeft" activeCell="F43" sqref="F43"/>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96" customWidth="1"/>
    <col min="9" max="9" width="9.140625" style="6" customWidth="1"/>
    <col min="10" max="10" width="10.42578125" style="7" customWidth="1"/>
    <col min="11" max="11" width="11.140625" style="6" customWidth="1"/>
    <col min="12" max="12" width="11.7109375" style="96" customWidth="1"/>
    <col min="13" max="13" width="54.42578125" style="4" customWidth="1"/>
    <col min="14" max="16384" width="9.140625" style="1"/>
  </cols>
  <sheetData>
    <row r="1" spans="1:16382" ht="18.75" customHeight="1" thickBot="1">
      <c r="B1" s="5"/>
      <c r="M1" s="5"/>
    </row>
    <row r="2" spans="1:16382" ht="15.75" customHeight="1" thickBot="1">
      <c r="A2" s="8" t="s">
        <v>58</v>
      </c>
      <c r="B2" s="8"/>
      <c r="C2" s="125">
        <f>+'Centralna država-ek klas'!C2:D2</f>
        <v>7034000000</v>
      </c>
      <c r="D2" s="126"/>
      <c r="E2" s="125">
        <f>+'Centralna država-ek klas'!E2:F2</f>
        <v>7034000000</v>
      </c>
      <c r="F2" s="126"/>
      <c r="G2" s="9"/>
      <c r="H2" s="97"/>
      <c r="I2" s="125">
        <f>+'Centralna država-ek klas'!I2:J2</f>
        <v>6847118000</v>
      </c>
      <c r="J2" s="126"/>
      <c r="K2" s="9"/>
      <c r="L2" s="97"/>
      <c r="M2" s="8" t="s">
        <v>78</v>
      </c>
    </row>
    <row r="3" spans="1:16382" ht="15" customHeight="1" thickBot="1">
      <c r="A3" s="8"/>
      <c r="B3" s="8"/>
      <c r="C3" s="11"/>
      <c r="D3" s="8"/>
      <c r="E3" s="11"/>
      <c r="F3" s="10"/>
      <c r="G3" s="11"/>
      <c r="H3" s="97"/>
      <c r="I3" s="11"/>
      <c r="J3" s="10"/>
      <c r="K3" s="11"/>
      <c r="L3" s="97"/>
      <c r="M3" s="8"/>
    </row>
    <row r="4" spans="1:16382" ht="15" customHeight="1">
      <c r="A4" s="117" t="s">
        <v>70</v>
      </c>
      <c r="B4" s="115" t="s">
        <v>71</v>
      </c>
      <c r="C4" s="121" t="s">
        <v>191</v>
      </c>
      <c r="D4" s="122"/>
      <c r="E4" s="119" t="s">
        <v>192</v>
      </c>
      <c r="F4" s="120"/>
      <c r="G4" s="119" t="s">
        <v>171</v>
      </c>
      <c r="H4" s="120"/>
      <c r="I4" s="119" t="s">
        <v>193</v>
      </c>
      <c r="J4" s="120"/>
      <c r="K4" s="119" t="s">
        <v>171</v>
      </c>
      <c r="L4" s="120"/>
      <c r="M4" s="113" t="s">
        <v>148</v>
      </c>
    </row>
    <row r="5" spans="1:16382" ht="23.25" customHeight="1">
      <c r="A5" s="118"/>
      <c r="B5" s="116"/>
      <c r="C5" s="12" t="s">
        <v>61</v>
      </c>
      <c r="D5" s="13" t="s">
        <v>56</v>
      </c>
      <c r="E5" s="12" t="s">
        <v>61</v>
      </c>
      <c r="F5" s="13" t="s">
        <v>56</v>
      </c>
      <c r="G5" s="12" t="s">
        <v>64</v>
      </c>
      <c r="H5" s="98" t="s">
        <v>62</v>
      </c>
      <c r="I5" s="12" t="s">
        <v>61</v>
      </c>
      <c r="J5" s="14" t="s">
        <v>56</v>
      </c>
      <c r="K5" s="12" t="s">
        <v>61</v>
      </c>
      <c r="L5" s="100" t="s">
        <v>62</v>
      </c>
      <c r="M5" s="114"/>
    </row>
    <row r="6" spans="1:16382" s="34" customFormat="1" ht="15" customHeight="1">
      <c r="A6" s="31"/>
      <c r="B6" s="32" t="s">
        <v>51</v>
      </c>
      <c r="C6" s="33">
        <f>+C7+C12+C19+C30+C35+C36</f>
        <v>188361388.484</v>
      </c>
      <c r="D6" s="43">
        <f>IFERROR(C6/$C$2*100,0)</f>
        <v>2.67787018032414</v>
      </c>
      <c r="E6" s="33">
        <f>+E7+E12+E19+E30+E35+E36</f>
        <v>173460895.09540001</v>
      </c>
      <c r="F6" s="43">
        <f>IFERROR(E6/$E$2*100,0)</f>
        <v>2.4660349032613027</v>
      </c>
      <c r="G6" s="33">
        <f>+C6-E6</f>
        <v>14900493.388599992</v>
      </c>
      <c r="H6" s="99">
        <f>IFERROR(C6/E6*100-100,0)</f>
        <v>8.590116740954798</v>
      </c>
      <c r="I6" s="33">
        <f>+I7+I12+I19+I30+I35+I36</f>
        <v>146040235.59000003</v>
      </c>
      <c r="J6" s="43">
        <f>IFERROR(I6/$I$2*100,0)</f>
        <v>2.1328716051045129</v>
      </c>
      <c r="K6" s="33">
        <f>+C6-I6</f>
        <v>42321152.893999964</v>
      </c>
      <c r="L6" s="99">
        <f>IFERROR(C6/I6*100-100,0)</f>
        <v>28.979104780968925</v>
      </c>
      <c r="M6" s="70" t="s">
        <v>149</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pans="1:16382" ht="15" customHeight="1">
      <c r="A7" s="18">
        <v>711</v>
      </c>
      <c r="B7" s="19" t="s">
        <v>1</v>
      </c>
      <c r="C7" s="20">
        <f>+SUM(C8:C11)</f>
        <v>96148213.114000008</v>
      </c>
      <c r="D7" s="40">
        <f t="shared" ref="D7:D70" si="0">IFERROR(C7/$C$2*100,0)</f>
        <v>1.3669066408018198</v>
      </c>
      <c r="E7" s="20">
        <f>+SUM(E8:E11)</f>
        <v>90336548.190400004</v>
      </c>
      <c r="F7" s="40">
        <f t="shared" ref="F7:F70" si="1">IFERROR(E7/$E$2*100,0)</f>
        <v>1.2842841653454649</v>
      </c>
      <c r="G7" s="20">
        <f t="shared" ref="G7:G65" si="2">+C7-E7</f>
        <v>5811664.9236000031</v>
      </c>
      <c r="H7" s="89">
        <f t="shared" ref="H7:H70" si="3">IFERROR(C7/E7*100-100,0)</f>
        <v>6.4333484508959771</v>
      </c>
      <c r="I7" s="20">
        <f>+SUM(I8:I11)</f>
        <v>80291624.220000014</v>
      </c>
      <c r="J7" s="40">
        <f t="shared" ref="J7:J70" si="4">IFERROR(I7/$I$2*100,0)</f>
        <v>1.1726338617210923</v>
      </c>
      <c r="K7" s="20">
        <f>+C7-I7</f>
        <v>15856588.893999994</v>
      </c>
      <c r="L7" s="89">
        <f t="shared" ref="L7:L70" si="5">IFERROR(C7/I7*100-100,0)</f>
        <v>19.748745959544607</v>
      </c>
      <c r="M7" s="71" t="s">
        <v>79</v>
      </c>
    </row>
    <row r="8" spans="1:16382" ht="15" customHeight="1">
      <c r="A8" s="21">
        <v>7111</v>
      </c>
      <c r="B8" s="22" t="s">
        <v>2</v>
      </c>
      <c r="C8" s="23">
        <v>46111913.359999999</v>
      </c>
      <c r="D8" s="41">
        <f t="shared" si="0"/>
        <v>0.65555748308217232</v>
      </c>
      <c r="E8" s="23">
        <v>43270927.531999998</v>
      </c>
      <c r="F8" s="41">
        <f t="shared" si="1"/>
        <v>0.61516814802388398</v>
      </c>
      <c r="G8" s="23">
        <f t="shared" si="2"/>
        <v>2840985.8280000016</v>
      </c>
      <c r="H8" s="94">
        <f t="shared" si="3"/>
        <v>6.565576450606514</v>
      </c>
      <c r="I8" s="23">
        <v>32392234.470000003</v>
      </c>
      <c r="J8" s="41">
        <f t="shared" si="4"/>
        <v>0.47307837355804294</v>
      </c>
      <c r="K8" s="23">
        <f t="shared" ref="K8:K65" si="6">+C8-I8</f>
        <v>13719678.889999997</v>
      </c>
      <c r="L8" s="94">
        <f t="shared" si="5"/>
        <v>42.354839406668447</v>
      </c>
      <c r="M8" s="72" t="s">
        <v>80</v>
      </c>
    </row>
    <row r="9" spans="1:16382" ht="15" customHeight="1">
      <c r="A9" s="21">
        <v>71131</v>
      </c>
      <c r="B9" s="22" t="s">
        <v>66</v>
      </c>
      <c r="C9" s="23">
        <v>27190934.814000007</v>
      </c>
      <c r="D9" s="41">
        <f t="shared" si="0"/>
        <v>0.3865643277509242</v>
      </c>
      <c r="E9" s="23">
        <v>26000000</v>
      </c>
      <c r="F9" s="41">
        <f t="shared" si="1"/>
        <v>0.3696332101222633</v>
      </c>
      <c r="G9" s="23">
        <f t="shared" ref="G9" si="7">+C9-E9</f>
        <v>1190934.8140000068</v>
      </c>
      <c r="H9" s="94">
        <f t="shared" si="3"/>
        <v>4.5805185153846395</v>
      </c>
      <c r="I9" s="23">
        <v>26621696.669999998</v>
      </c>
      <c r="J9" s="41">
        <f t="shared" si="4"/>
        <v>0.38880148801291287</v>
      </c>
      <c r="K9" s="23">
        <f t="shared" ref="K9" si="8">+C9-I9</f>
        <v>569238.1440000087</v>
      </c>
      <c r="L9" s="94">
        <f t="shared" si="5"/>
        <v>2.1382489292708584</v>
      </c>
      <c r="M9" s="72" t="s">
        <v>150</v>
      </c>
    </row>
    <row r="10" spans="1:16382" ht="15" customHeight="1">
      <c r="A10" s="21">
        <v>71132</v>
      </c>
      <c r="B10" s="22" t="s">
        <v>4</v>
      </c>
      <c r="C10" s="23">
        <v>11491232.710000001</v>
      </c>
      <c r="D10" s="41">
        <f t="shared" si="0"/>
        <v>0.16336697057150984</v>
      </c>
      <c r="E10" s="23">
        <v>10000000</v>
      </c>
      <c r="F10" s="41">
        <f t="shared" si="1"/>
        <v>0.14216661927779359</v>
      </c>
      <c r="G10" s="23">
        <f t="shared" si="2"/>
        <v>1491232.7100000009</v>
      </c>
      <c r="H10" s="94">
        <f t="shared" si="3"/>
        <v>14.912327100000013</v>
      </c>
      <c r="I10" s="23">
        <v>12081934.32</v>
      </c>
      <c r="J10" s="41">
        <f t="shared" si="4"/>
        <v>0.17645284220309918</v>
      </c>
      <c r="K10" s="23">
        <f t="shared" si="6"/>
        <v>-590701.6099999994</v>
      </c>
      <c r="L10" s="94">
        <f t="shared" si="5"/>
        <v>-4.8891311138993103</v>
      </c>
      <c r="M10" s="72" t="s">
        <v>82</v>
      </c>
    </row>
    <row r="11" spans="1:16382" ht="15" customHeight="1">
      <c r="A11" s="106" t="s">
        <v>189</v>
      </c>
      <c r="B11" s="22" t="s">
        <v>190</v>
      </c>
      <c r="C11" s="23">
        <v>11354132.229999999</v>
      </c>
      <c r="D11" s="41">
        <f t="shared" si="0"/>
        <v>0.16141785939721351</v>
      </c>
      <c r="E11" s="23">
        <v>11065620.658399999</v>
      </c>
      <c r="F11" s="41">
        <f t="shared" si="1"/>
        <v>0.15731618792152402</v>
      </c>
      <c r="G11" s="23">
        <f t="shared" si="2"/>
        <v>288511.57159999944</v>
      </c>
      <c r="H11" s="94">
        <f t="shared" si="3"/>
        <v>2.6072787103992141</v>
      </c>
      <c r="I11" s="23">
        <v>9195758.7600000035</v>
      </c>
      <c r="J11" s="41">
        <f t="shared" si="4"/>
        <v>0.13430115794703704</v>
      </c>
      <c r="K11" s="23">
        <f t="shared" si="6"/>
        <v>2158373.4699999951</v>
      </c>
      <c r="L11" s="94">
        <f t="shared" si="5"/>
        <v>23.471401613845671</v>
      </c>
      <c r="M11" s="72" t="s">
        <v>160</v>
      </c>
    </row>
    <row r="12" spans="1:16382" ht="15" customHeight="1">
      <c r="A12" s="18">
        <v>713</v>
      </c>
      <c r="B12" s="19" t="s">
        <v>13</v>
      </c>
      <c r="C12" s="69">
        <f>C13+C17+C18</f>
        <v>2306105.41</v>
      </c>
      <c r="D12" s="40">
        <f t="shared" si="0"/>
        <v>3.2785120983793006E-2</v>
      </c>
      <c r="E12" s="20">
        <f>SUM(E13:E18)</f>
        <v>3000000</v>
      </c>
      <c r="F12" s="40">
        <f t="shared" si="1"/>
        <v>4.2649985783338069E-2</v>
      </c>
      <c r="G12" s="20">
        <f t="shared" si="2"/>
        <v>-693894.58999999985</v>
      </c>
      <c r="H12" s="89">
        <f t="shared" si="3"/>
        <v>-23.129819666666663</v>
      </c>
      <c r="I12" s="69">
        <f>SUM(I13:I18)</f>
        <v>2097229.39</v>
      </c>
      <c r="J12" s="40">
        <f t="shared" si="4"/>
        <v>3.0629374139601512E-2</v>
      </c>
      <c r="K12" s="20">
        <f t="shared" si="6"/>
        <v>208876.02000000002</v>
      </c>
      <c r="L12" s="89">
        <f t="shared" si="5"/>
        <v>9.9596172453028515</v>
      </c>
      <c r="M12" s="71" t="s">
        <v>92</v>
      </c>
    </row>
    <row r="13" spans="1:16382">
      <c r="A13" s="21">
        <v>7131</v>
      </c>
      <c r="B13" s="22" t="s">
        <v>14</v>
      </c>
      <c r="C13" s="23">
        <v>540180.24</v>
      </c>
      <c r="D13" s="41">
        <f t="shared" si="0"/>
        <v>7.6795598521467159E-3</v>
      </c>
      <c r="E13" s="107">
        <v>600000</v>
      </c>
      <c r="F13" s="41">
        <f t="shared" si="1"/>
        <v>8.5299971566676156E-3</v>
      </c>
      <c r="G13" s="23">
        <f t="shared" si="2"/>
        <v>-59819.760000000009</v>
      </c>
      <c r="H13" s="94">
        <f t="shared" si="3"/>
        <v>-9.9699600000000004</v>
      </c>
      <c r="I13" s="23">
        <v>542911.02000000014</v>
      </c>
      <c r="J13" s="41">
        <f t="shared" si="4"/>
        <v>7.9290443074005752E-3</v>
      </c>
      <c r="K13" s="23">
        <f t="shared" si="6"/>
        <v>-2730.7800000001444</v>
      </c>
      <c r="L13" s="94">
        <f t="shared" si="5"/>
        <v>-0.50298850076761425</v>
      </c>
      <c r="M13" s="72" t="s">
        <v>93</v>
      </c>
    </row>
    <row r="14" spans="1:16382" hidden="1">
      <c r="A14" s="21">
        <v>7132</v>
      </c>
      <c r="B14" s="22" t="s">
        <v>15</v>
      </c>
      <c r="C14" s="23">
        <v>540180.24</v>
      </c>
      <c r="D14" s="41">
        <f t="shared" si="0"/>
        <v>7.6795598521467159E-3</v>
      </c>
      <c r="E14" s="107"/>
      <c r="F14" s="41">
        <f t="shared" si="1"/>
        <v>0</v>
      </c>
      <c r="G14" s="23">
        <f t="shared" si="2"/>
        <v>540180.24</v>
      </c>
      <c r="H14" s="94">
        <f t="shared" si="3"/>
        <v>0</v>
      </c>
      <c r="I14" s="23"/>
      <c r="J14" s="41">
        <f t="shared" si="4"/>
        <v>0</v>
      </c>
      <c r="K14" s="23">
        <f t="shared" si="6"/>
        <v>540180.24</v>
      </c>
      <c r="L14" s="94">
        <f t="shared" si="5"/>
        <v>0</v>
      </c>
      <c r="M14" s="72" t="s">
        <v>94</v>
      </c>
    </row>
    <row r="15" spans="1:16382" ht="14.25" hidden="1" customHeight="1">
      <c r="A15" s="21">
        <v>7133</v>
      </c>
      <c r="B15" s="22" t="s">
        <v>16</v>
      </c>
      <c r="C15" s="23">
        <v>540180.24</v>
      </c>
      <c r="D15" s="41">
        <f t="shared" si="0"/>
        <v>7.6795598521467159E-3</v>
      </c>
      <c r="E15" s="107"/>
      <c r="F15" s="41">
        <f t="shared" si="1"/>
        <v>0</v>
      </c>
      <c r="G15" s="23">
        <f t="shared" si="2"/>
        <v>540180.24</v>
      </c>
      <c r="H15" s="94">
        <f t="shared" si="3"/>
        <v>0</v>
      </c>
      <c r="I15" s="23"/>
      <c r="J15" s="41">
        <f t="shared" si="4"/>
        <v>0</v>
      </c>
      <c r="K15" s="23">
        <f t="shared" si="6"/>
        <v>540180.24</v>
      </c>
      <c r="L15" s="94">
        <f t="shared" si="5"/>
        <v>0</v>
      </c>
      <c r="M15" s="72" t="s">
        <v>156</v>
      </c>
    </row>
    <row r="16" spans="1:16382" hidden="1">
      <c r="A16" s="21">
        <v>7134</v>
      </c>
      <c r="B16" s="22" t="s">
        <v>151</v>
      </c>
      <c r="C16" s="23"/>
      <c r="D16" s="41">
        <f t="shared" si="0"/>
        <v>0</v>
      </c>
      <c r="E16" s="107"/>
      <c r="F16" s="41">
        <f t="shared" si="1"/>
        <v>0</v>
      </c>
      <c r="G16" s="23">
        <f t="shared" ref="G16:G17" si="9">+C16-E16</f>
        <v>0</v>
      </c>
      <c r="H16" s="94">
        <f t="shared" si="3"/>
        <v>0</v>
      </c>
      <c r="I16" s="23"/>
      <c r="J16" s="41">
        <f t="shared" si="4"/>
        <v>0</v>
      </c>
      <c r="K16" s="23">
        <f t="shared" ref="K16:K17" si="10">+C16-I16</f>
        <v>0</v>
      </c>
      <c r="L16" s="94">
        <f t="shared" si="5"/>
        <v>0</v>
      </c>
      <c r="M16" s="72" t="s">
        <v>155</v>
      </c>
    </row>
    <row r="17" spans="1:13" ht="15" customHeight="1">
      <c r="A17" s="21">
        <v>7135</v>
      </c>
      <c r="B17" s="22" t="s">
        <v>17</v>
      </c>
      <c r="C17" s="23">
        <v>1451986.82</v>
      </c>
      <c r="D17" s="41">
        <f t="shared" si="0"/>
        <v>2.064240574353142E-2</v>
      </c>
      <c r="E17" s="107">
        <v>1800000</v>
      </c>
      <c r="F17" s="41">
        <f t="shared" si="1"/>
        <v>2.5589991470002842E-2</v>
      </c>
      <c r="G17" s="23">
        <f t="shared" si="9"/>
        <v>-348013.17999999993</v>
      </c>
      <c r="H17" s="94">
        <f t="shared" si="3"/>
        <v>-19.334065555555554</v>
      </c>
      <c r="I17" s="23">
        <v>1290951.23</v>
      </c>
      <c r="J17" s="41">
        <f t="shared" si="4"/>
        <v>1.8853935772685675E-2</v>
      </c>
      <c r="K17" s="23">
        <f t="shared" si="10"/>
        <v>161035.59000000008</v>
      </c>
      <c r="L17" s="94">
        <f t="shared" si="5"/>
        <v>12.474180763590908</v>
      </c>
      <c r="M17" s="72" t="s">
        <v>154</v>
      </c>
    </row>
    <row r="18" spans="1:13" ht="15" customHeight="1">
      <c r="A18" s="21">
        <v>7136</v>
      </c>
      <c r="B18" s="22" t="s">
        <v>18</v>
      </c>
      <c r="C18" s="23">
        <v>313938.35000000003</v>
      </c>
      <c r="D18" s="41">
        <f t="shared" si="0"/>
        <v>4.4631553881148709E-3</v>
      </c>
      <c r="E18" s="107">
        <v>600000</v>
      </c>
      <c r="F18" s="41">
        <f t="shared" si="1"/>
        <v>8.5299971566676156E-3</v>
      </c>
      <c r="G18" s="23">
        <f t="shared" si="2"/>
        <v>-286061.64999999997</v>
      </c>
      <c r="H18" s="94">
        <f t="shared" si="3"/>
        <v>-47.676941666666664</v>
      </c>
      <c r="I18" s="23">
        <v>263367.14</v>
      </c>
      <c r="J18" s="41">
        <f t="shared" si="4"/>
        <v>3.846394059515259E-3</v>
      </c>
      <c r="K18" s="23">
        <f t="shared" si="6"/>
        <v>50571.210000000021</v>
      </c>
      <c r="L18" s="94">
        <f t="shared" si="5"/>
        <v>19.201791840850007</v>
      </c>
      <c r="M18" s="72" t="s">
        <v>96</v>
      </c>
    </row>
    <row r="19" spans="1:13" ht="15" customHeight="1">
      <c r="A19" s="18">
        <v>714</v>
      </c>
      <c r="B19" s="19" t="s">
        <v>19</v>
      </c>
      <c r="C19" s="20">
        <f>+SUM(C20:C29)</f>
        <v>37820858.799999997</v>
      </c>
      <c r="D19" s="40">
        <f t="shared" si="0"/>
        <v>0.53768636337787878</v>
      </c>
      <c r="E19" s="108">
        <f>+SUM(E20:E29)</f>
        <v>40200000</v>
      </c>
      <c r="F19" s="40">
        <f t="shared" si="1"/>
        <v>0.57150980949673014</v>
      </c>
      <c r="G19" s="20">
        <f t="shared" si="2"/>
        <v>-2379141.200000003</v>
      </c>
      <c r="H19" s="89">
        <f t="shared" si="3"/>
        <v>-5.9182616915422983</v>
      </c>
      <c r="I19" s="20">
        <f>+SUM(I20:I29)</f>
        <v>34202480.910000004</v>
      </c>
      <c r="J19" s="40">
        <f t="shared" si="4"/>
        <v>0.49951645217739787</v>
      </c>
      <c r="K19" s="20">
        <f t="shared" si="6"/>
        <v>3618377.8899999931</v>
      </c>
      <c r="L19" s="89">
        <f t="shared" si="5"/>
        <v>10.579284875624523</v>
      </c>
      <c r="M19" s="71" t="s">
        <v>97</v>
      </c>
    </row>
    <row r="20" spans="1:13" ht="15" customHeight="1">
      <c r="A20" s="21">
        <v>7141</v>
      </c>
      <c r="B20" s="22" t="s">
        <v>20</v>
      </c>
      <c r="C20" s="23">
        <v>1760337.85</v>
      </c>
      <c r="D20" s="41">
        <f t="shared" si="0"/>
        <v>2.502612809212397E-2</v>
      </c>
      <c r="E20" s="107">
        <v>1000000</v>
      </c>
      <c r="F20" s="41">
        <f t="shared" si="1"/>
        <v>1.4216661927779357E-2</v>
      </c>
      <c r="G20" s="23">
        <f t="shared" si="2"/>
        <v>760337.85000000009</v>
      </c>
      <c r="H20" s="94">
        <f t="shared" si="3"/>
        <v>76.033785000000023</v>
      </c>
      <c r="I20" s="23">
        <v>2265688.2000000002</v>
      </c>
      <c r="J20" s="41">
        <f t="shared" si="4"/>
        <v>3.308966195704529E-2</v>
      </c>
      <c r="K20" s="23">
        <f t="shared" si="6"/>
        <v>-505350.35000000009</v>
      </c>
      <c r="L20" s="94">
        <f t="shared" si="5"/>
        <v>-22.304496708770429</v>
      </c>
      <c r="M20" s="72" t="s">
        <v>98</v>
      </c>
    </row>
    <row r="21" spans="1:13" ht="15" customHeight="1">
      <c r="A21" s="21">
        <v>7142</v>
      </c>
      <c r="B21" s="22" t="s">
        <v>21</v>
      </c>
      <c r="C21" s="23">
        <v>2366644.1</v>
      </c>
      <c r="D21" s="41">
        <f t="shared" si="0"/>
        <v>3.3645779073073645E-2</v>
      </c>
      <c r="E21" s="107">
        <v>2600000</v>
      </c>
      <c r="F21" s="41">
        <f t="shared" si="1"/>
        <v>3.6963321012226331E-2</v>
      </c>
      <c r="G21" s="23">
        <f t="shared" si="2"/>
        <v>-233355.89999999991</v>
      </c>
      <c r="H21" s="94">
        <f t="shared" si="3"/>
        <v>-8.9752269230769173</v>
      </c>
      <c r="I21" s="23">
        <v>6787666.0199999996</v>
      </c>
      <c r="J21" s="41">
        <f t="shared" si="4"/>
        <v>9.9131722572913153E-2</v>
      </c>
      <c r="K21" s="23">
        <f t="shared" si="6"/>
        <v>-4421021.92</v>
      </c>
      <c r="L21" s="94">
        <f t="shared" si="5"/>
        <v>-65.133168116600999</v>
      </c>
      <c r="M21" s="72" t="s">
        <v>99</v>
      </c>
    </row>
    <row r="22" spans="1:13" hidden="1">
      <c r="A22" s="21">
        <v>7143</v>
      </c>
      <c r="B22" s="22" t="s">
        <v>22</v>
      </c>
      <c r="C22" s="23"/>
      <c r="D22" s="41">
        <f t="shared" si="0"/>
        <v>0</v>
      </c>
      <c r="E22" s="107"/>
      <c r="F22" s="41">
        <f t="shared" si="1"/>
        <v>0</v>
      </c>
      <c r="G22" s="23">
        <f t="shared" si="2"/>
        <v>0</v>
      </c>
      <c r="H22" s="94">
        <f t="shared" si="3"/>
        <v>0</v>
      </c>
      <c r="I22" s="23"/>
      <c r="J22" s="41">
        <f t="shared" si="4"/>
        <v>0</v>
      </c>
      <c r="K22" s="23">
        <f t="shared" si="6"/>
        <v>0</v>
      </c>
      <c r="L22" s="94">
        <f t="shared" si="5"/>
        <v>0</v>
      </c>
      <c r="M22" s="72" t="s">
        <v>100</v>
      </c>
    </row>
    <row r="23" spans="1:13" hidden="1">
      <c r="A23" s="21">
        <v>7144</v>
      </c>
      <c r="B23" s="22" t="s">
        <v>23</v>
      </c>
      <c r="C23" s="23"/>
      <c r="D23" s="41">
        <f t="shared" si="0"/>
        <v>0</v>
      </c>
      <c r="E23" s="107"/>
      <c r="F23" s="41">
        <f t="shared" si="1"/>
        <v>0</v>
      </c>
      <c r="G23" s="23">
        <f>+C23-E23</f>
        <v>0</v>
      </c>
      <c r="H23" s="94">
        <f t="shared" si="3"/>
        <v>0</v>
      </c>
      <c r="I23" s="23"/>
      <c r="J23" s="41">
        <f t="shared" si="4"/>
        <v>0</v>
      </c>
      <c r="K23" s="23">
        <f>+C23-I23</f>
        <v>0</v>
      </c>
      <c r="L23" s="94">
        <f t="shared" si="5"/>
        <v>0</v>
      </c>
      <c r="M23" s="72" t="s">
        <v>101</v>
      </c>
    </row>
    <row r="24" spans="1:13" ht="15.75" hidden="1" customHeight="1">
      <c r="A24" s="21"/>
      <c r="B24" s="22" t="s">
        <v>24</v>
      </c>
      <c r="C24" s="23"/>
      <c r="D24" s="41">
        <f t="shared" si="0"/>
        <v>0</v>
      </c>
      <c r="E24" s="107"/>
      <c r="F24" s="41">
        <f t="shared" si="1"/>
        <v>0</v>
      </c>
      <c r="G24" s="23"/>
      <c r="H24" s="94">
        <f t="shared" si="3"/>
        <v>0</v>
      </c>
      <c r="I24" s="23"/>
      <c r="J24" s="41">
        <f t="shared" si="4"/>
        <v>0</v>
      </c>
      <c r="K24" s="23">
        <f>+C24-I24</f>
        <v>0</v>
      </c>
      <c r="L24" s="94">
        <f t="shared" si="5"/>
        <v>0</v>
      </c>
      <c r="M24" s="72"/>
    </row>
    <row r="25" spans="1:13" ht="17.25" hidden="1" customHeight="1">
      <c r="A25" s="21">
        <v>7145</v>
      </c>
      <c r="B25" s="22" t="s">
        <v>67</v>
      </c>
      <c r="C25" s="23"/>
      <c r="D25" s="41">
        <f t="shared" si="0"/>
        <v>0</v>
      </c>
      <c r="E25" s="107"/>
      <c r="F25" s="41">
        <f t="shared" si="1"/>
        <v>0</v>
      </c>
      <c r="G25" s="23">
        <f t="shared" ref="G25:G27" si="11">+C25-E25</f>
        <v>0</v>
      </c>
      <c r="H25" s="94">
        <f t="shared" si="3"/>
        <v>0</v>
      </c>
      <c r="I25" s="23"/>
      <c r="J25" s="41">
        <f t="shared" si="4"/>
        <v>0</v>
      </c>
      <c r="K25" s="23">
        <f t="shared" ref="K25:K27" si="12">+C25-I25</f>
        <v>0</v>
      </c>
      <c r="L25" s="94">
        <f t="shared" si="5"/>
        <v>0</v>
      </c>
      <c r="M25" s="72" t="s">
        <v>157</v>
      </c>
    </row>
    <row r="26" spans="1:13" ht="15" customHeight="1">
      <c r="A26" s="21">
        <v>7146</v>
      </c>
      <c r="B26" s="22" t="s">
        <v>184</v>
      </c>
      <c r="C26" s="23">
        <v>30498923.959999997</v>
      </c>
      <c r="D26" s="41">
        <f t="shared" si="0"/>
        <v>0.43359289110036964</v>
      </c>
      <c r="E26" s="107">
        <v>33800000</v>
      </c>
      <c r="F26" s="41">
        <f t="shared" si="1"/>
        <v>0.48052317315894227</v>
      </c>
      <c r="G26" s="23">
        <f t="shared" si="11"/>
        <v>-3301076.0400000028</v>
      </c>
      <c r="H26" s="94">
        <f t="shared" si="3"/>
        <v>-9.7664971597633183</v>
      </c>
      <c r="I26" s="23">
        <v>21631921.130000003</v>
      </c>
      <c r="J26" s="41">
        <f t="shared" si="4"/>
        <v>0.31592738915847518</v>
      </c>
      <c r="K26" s="23">
        <f t="shared" si="12"/>
        <v>8867002.8299999945</v>
      </c>
      <c r="L26" s="94">
        <f t="shared" si="5"/>
        <v>40.990362236957679</v>
      </c>
      <c r="M26" s="72" t="s">
        <v>185</v>
      </c>
    </row>
    <row r="27" spans="1:13" ht="26.25" customHeight="1">
      <c r="A27" s="21">
        <v>7147</v>
      </c>
      <c r="B27" s="27" t="s">
        <v>68</v>
      </c>
      <c r="C27" s="23">
        <v>2272708.65</v>
      </c>
      <c r="D27" s="41">
        <f t="shared" si="0"/>
        <v>3.2310330537389818E-2</v>
      </c>
      <c r="E27" s="107">
        <v>2600000</v>
      </c>
      <c r="F27" s="41">
        <f t="shared" si="1"/>
        <v>3.6963321012226331E-2</v>
      </c>
      <c r="G27" s="23">
        <f t="shared" si="11"/>
        <v>-327291.35000000009</v>
      </c>
      <c r="H27" s="94">
        <f t="shared" si="3"/>
        <v>-12.58812884615385</v>
      </c>
      <c r="I27" s="23">
        <v>2449033.2299999995</v>
      </c>
      <c r="J27" s="41">
        <f t="shared" si="4"/>
        <v>3.5767358325064641E-2</v>
      </c>
      <c r="K27" s="23">
        <f t="shared" si="12"/>
        <v>-176324.57999999961</v>
      </c>
      <c r="L27" s="94">
        <f t="shared" si="5"/>
        <v>-7.1997626589982815</v>
      </c>
      <c r="M27" s="73" t="s">
        <v>158</v>
      </c>
    </row>
    <row r="28" spans="1:13" ht="15" hidden="1" customHeight="1">
      <c r="A28" s="21">
        <v>7148</v>
      </c>
      <c r="B28" s="22" t="s">
        <v>24</v>
      </c>
      <c r="C28" s="82"/>
      <c r="D28" s="41">
        <f t="shared" si="0"/>
        <v>0</v>
      </c>
      <c r="E28" s="109"/>
      <c r="F28" s="41">
        <f t="shared" si="1"/>
        <v>0</v>
      </c>
      <c r="G28" s="76">
        <f t="shared" si="2"/>
        <v>0</v>
      </c>
      <c r="H28" s="94">
        <f t="shared" si="3"/>
        <v>0</v>
      </c>
      <c r="I28" s="82"/>
      <c r="J28" s="41">
        <f t="shared" si="4"/>
        <v>0</v>
      </c>
      <c r="K28" s="76">
        <f t="shared" si="6"/>
        <v>0</v>
      </c>
      <c r="L28" s="94">
        <f t="shared" si="5"/>
        <v>0</v>
      </c>
      <c r="M28" s="72" t="s">
        <v>102</v>
      </c>
    </row>
    <row r="29" spans="1:13" ht="15" customHeight="1">
      <c r="A29" s="21">
        <v>7149</v>
      </c>
      <c r="B29" s="22" t="s">
        <v>25</v>
      </c>
      <c r="C29" s="82">
        <v>922244.24000000011</v>
      </c>
      <c r="D29" s="41">
        <f t="shared" si="0"/>
        <v>1.3111234574921809E-2</v>
      </c>
      <c r="E29" s="109">
        <v>200000</v>
      </c>
      <c r="F29" s="41">
        <f t="shared" si="1"/>
        <v>2.8433323855558716E-3</v>
      </c>
      <c r="G29" s="76">
        <f t="shared" si="2"/>
        <v>722244.24000000011</v>
      </c>
      <c r="H29" s="94">
        <f t="shared" si="3"/>
        <v>361.12212</v>
      </c>
      <c r="I29" s="82">
        <v>1068172.33</v>
      </c>
      <c r="J29" s="41">
        <f t="shared" si="4"/>
        <v>1.5600320163899615E-2</v>
      </c>
      <c r="K29" s="76">
        <f t="shared" si="6"/>
        <v>-145928.08999999997</v>
      </c>
      <c r="L29" s="94">
        <f t="shared" si="5"/>
        <v>-13.661474455156494</v>
      </c>
      <c r="M29" s="72" t="s">
        <v>103</v>
      </c>
    </row>
    <row r="30" spans="1:13" ht="15" customHeight="1">
      <c r="A30" s="18">
        <v>715</v>
      </c>
      <c r="B30" s="19" t="s">
        <v>26</v>
      </c>
      <c r="C30" s="20">
        <f>+SUM(C31:C34)</f>
        <v>18921990.899999999</v>
      </c>
      <c r="D30" s="40">
        <f t="shared" si="0"/>
        <v>0.26900754762581747</v>
      </c>
      <c r="E30" s="108">
        <f>+SUM(E31:E34)</f>
        <v>7000000</v>
      </c>
      <c r="F30" s="40">
        <f t="shared" si="1"/>
        <v>9.9516633494455498E-2</v>
      </c>
      <c r="G30" s="20">
        <f t="shared" si="2"/>
        <v>11921990.899999999</v>
      </c>
      <c r="H30" s="89">
        <f t="shared" si="3"/>
        <v>170.31415571428568</v>
      </c>
      <c r="I30" s="20">
        <f>+SUM(I31:I34)</f>
        <v>6682676.620000001</v>
      </c>
      <c r="J30" s="40">
        <f t="shared" si="4"/>
        <v>9.7598385481307628E-2</v>
      </c>
      <c r="K30" s="20">
        <f t="shared" si="6"/>
        <v>12239314.279999997</v>
      </c>
      <c r="L30" s="89">
        <f t="shared" si="5"/>
        <v>183.14988104272499</v>
      </c>
      <c r="M30" s="71" t="s">
        <v>104</v>
      </c>
    </row>
    <row r="31" spans="1:13" ht="15" customHeight="1">
      <c r="A31" s="21">
        <v>7151</v>
      </c>
      <c r="B31" s="22" t="s">
        <v>27</v>
      </c>
      <c r="C31" s="82">
        <v>917832.84</v>
      </c>
      <c r="D31" s="41">
        <f t="shared" si="0"/>
        <v>1.3048519192493602E-2</v>
      </c>
      <c r="E31" s="109">
        <v>600000</v>
      </c>
      <c r="F31" s="41">
        <f t="shared" si="1"/>
        <v>8.5299971566676156E-3</v>
      </c>
      <c r="G31" s="76">
        <f t="shared" si="2"/>
        <v>317832.83999999997</v>
      </c>
      <c r="H31" s="94">
        <f t="shared" si="3"/>
        <v>52.972139999999996</v>
      </c>
      <c r="I31" s="82">
        <v>792178.56</v>
      </c>
      <c r="J31" s="41">
        <f t="shared" si="4"/>
        <v>1.1569518153477128E-2</v>
      </c>
      <c r="K31" s="76">
        <f t="shared" si="6"/>
        <v>125654.27999999991</v>
      </c>
      <c r="L31" s="94">
        <f t="shared" si="5"/>
        <v>15.861863264766953</v>
      </c>
      <c r="M31" s="72" t="s">
        <v>105</v>
      </c>
    </row>
    <row r="32" spans="1:13" ht="15" customHeight="1">
      <c r="A32" s="21">
        <v>7152</v>
      </c>
      <c r="B32" s="22" t="s">
        <v>28</v>
      </c>
      <c r="C32" s="82">
        <v>11869228.600000001</v>
      </c>
      <c r="D32" s="41">
        <f t="shared" si="0"/>
        <v>0.1687408103497299</v>
      </c>
      <c r="E32" s="109">
        <v>1600000</v>
      </c>
      <c r="F32" s="41">
        <f t="shared" si="1"/>
        <v>2.2746659084446973E-2</v>
      </c>
      <c r="G32" s="76">
        <f t="shared" si="2"/>
        <v>10269228.600000001</v>
      </c>
      <c r="H32" s="94">
        <f t="shared" si="3"/>
        <v>641.82678750000002</v>
      </c>
      <c r="I32" s="82">
        <v>1598730.3800000001</v>
      </c>
      <c r="J32" s="41">
        <f t="shared" si="4"/>
        <v>2.3348953238428199E-2</v>
      </c>
      <c r="K32" s="76">
        <f t="shared" si="6"/>
        <v>10270498.220000001</v>
      </c>
      <c r="L32" s="94">
        <f t="shared" si="5"/>
        <v>642.41590379986405</v>
      </c>
      <c r="M32" s="72" t="s">
        <v>106</v>
      </c>
    </row>
    <row r="33" spans="1:16382">
      <c r="A33" s="21">
        <v>7153</v>
      </c>
      <c r="B33" s="22" t="s">
        <v>29</v>
      </c>
      <c r="C33" s="82">
        <v>1893411.13</v>
      </c>
      <c r="D33" s="41">
        <f t="shared" si="0"/>
        <v>2.6917985925504692E-2</v>
      </c>
      <c r="E33" s="109">
        <v>1200000</v>
      </c>
      <c r="F33" s="41">
        <f t="shared" si="1"/>
        <v>1.7059994313335231E-2</v>
      </c>
      <c r="G33" s="76">
        <f t="shared" si="2"/>
        <v>693411.12999999989</v>
      </c>
      <c r="H33" s="94">
        <f t="shared" si="3"/>
        <v>57.78426083333332</v>
      </c>
      <c r="I33" s="82">
        <v>1633469.2999999998</v>
      </c>
      <c r="J33" s="41">
        <f t="shared" si="4"/>
        <v>2.3856304214415463E-2</v>
      </c>
      <c r="K33" s="76">
        <f t="shared" si="6"/>
        <v>259941.83000000007</v>
      </c>
      <c r="L33" s="94">
        <f t="shared" si="5"/>
        <v>15.913481202248491</v>
      </c>
      <c r="M33" s="72" t="s">
        <v>107</v>
      </c>
    </row>
    <row r="34" spans="1:16382" s="3" customFormat="1" ht="15" customHeight="1">
      <c r="A34" s="21">
        <v>7155</v>
      </c>
      <c r="B34" s="22" t="s">
        <v>26</v>
      </c>
      <c r="C34" s="82">
        <v>4241518.33</v>
      </c>
      <c r="D34" s="41">
        <f t="shared" si="0"/>
        <v>6.030023215808928E-2</v>
      </c>
      <c r="E34" s="109">
        <v>3600000</v>
      </c>
      <c r="F34" s="41">
        <f t="shared" si="1"/>
        <v>5.1179982940005683E-2</v>
      </c>
      <c r="G34" s="76">
        <f t="shared" si="2"/>
        <v>641518.33000000007</v>
      </c>
      <c r="H34" s="94">
        <f t="shared" si="3"/>
        <v>17.819953611111103</v>
      </c>
      <c r="I34" s="82">
        <v>2658298.3800000004</v>
      </c>
      <c r="J34" s="41">
        <f t="shared" si="4"/>
        <v>3.8823609874986821E-2</v>
      </c>
      <c r="K34" s="76">
        <f t="shared" si="6"/>
        <v>1583219.9499999997</v>
      </c>
      <c r="L34" s="94">
        <f t="shared" si="5"/>
        <v>59.557646421918975</v>
      </c>
      <c r="M34" s="72" t="s">
        <v>104</v>
      </c>
      <c r="N34" s="1"/>
      <c r="O34" s="1"/>
      <c r="P34" s="1"/>
    </row>
    <row r="35" spans="1:16382" ht="15" customHeight="1">
      <c r="A35" s="18">
        <v>73</v>
      </c>
      <c r="B35" s="102" t="s">
        <v>188</v>
      </c>
      <c r="C35" s="20">
        <v>97726.28</v>
      </c>
      <c r="D35" s="40">
        <f t="shared" si="0"/>
        <v>1.3893414842195053E-3</v>
      </c>
      <c r="E35" s="20">
        <v>0</v>
      </c>
      <c r="F35" s="40">
        <f t="shared" si="1"/>
        <v>0</v>
      </c>
      <c r="G35" s="20">
        <f t="shared" si="2"/>
        <v>97726.28</v>
      </c>
      <c r="H35" s="89">
        <f t="shared" si="3"/>
        <v>0</v>
      </c>
      <c r="I35" s="82">
        <v>132023.38999999998</v>
      </c>
      <c r="J35" s="40">
        <f t="shared" si="4"/>
        <v>1.9281599937375109E-3</v>
      </c>
      <c r="K35" s="20">
        <f t="shared" si="6"/>
        <v>-34297.109999999986</v>
      </c>
      <c r="L35" s="89">
        <f t="shared" si="5"/>
        <v>-25.978055858132393</v>
      </c>
      <c r="M35" s="71" t="s">
        <v>108</v>
      </c>
    </row>
    <row r="36" spans="1:16382" ht="15" customHeight="1">
      <c r="A36" s="18">
        <v>74</v>
      </c>
      <c r="B36" s="19" t="s">
        <v>183</v>
      </c>
      <c r="C36" s="20">
        <v>33066493.98</v>
      </c>
      <c r="D36" s="40">
        <f t="shared" si="0"/>
        <v>0.47009516605061136</v>
      </c>
      <c r="E36" s="20">
        <v>32924346.905000001</v>
      </c>
      <c r="F36" s="40">
        <f t="shared" si="1"/>
        <v>0.46807430914131359</v>
      </c>
      <c r="G36" s="20">
        <f t="shared" si="2"/>
        <v>142147.07499999925</v>
      </c>
      <c r="H36" s="89">
        <f t="shared" si="3"/>
        <v>0.43173848037183404</v>
      </c>
      <c r="I36" s="20">
        <v>22634201.060000002</v>
      </c>
      <c r="J36" s="40">
        <f t="shared" si="4"/>
        <v>0.33056537159137617</v>
      </c>
      <c r="K36" s="20">
        <f t="shared" si="6"/>
        <v>10432292.919999998</v>
      </c>
      <c r="L36" s="89">
        <f t="shared" si="5"/>
        <v>46.090837897681894</v>
      </c>
      <c r="M36" s="71" t="s">
        <v>109</v>
      </c>
    </row>
    <row r="37" spans="1:16382" s="34" customFormat="1" ht="15" customHeight="1">
      <c r="A37" s="31"/>
      <c r="B37" s="32" t="s">
        <v>72</v>
      </c>
      <c r="C37" s="33">
        <f>+C38+C48+C49++C50+C51+C52+C53+C54</f>
        <v>176043392.64300004</v>
      </c>
      <c r="D37" s="43">
        <f t="shared" si="0"/>
        <v>2.502749397824851</v>
      </c>
      <c r="E37" s="33">
        <f>+E38+E48+E49++E50+E51+E52+E53+E54</f>
        <v>172451813.08660001</v>
      </c>
      <c r="F37" s="43">
        <f t="shared" si="1"/>
        <v>2.4516891254847883</v>
      </c>
      <c r="G37" s="33">
        <f t="shared" si="2"/>
        <v>3591579.5564000309</v>
      </c>
      <c r="H37" s="99">
        <f t="shared" si="3"/>
        <v>2.0826568837501611</v>
      </c>
      <c r="I37" s="33">
        <f>+I38+I48+I49++I50+I51+I52+I53+I54</f>
        <v>140890739.26999998</v>
      </c>
      <c r="J37" s="43">
        <f t="shared" si="4"/>
        <v>2.0576648346063262</v>
      </c>
      <c r="K37" s="33">
        <f t="shared" si="6"/>
        <v>35152653.373000056</v>
      </c>
      <c r="L37" s="99">
        <f t="shared" si="5"/>
        <v>24.950293791584315</v>
      </c>
      <c r="M37" s="70" t="s">
        <v>110</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row>
    <row r="38" spans="1:16382" ht="15" customHeight="1">
      <c r="A38" s="18">
        <v>41</v>
      </c>
      <c r="B38" s="19" t="s">
        <v>69</v>
      </c>
      <c r="C38" s="69">
        <f>SUM(C39:C47)</f>
        <v>56826040.690000005</v>
      </c>
      <c r="D38" s="40">
        <f t="shared" si="0"/>
        <v>0.80787660918396365</v>
      </c>
      <c r="E38" s="69">
        <f>SUM(E39:E47)</f>
        <v>65347618.086600006</v>
      </c>
      <c r="F38" s="40">
        <f t="shared" si="1"/>
        <v>0.92902499412283202</v>
      </c>
      <c r="G38" s="20">
        <f t="shared" si="2"/>
        <v>-8521577.3966000006</v>
      </c>
      <c r="H38" s="89">
        <f t="shared" si="3"/>
        <v>-13.04037950596306</v>
      </c>
      <c r="I38" s="69">
        <f>SUM(I39:I47)</f>
        <v>50932361.689999998</v>
      </c>
      <c r="J38" s="40">
        <f t="shared" si="4"/>
        <v>0.74385108727496729</v>
      </c>
      <c r="K38" s="20">
        <f t="shared" si="6"/>
        <v>5893679.0000000075</v>
      </c>
      <c r="L38" s="89">
        <f t="shared" si="5"/>
        <v>11.571580041530183</v>
      </c>
      <c r="M38" s="71" t="s">
        <v>111</v>
      </c>
    </row>
    <row r="39" spans="1:16382" ht="15" customHeight="1">
      <c r="A39" s="21">
        <v>411</v>
      </c>
      <c r="B39" s="22" t="s">
        <v>30</v>
      </c>
      <c r="C39" s="23">
        <v>35887462.32</v>
      </c>
      <c r="D39" s="41">
        <f t="shared" si="0"/>
        <v>0.51019991924936026</v>
      </c>
      <c r="E39" s="23">
        <v>35497870.243600003</v>
      </c>
      <c r="F39" s="41">
        <f t="shared" si="1"/>
        <v>0.50466122040943995</v>
      </c>
      <c r="G39" s="23">
        <f>+C39-E39</f>
        <v>389592.07639999688</v>
      </c>
      <c r="H39" s="94">
        <f t="shared" si="3"/>
        <v>1.0975083117000111</v>
      </c>
      <c r="I39" s="23">
        <v>31356234.299999997</v>
      </c>
      <c r="J39" s="41">
        <f t="shared" si="4"/>
        <v>0.45794791764944026</v>
      </c>
      <c r="K39" s="23">
        <f t="shared" si="6"/>
        <v>4531228.0200000033</v>
      </c>
      <c r="L39" s="94">
        <f t="shared" si="5"/>
        <v>14.450804189838593</v>
      </c>
      <c r="M39" s="72" t="s">
        <v>112</v>
      </c>
    </row>
    <row r="40" spans="1:16382" ht="15" customHeight="1">
      <c r="A40" s="21">
        <v>412</v>
      </c>
      <c r="B40" s="22" t="s">
        <v>31</v>
      </c>
      <c r="C40" s="23">
        <v>2079096.54</v>
      </c>
      <c r="D40" s="41">
        <f t="shared" si="0"/>
        <v>2.9557812624395795E-2</v>
      </c>
      <c r="E40" s="23">
        <v>3198899</v>
      </c>
      <c r="F40" s="41">
        <f t="shared" si="1"/>
        <v>4.5477665624111457E-2</v>
      </c>
      <c r="G40" s="23">
        <f t="shared" si="2"/>
        <v>-1119802.46</v>
      </c>
      <c r="H40" s="94">
        <f t="shared" si="3"/>
        <v>-35.00587108251932</v>
      </c>
      <c r="I40" s="23">
        <v>1900076.5099999998</v>
      </c>
      <c r="J40" s="41">
        <f t="shared" si="4"/>
        <v>2.7750018474926235E-2</v>
      </c>
      <c r="K40" s="23">
        <f t="shared" si="6"/>
        <v>179020.03000000026</v>
      </c>
      <c r="L40" s="94">
        <f t="shared" si="5"/>
        <v>9.4217274440175203</v>
      </c>
      <c r="M40" s="72" t="s">
        <v>113</v>
      </c>
    </row>
    <row r="41" spans="1:16382" ht="15" customHeight="1">
      <c r="A41" s="21">
        <v>413</v>
      </c>
      <c r="B41" s="22" t="s">
        <v>73</v>
      </c>
      <c r="C41" s="23">
        <v>4214651.28</v>
      </c>
      <c r="D41" s="41">
        <f t="shared" si="0"/>
        <v>5.991827239124254E-2</v>
      </c>
      <c r="E41" s="107">
        <v>5502500</v>
      </c>
      <c r="F41" s="41">
        <f t="shared" si="1"/>
        <v>7.8227182257605915E-2</v>
      </c>
      <c r="G41" s="23">
        <f t="shared" si="2"/>
        <v>-1287848.7199999997</v>
      </c>
      <c r="H41" s="94">
        <f t="shared" si="3"/>
        <v>-23.404792730577</v>
      </c>
      <c r="I41" s="23">
        <v>4148967.7800000007</v>
      </c>
      <c r="J41" s="41">
        <f t="shared" si="4"/>
        <v>6.0594366564151528E-2</v>
      </c>
      <c r="K41" s="23">
        <f t="shared" si="6"/>
        <v>65683.499999999534</v>
      </c>
      <c r="L41" s="94">
        <f t="shared" si="5"/>
        <v>1.5831287077384673</v>
      </c>
      <c r="M41" s="72" t="s">
        <v>114</v>
      </c>
    </row>
    <row r="42" spans="1:16382" ht="15" customHeight="1">
      <c r="A42" s="21">
        <v>414</v>
      </c>
      <c r="B42" s="22" t="s">
        <v>74</v>
      </c>
      <c r="C42" s="23">
        <v>4802528.29</v>
      </c>
      <c r="D42" s="41">
        <f t="shared" si="0"/>
        <v>6.8275921097526296E-2</v>
      </c>
      <c r="E42" s="107">
        <v>5702500</v>
      </c>
      <c r="F42" s="41">
        <f t="shared" si="1"/>
        <v>8.1070514643161784E-2</v>
      </c>
      <c r="G42" s="23">
        <f t="shared" si="2"/>
        <v>-899971.71</v>
      </c>
      <c r="H42" s="94">
        <f t="shared" si="3"/>
        <v>-15.782055414291975</v>
      </c>
      <c r="I42" s="23">
        <v>4136941.1799999997</v>
      </c>
      <c r="J42" s="41">
        <f t="shared" si="4"/>
        <v>6.041872186224919E-2</v>
      </c>
      <c r="K42" s="23">
        <f t="shared" si="6"/>
        <v>665587.11000000034</v>
      </c>
      <c r="L42" s="94">
        <f t="shared" si="5"/>
        <v>16.088870521480331</v>
      </c>
      <c r="M42" s="72" t="s">
        <v>115</v>
      </c>
    </row>
    <row r="43" spans="1:16382" ht="15.75" customHeight="1">
      <c r="A43" s="21">
        <v>415</v>
      </c>
      <c r="B43" s="22" t="s">
        <v>32</v>
      </c>
      <c r="C43" s="23">
        <v>2176513.9899999998</v>
      </c>
      <c r="D43" s="41">
        <f t="shared" si="0"/>
        <v>3.0942763576912134E-2</v>
      </c>
      <c r="E43" s="23">
        <v>3744191.7480000001</v>
      </c>
      <c r="F43" s="41">
        <f t="shared" si="1"/>
        <v>5.3229908274097244E-2</v>
      </c>
      <c r="G43" s="23">
        <f t="shared" si="2"/>
        <v>-1567677.7580000004</v>
      </c>
      <c r="H43" s="94">
        <f t="shared" si="3"/>
        <v>-41.869590648966962</v>
      </c>
      <c r="I43" s="23">
        <v>2758126.82</v>
      </c>
      <c r="J43" s="41">
        <f t="shared" si="4"/>
        <v>4.0281572772661429E-2</v>
      </c>
      <c r="K43" s="23">
        <f t="shared" si="6"/>
        <v>-581612.83000000007</v>
      </c>
      <c r="L43" s="94">
        <f t="shared" si="5"/>
        <v>-21.087240288682594</v>
      </c>
      <c r="M43" s="72" t="s">
        <v>116</v>
      </c>
    </row>
    <row r="44" spans="1:16382" ht="15" customHeight="1">
      <c r="A44" s="21">
        <v>416</v>
      </c>
      <c r="B44" s="22" t="s">
        <v>33</v>
      </c>
      <c r="C44" s="23">
        <v>1407293.5</v>
      </c>
      <c r="D44" s="41">
        <f t="shared" si="0"/>
        <v>2.000701592266136E-2</v>
      </c>
      <c r="E44" s="23">
        <v>1586808.095</v>
      </c>
      <c r="F44" s="41">
        <f t="shared" si="1"/>
        <v>2.2559114230878592E-2</v>
      </c>
      <c r="G44" s="23">
        <f t="shared" si="2"/>
        <v>-179514.59499999997</v>
      </c>
      <c r="H44" s="94">
        <f t="shared" si="3"/>
        <v>-11.312936678710344</v>
      </c>
      <c r="I44" s="23">
        <v>1198775.02</v>
      </c>
      <c r="J44" s="41">
        <f t="shared" si="4"/>
        <v>1.7507731281978783E-2</v>
      </c>
      <c r="K44" s="23">
        <f t="shared" si="6"/>
        <v>208518.47999999998</v>
      </c>
      <c r="L44" s="94">
        <f t="shared" si="5"/>
        <v>17.394296387657462</v>
      </c>
      <c r="M44" s="72" t="s">
        <v>117</v>
      </c>
    </row>
    <row r="45" spans="1:16382" ht="15" customHeight="1">
      <c r="A45" s="21">
        <v>417</v>
      </c>
      <c r="B45" s="22" t="s">
        <v>34</v>
      </c>
      <c r="C45" s="23">
        <v>282962.14</v>
      </c>
      <c r="D45" s="41">
        <f t="shared" si="0"/>
        <v>4.0227770827409729E-3</v>
      </c>
      <c r="E45" s="23">
        <v>362313.5</v>
      </c>
      <c r="F45" s="41">
        <f t="shared" si="1"/>
        <v>5.1508885413704859E-3</v>
      </c>
      <c r="G45" s="23">
        <f t="shared" si="2"/>
        <v>-79351.359999999986</v>
      </c>
      <c r="H45" s="94">
        <f t="shared" si="3"/>
        <v>-21.901298185135246</v>
      </c>
      <c r="I45" s="23">
        <v>257252.06</v>
      </c>
      <c r="J45" s="41">
        <f t="shared" si="4"/>
        <v>3.7570852437478074E-3</v>
      </c>
      <c r="K45" s="23">
        <f t="shared" si="6"/>
        <v>25710.080000000016</v>
      </c>
      <c r="L45" s="94">
        <f t="shared" si="5"/>
        <v>9.9941201637024903</v>
      </c>
      <c r="M45" s="72" t="s">
        <v>118</v>
      </c>
    </row>
    <row r="46" spans="1:16382" ht="15" customHeight="1">
      <c r="A46" s="21">
        <v>418</v>
      </c>
      <c r="B46" s="22" t="s">
        <v>35</v>
      </c>
      <c r="C46" s="23">
        <v>1351839.21</v>
      </c>
      <c r="D46" s="41">
        <f t="shared" si="0"/>
        <v>1.9218641029286321E-2</v>
      </c>
      <c r="E46" s="23">
        <v>3870760</v>
      </c>
      <c r="F46" s="41">
        <f t="shared" si="1"/>
        <v>5.5029286323571229E-2</v>
      </c>
      <c r="G46" s="23">
        <f t="shared" si="2"/>
        <v>-2518920.79</v>
      </c>
      <c r="H46" s="94">
        <f t="shared" si="3"/>
        <v>-65.075612799553568</v>
      </c>
      <c r="I46" s="23">
        <v>961399.55</v>
      </c>
      <c r="J46" s="41">
        <f t="shared" si="4"/>
        <v>1.404093736956191E-2</v>
      </c>
      <c r="K46" s="23">
        <f t="shared" si="6"/>
        <v>390439.65999999992</v>
      </c>
      <c r="L46" s="94">
        <f t="shared" si="5"/>
        <v>40.611591715431928</v>
      </c>
      <c r="M46" s="72" t="s">
        <v>119</v>
      </c>
    </row>
    <row r="47" spans="1:16382" ht="15" customHeight="1">
      <c r="A47" s="21">
        <v>419</v>
      </c>
      <c r="B47" s="22" t="s">
        <v>36</v>
      </c>
      <c r="C47" s="23">
        <v>4623693.42</v>
      </c>
      <c r="D47" s="41">
        <f t="shared" si="0"/>
        <v>6.5733486209837932E-2</v>
      </c>
      <c r="E47" s="23">
        <v>5881775.5</v>
      </c>
      <c r="F47" s="41">
        <f t="shared" si="1"/>
        <v>8.3619213818595398E-2</v>
      </c>
      <c r="G47" s="23">
        <f t="shared" si="2"/>
        <v>-1258082.08</v>
      </c>
      <c r="H47" s="94">
        <f t="shared" si="3"/>
        <v>-21.389495059782547</v>
      </c>
      <c r="I47" s="23">
        <v>4214588.4700000007</v>
      </c>
      <c r="J47" s="41">
        <f t="shared" si="4"/>
        <v>6.1552736056250244E-2</v>
      </c>
      <c r="K47" s="23">
        <f t="shared" si="6"/>
        <v>409104.94999999925</v>
      </c>
      <c r="L47" s="94">
        <f t="shared" si="5"/>
        <v>9.7068777393584753</v>
      </c>
      <c r="M47" s="72" t="s">
        <v>120</v>
      </c>
    </row>
    <row r="48" spans="1:16382" ht="15" customHeight="1">
      <c r="A48" s="18">
        <v>42</v>
      </c>
      <c r="B48" s="19" t="s">
        <v>37</v>
      </c>
      <c r="C48" s="20">
        <v>931335.86</v>
      </c>
      <c r="D48" s="40">
        <f t="shared" si="0"/>
        <v>1.3240487062837647E-2</v>
      </c>
      <c r="E48" s="20">
        <v>1104195</v>
      </c>
      <c r="F48" s="40">
        <f t="shared" si="1"/>
        <v>1.5697967017344328E-2</v>
      </c>
      <c r="G48" s="20">
        <f t="shared" si="2"/>
        <v>-172859.14</v>
      </c>
      <c r="H48" s="89">
        <f t="shared" si="3"/>
        <v>-15.654765689031379</v>
      </c>
      <c r="I48" s="20">
        <v>239309.56</v>
      </c>
      <c r="J48" s="40">
        <f t="shared" si="4"/>
        <v>3.4950406871913117E-3</v>
      </c>
      <c r="K48" s="20">
        <f t="shared" si="6"/>
        <v>692026.3</v>
      </c>
      <c r="L48" s="89">
        <f t="shared" si="5"/>
        <v>289.17620340783714</v>
      </c>
      <c r="M48" s="71" t="s">
        <v>121</v>
      </c>
    </row>
    <row r="49" spans="1:16382" ht="15" customHeight="1">
      <c r="A49" s="18">
        <v>43</v>
      </c>
      <c r="B49" s="19" t="s">
        <v>173</v>
      </c>
      <c r="C49" s="20">
        <v>52050232.603</v>
      </c>
      <c r="D49" s="40">
        <f t="shared" si="0"/>
        <v>0.73998056017912994</v>
      </c>
      <c r="E49" s="20">
        <v>47400000</v>
      </c>
      <c r="F49" s="40">
        <f t="shared" si="1"/>
        <v>0.67386977537674153</v>
      </c>
      <c r="G49" s="20">
        <f t="shared" si="2"/>
        <v>4650232.6030000001</v>
      </c>
      <c r="H49" s="89">
        <f t="shared" si="3"/>
        <v>9.8106173059071722</v>
      </c>
      <c r="I49" s="20">
        <v>37325896.609999999</v>
      </c>
      <c r="J49" s="40">
        <f t="shared" si="4"/>
        <v>0.5451329538938865</v>
      </c>
      <c r="K49" s="20">
        <f t="shared" si="6"/>
        <v>14724335.993000001</v>
      </c>
      <c r="L49" s="89">
        <f t="shared" si="5"/>
        <v>39.448043664824382</v>
      </c>
      <c r="M49" s="71" t="s">
        <v>127</v>
      </c>
    </row>
    <row r="50" spans="1:16382" ht="15" customHeight="1">
      <c r="A50" s="18">
        <v>44</v>
      </c>
      <c r="B50" s="19" t="s">
        <v>65</v>
      </c>
      <c r="C50" s="20">
        <v>44969738.140000008</v>
      </c>
      <c r="D50" s="40">
        <f t="shared" si="0"/>
        <v>0.63931956411714541</v>
      </c>
      <c r="E50" s="20">
        <v>40000000</v>
      </c>
      <c r="F50" s="40">
        <f t="shared" si="1"/>
        <v>0.56866647711117435</v>
      </c>
      <c r="G50" s="20">
        <f t="shared" si="2"/>
        <v>4969738.140000008</v>
      </c>
      <c r="H50" s="89">
        <f t="shared" si="3"/>
        <v>12.42434535000001</v>
      </c>
      <c r="I50" s="20">
        <v>28905741.949999999</v>
      </c>
      <c r="J50" s="40">
        <f t="shared" si="4"/>
        <v>0.42215924933672827</v>
      </c>
      <c r="K50" s="20">
        <f t="shared" si="6"/>
        <v>16063996.190000009</v>
      </c>
      <c r="L50" s="89">
        <f t="shared" si="5"/>
        <v>55.573720327908802</v>
      </c>
      <c r="M50" s="71" t="s">
        <v>128</v>
      </c>
    </row>
    <row r="51" spans="1:16382" ht="15" customHeight="1">
      <c r="A51" s="18">
        <v>45</v>
      </c>
      <c r="B51" s="19" t="s">
        <v>44</v>
      </c>
      <c r="C51" s="20">
        <v>408068.9</v>
      </c>
      <c r="D51" s="40">
        <f t="shared" si="0"/>
        <v>5.8013775945408019E-3</v>
      </c>
      <c r="E51" s="20">
        <v>0</v>
      </c>
      <c r="F51" s="40">
        <f t="shared" si="1"/>
        <v>0</v>
      </c>
      <c r="G51" s="20">
        <f t="shared" si="2"/>
        <v>408068.9</v>
      </c>
      <c r="H51" s="89">
        <f t="shared" si="3"/>
        <v>0</v>
      </c>
      <c r="I51" s="20">
        <v>35024.42</v>
      </c>
      <c r="J51" s="40">
        <f t="shared" si="4"/>
        <v>5.1152061349023041E-4</v>
      </c>
      <c r="K51" s="20">
        <f t="shared" si="6"/>
        <v>373044.48000000004</v>
      </c>
      <c r="L51" s="89">
        <f t="shared" si="5"/>
        <v>1065.0982371728069</v>
      </c>
      <c r="M51" s="71" t="s">
        <v>129</v>
      </c>
    </row>
    <row r="52" spans="1:16382" ht="15" customHeight="1">
      <c r="A52" s="18">
        <v>462</v>
      </c>
      <c r="B52" s="19" t="s">
        <v>45</v>
      </c>
      <c r="C52" s="20">
        <v>0</v>
      </c>
      <c r="D52" s="40">
        <f t="shared" si="0"/>
        <v>0</v>
      </c>
      <c r="E52" s="20">
        <v>0</v>
      </c>
      <c r="F52" s="40">
        <f t="shared" si="1"/>
        <v>0</v>
      </c>
      <c r="G52" s="20">
        <f t="shared" si="2"/>
        <v>0</v>
      </c>
      <c r="H52" s="89">
        <f t="shared" si="3"/>
        <v>0</v>
      </c>
      <c r="I52" s="20"/>
      <c r="J52" s="40">
        <f t="shared" si="4"/>
        <v>0</v>
      </c>
      <c r="K52" s="20">
        <f t="shared" si="6"/>
        <v>0</v>
      </c>
      <c r="L52" s="89">
        <f t="shared" si="5"/>
        <v>0</v>
      </c>
      <c r="M52" s="71" t="s">
        <v>130</v>
      </c>
    </row>
    <row r="53" spans="1:16382" ht="15" customHeight="1">
      <c r="A53" s="18">
        <v>463</v>
      </c>
      <c r="B53" s="19" t="s">
        <v>46</v>
      </c>
      <c r="C53" s="20">
        <v>19520470.489999998</v>
      </c>
      <c r="D53" s="40">
        <f t="shared" si="0"/>
        <v>0.27751592962752347</v>
      </c>
      <c r="E53" s="20">
        <v>17000000</v>
      </c>
      <c r="F53" s="40">
        <f t="shared" si="1"/>
        <v>0.24168325277224909</v>
      </c>
      <c r="G53" s="20">
        <f>+C53-E53</f>
        <v>2520470.4899999984</v>
      </c>
      <c r="H53" s="89">
        <f t="shared" si="3"/>
        <v>14.826296999999997</v>
      </c>
      <c r="I53" s="20">
        <v>22154355.370000001</v>
      </c>
      <c r="J53" s="40">
        <f t="shared" si="4"/>
        <v>0.32355737654879035</v>
      </c>
      <c r="K53" s="20">
        <f>+C53-I53</f>
        <v>-2633884.8800000027</v>
      </c>
      <c r="L53" s="89">
        <f t="shared" si="5"/>
        <v>-11.88879042523007</v>
      </c>
      <c r="M53" s="71" t="s">
        <v>131</v>
      </c>
    </row>
    <row r="54" spans="1:16382" ht="15" customHeight="1">
      <c r="A54" s="18">
        <v>47</v>
      </c>
      <c r="B54" s="19" t="s">
        <v>47</v>
      </c>
      <c r="C54" s="20">
        <v>1337505.96</v>
      </c>
      <c r="D54" s="40">
        <f t="shared" si="0"/>
        <v>1.901487005970998E-2</v>
      </c>
      <c r="E54" s="20">
        <v>1600000</v>
      </c>
      <c r="F54" s="40">
        <f t="shared" si="1"/>
        <v>2.2746659084446973E-2</v>
      </c>
      <c r="G54" s="20">
        <f t="shared" si="2"/>
        <v>-262494.04000000004</v>
      </c>
      <c r="H54" s="89">
        <f t="shared" si="3"/>
        <v>-16.405877500000003</v>
      </c>
      <c r="I54" s="20">
        <v>1298049.67</v>
      </c>
      <c r="J54" s="40">
        <f t="shared" si="4"/>
        <v>1.8957606251272432E-2</v>
      </c>
      <c r="K54" s="20">
        <f t="shared" si="6"/>
        <v>39456.290000000037</v>
      </c>
      <c r="L54" s="89">
        <f t="shared" si="5"/>
        <v>3.0396594916125395</v>
      </c>
      <c r="M54" s="71" t="s">
        <v>132</v>
      </c>
    </row>
    <row r="55" spans="1:16382" s="34" customFormat="1" ht="15" customHeight="1">
      <c r="A55" s="31"/>
      <c r="B55" s="32" t="s">
        <v>77</v>
      </c>
      <c r="C55" s="33">
        <f>+C6-C37</f>
        <v>12317995.840999961</v>
      </c>
      <c r="D55" s="43">
        <f t="shared" si="0"/>
        <v>0.17512078249928861</v>
      </c>
      <c r="E55" s="33">
        <f>+E6-E37</f>
        <v>1009082.0088</v>
      </c>
      <c r="F55" s="43">
        <f t="shared" si="1"/>
        <v>1.4345777776514076E-2</v>
      </c>
      <c r="G55" s="33">
        <f t="shared" si="2"/>
        <v>11308913.832199961</v>
      </c>
      <c r="H55" s="99">
        <f t="shared" si="3"/>
        <v>1120.7130573706809</v>
      </c>
      <c r="I55" s="33">
        <f>+I6-I37</f>
        <v>5149496.3200000525</v>
      </c>
      <c r="J55" s="43">
        <f t="shared" si="4"/>
        <v>7.5206770498187012E-2</v>
      </c>
      <c r="K55" s="33">
        <f t="shared" si="6"/>
        <v>7168499.5209999084</v>
      </c>
      <c r="L55" s="99">
        <f t="shared" si="5"/>
        <v>139.20778024752204</v>
      </c>
      <c r="M55" s="70" t="s">
        <v>134</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row>
    <row r="56" spans="1:16382" ht="15" hidden="1" customHeight="1">
      <c r="A56" s="18"/>
      <c r="B56" s="19" t="s">
        <v>182</v>
      </c>
      <c r="C56" s="20">
        <v>0</v>
      </c>
      <c r="D56" s="40">
        <f t="shared" si="0"/>
        <v>0</v>
      </c>
      <c r="E56" s="20">
        <v>0</v>
      </c>
      <c r="F56" s="40">
        <f t="shared" si="1"/>
        <v>0</v>
      </c>
      <c r="G56" s="20">
        <f>+C56-E56</f>
        <v>0</v>
      </c>
      <c r="H56" s="89">
        <f t="shared" si="3"/>
        <v>0</v>
      </c>
      <c r="I56" s="20">
        <v>0</v>
      </c>
      <c r="J56" s="40">
        <f t="shared" si="4"/>
        <v>0</v>
      </c>
      <c r="K56" s="20">
        <f>+C56-I56</f>
        <v>0</v>
      </c>
      <c r="L56" s="89">
        <f t="shared" si="5"/>
        <v>0</v>
      </c>
      <c r="M56" s="71" t="s">
        <v>133</v>
      </c>
    </row>
    <row r="57" spans="1:16382" s="34" customFormat="1" ht="15" customHeight="1">
      <c r="A57" s="31"/>
      <c r="B57" s="32" t="s">
        <v>59</v>
      </c>
      <c r="C57" s="33">
        <f>+C55-C56</f>
        <v>12317995.840999961</v>
      </c>
      <c r="D57" s="43">
        <f t="shared" si="0"/>
        <v>0.17512078249928861</v>
      </c>
      <c r="E57" s="33">
        <f>+E55-E56</f>
        <v>1009082.0088</v>
      </c>
      <c r="F57" s="43">
        <f t="shared" si="1"/>
        <v>1.4345777776514076E-2</v>
      </c>
      <c r="G57" s="33">
        <f t="shared" si="2"/>
        <v>11308913.832199961</v>
      </c>
      <c r="H57" s="99">
        <f t="shared" si="3"/>
        <v>1120.7130573706809</v>
      </c>
      <c r="I57" s="33">
        <f>+I55-I56</f>
        <v>5149496.3200000525</v>
      </c>
      <c r="J57" s="43">
        <f t="shared" si="4"/>
        <v>7.5206770498187012E-2</v>
      </c>
      <c r="K57" s="33">
        <f t="shared" si="6"/>
        <v>7168499.5209999084</v>
      </c>
      <c r="L57" s="99">
        <f t="shared" si="5"/>
        <v>139.20778024752204</v>
      </c>
      <c r="M57" s="70" t="s">
        <v>137</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row>
    <row r="58" spans="1:16382" s="34" customFormat="1" ht="15" customHeight="1">
      <c r="A58" s="31"/>
      <c r="B58" s="32" t="s">
        <v>75</v>
      </c>
      <c r="C58" s="33">
        <f>+C57+C44</f>
        <v>13725289.340999961</v>
      </c>
      <c r="D58" s="43">
        <f t="shared" si="0"/>
        <v>0.19512779842194997</v>
      </c>
      <c r="E58" s="33">
        <f>+E57+E44</f>
        <v>2595890.1037999997</v>
      </c>
      <c r="F58" s="43">
        <f t="shared" si="1"/>
        <v>3.6904892007392658E-2</v>
      </c>
      <c r="G58" s="33">
        <f t="shared" si="2"/>
        <v>11129399.237199962</v>
      </c>
      <c r="H58" s="99">
        <f t="shared" si="3"/>
        <v>428.7315253025605</v>
      </c>
      <c r="I58" s="33">
        <f>+I57+I44</f>
        <v>6348271.340000052</v>
      </c>
      <c r="J58" s="43">
        <f t="shared" si="4"/>
        <v>9.2714501780165784E-2</v>
      </c>
      <c r="K58" s="33">
        <f t="shared" si="6"/>
        <v>7377018.0009999089</v>
      </c>
      <c r="L58" s="99">
        <f t="shared" si="5"/>
        <v>116.20514634460864</v>
      </c>
      <c r="M58" s="70" t="s">
        <v>136</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row>
    <row r="59" spans="1:16382" s="34" customFormat="1" ht="15" customHeight="1">
      <c r="A59" s="31"/>
      <c r="B59" s="32" t="s">
        <v>76</v>
      </c>
      <c r="C59" s="33">
        <f>+C6-(C37-C50)</f>
        <v>57287733.980999976</v>
      </c>
      <c r="D59" s="43">
        <f t="shared" si="0"/>
        <v>0.81444034661643416</v>
      </c>
      <c r="E59" s="33">
        <f>+E6-(E37-E50)</f>
        <v>41009082.0088</v>
      </c>
      <c r="F59" s="43">
        <f t="shared" si="1"/>
        <v>0.58301225488768837</v>
      </c>
      <c r="G59" s="33">
        <f t="shared" si="2"/>
        <v>16278651.972199976</v>
      </c>
      <c r="H59" s="99">
        <f t="shared" si="3"/>
        <v>39.695236213058337</v>
      </c>
      <c r="I59" s="33">
        <f>+I6-(I37-I50)</f>
        <v>34055238.270000055</v>
      </c>
      <c r="J59" s="43">
        <f t="shared" si="4"/>
        <v>0.49736601983491524</v>
      </c>
      <c r="K59" s="33">
        <f t="shared" si="6"/>
        <v>23232495.710999921</v>
      </c>
      <c r="L59" s="99">
        <f t="shared" si="5"/>
        <v>68.220035716108583</v>
      </c>
      <c r="M59" s="70" t="s">
        <v>135</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row>
    <row r="60" spans="1:16382" s="34" customFormat="1" ht="15" customHeight="1">
      <c r="A60" s="31"/>
      <c r="B60" s="32" t="s">
        <v>0</v>
      </c>
      <c r="C60" s="33">
        <f>+C61+C62</f>
        <v>7904414.6600000001</v>
      </c>
      <c r="D60" s="43">
        <f t="shared" si="0"/>
        <v>0.11237439095820301</v>
      </c>
      <c r="E60" s="33">
        <f>+E61+E62</f>
        <v>7994000</v>
      </c>
      <c r="F60" s="43">
        <f t="shared" si="1"/>
        <v>0.11364799545066817</v>
      </c>
      <c r="G60" s="33">
        <f t="shared" si="2"/>
        <v>-89585.339999999851</v>
      </c>
      <c r="H60" s="99">
        <f t="shared" si="3"/>
        <v>-1.1206572429321966</v>
      </c>
      <c r="I60" s="33">
        <f>+I61+I62</f>
        <v>6793865.9100000011</v>
      </c>
      <c r="J60" s="43">
        <f t="shared" si="4"/>
        <v>9.9222270011996294E-2</v>
      </c>
      <c r="K60" s="33">
        <f t="shared" si="6"/>
        <v>1110548.7499999991</v>
      </c>
      <c r="L60" s="99">
        <f t="shared" si="5"/>
        <v>16.346344845655025</v>
      </c>
      <c r="M60" s="70" t="s">
        <v>138</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row>
    <row r="61" spans="1:16382">
      <c r="A61" s="21">
        <v>4611</v>
      </c>
      <c r="B61" s="22" t="s">
        <v>52</v>
      </c>
      <c r="C61" s="23">
        <v>6717745.3300000001</v>
      </c>
      <c r="D61" s="41">
        <f t="shared" si="0"/>
        <v>9.5503914273528584E-2</v>
      </c>
      <c r="E61" s="23">
        <v>5000000</v>
      </c>
      <c r="F61" s="41">
        <f t="shared" si="1"/>
        <v>7.1083309638896794E-2</v>
      </c>
      <c r="G61" s="23">
        <f t="shared" si="2"/>
        <v>1717745.33</v>
      </c>
      <c r="H61" s="94">
        <f t="shared" si="3"/>
        <v>34.354906599999993</v>
      </c>
      <c r="I61" s="23">
        <v>5015849.370000001</v>
      </c>
      <c r="J61" s="41">
        <f t="shared" si="4"/>
        <v>7.3254898922437167E-2</v>
      </c>
      <c r="K61" s="23">
        <f t="shared" si="6"/>
        <v>1701895.959999999</v>
      </c>
      <c r="L61" s="94">
        <f t="shared" si="5"/>
        <v>33.930364220646425</v>
      </c>
      <c r="M61" s="72" t="s">
        <v>139</v>
      </c>
    </row>
    <row r="62" spans="1:16382" ht="15" customHeight="1">
      <c r="A62" s="21">
        <v>4612</v>
      </c>
      <c r="B62" s="22" t="s">
        <v>53</v>
      </c>
      <c r="C62" s="23">
        <v>1186669.33</v>
      </c>
      <c r="D62" s="41">
        <f t="shared" si="0"/>
        <v>1.6870476684674441E-2</v>
      </c>
      <c r="E62" s="23">
        <v>2994000</v>
      </c>
      <c r="F62" s="41">
        <f t="shared" si="1"/>
        <v>4.2564685811771391E-2</v>
      </c>
      <c r="G62" s="23">
        <f t="shared" si="2"/>
        <v>-1807330.67</v>
      </c>
      <c r="H62" s="94">
        <f t="shared" si="3"/>
        <v>-60.365085838343354</v>
      </c>
      <c r="I62" s="23">
        <v>1778016.54</v>
      </c>
      <c r="J62" s="41">
        <f t="shared" si="4"/>
        <v>2.5967371089559141E-2</v>
      </c>
      <c r="K62" s="23">
        <f t="shared" si="6"/>
        <v>-591347.21</v>
      </c>
      <c r="L62" s="94">
        <f t="shared" si="5"/>
        <v>-33.258813779088911</v>
      </c>
      <c r="M62" s="72" t="s">
        <v>140</v>
      </c>
    </row>
    <row r="63" spans="1:16382" ht="15" hidden="1" customHeight="1">
      <c r="A63" s="21">
        <v>463</v>
      </c>
      <c r="B63" s="22" t="s">
        <v>46</v>
      </c>
      <c r="C63" s="23"/>
      <c r="D63" s="41">
        <f t="shared" si="0"/>
        <v>0</v>
      </c>
      <c r="E63" s="23"/>
      <c r="F63" s="41">
        <f t="shared" si="1"/>
        <v>0</v>
      </c>
      <c r="G63" s="23"/>
      <c r="H63" s="94">
        <f t="shared" si="3"/>
        <v>0</v>
      </c>
      <c r="I63" s="23"/>
      <c r="J63" s="41">
        <f t="shared" si="4"/>
        <v>0</v>
      </c>
      <c r="K63" s="23"/>
      <c r="L63" s="94">
        <f t="shared" si="5"/>
        <v>0</v>
      </c>
      <c r="M63" s="72"/>
    </row>
    <row r="64" spans="1:16382" s="34" customFormat="1" ht="15" customHeight="1">
      <c r="A64" s="31">
        <v>4418</v>
      </c>
      <c r="B64" s="32" t="s">
        <v>63</v>
      </c>
      <c r="C64" s="33">
        <v>0</v>
      </c>
      <c r="D64" s="43">
        <f t="shared" si="0"/>
        <v>0</v>
      </c>
      <c r="E64" s="33">
        <v>0</v>
      </c>
      <c r="F64" s="43">
        <f t="shared" si="1"/>
        <v>0</v>
      </c>
      <c r="G64" s="33">
        <f t="shared" si="2"/>
        <v>0</v>
      </c>
      <c r="H64" s="99">
        <f t="shared" si="3"/>
        <v>0</v>
      </c>
      <c r="I64" s="33">
        <v>0</v>
      </c>
      <c r="J64" s="43">
        <f t="shared" si="4"/>
        <v>0</v>
      </c>
      <c r="K64" s="33">
        <f t="shared" si="6"/>
        <v>0</v>
      </c>
      <c r="L64" s="99">
        <f t="shared" si="5"/>
        <v>0</v>
      </c>
      <c r="M64" s="70" t="s">
        <v>141</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5" spans="1:16382" s="34" customFormat="1" ht="15" customHeight="1">
      <c r="A65" s="31">
        <v>45</v>
      </c>
      <c r="B65" s="32" t="s">
        <v>44</v>
      </c>
      <c r="C65" s="33">
        <v>0</v>
      </c>
      <c r="D65" s="43">
        <f t="shared" si="0"/>
        <v>0</v>
      </c>
      <c r="E65" s="33">
        <v>0</v>
      </c>
      <c r="F65" s="43">
        <f t="shared" si="1"/>
        <v>0</v>
      </c>
      <c r="G65" s="33">
        <f t="shared" si="2"/>
        <v>0</v>
      </c>
      <c r="H65" s="99">
        <f t="shared" si="3"/>
        <v>0</v>
      </c>
      <c r="I65" s="33">
        <v>3074.2200000000003</v>
      </c>
      <c r="J65" s="43">
        <f t="shared" si="4"/>
        <v>4.4898014025755068E-5</v>
      </c>
      <c r="K65" s="33">
        <f t="shared" si="6"/>
        <v>-3074.2200000000003</v>
      </c>
      <c r="L65" s="99">
        <f t="shared" si="5"/>
        <v>-100</v>
      </c>
      <c r="M65" s="70" t="s">
        <v>129</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row>
    <row r="66" spans="1:16382" s="34" customFormat="1" ht="15" customHeight="1">
      <c r="A66" s="31"/>
      <c r="B66" s="32" t="s">
        <v>54</v>
      </c>
      <c r="C66" s="33">
        <f>+C57-C60-C64-C65</f>
        <v>4413581.1809999608</v>
      </c>
      <c r="D66" s="43">
        <f t="shared" si="0"/>
        <v>6.2746391541085592E-2</v>
      </c>
      <c r="E66" s="33">
        <f>+E57-E60-E64-E65</f>
        <v>-6984917.9912</v>
      </c>
      <c r="F66" s="43">
        <f t="shared" si="1"/>
        <v>-9.930221767415412E-2</v>
      </c>
      <c r="G66" s="33">
        <f t="shared" ref="G66:G73" si="13">+C66-E66</f>
        <v>11398499.172199961</v>
      </c>
      <c r="H66" s="99">
        <f t="shared" si="3"/>
        <v>-163.18730136216979</v>
      </c>
      <c r="I66" s="33">
        <f>+I57-I60-I64-I65</f>
        <v>-1647443.8099999486</v>
      </c>
      <c r="J66" s="43">
        <f t="shared" si="4"/>
        <v>-2.4060397527835047E-2</v>
      </c>
      <c r="K66" s="33">
        <f t="shared" ref="K66:K73" si="14">+C66-I66</f>
        <v>6061024.9909999091</v>
      </c>
      <c r="L66" s="99">
        <f t="shared" si="5"/>
        <v>-367.90480829814152</v>
      </c>
      <c r="M66" s="70" t="s">
        <v>142</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row>
    <row r="67" spans="1:16382" s="34" customFormat="1" ht="15" customHeight="1">
      <c r="A67" s="31"/>
      <c r="B67" s="32" t="s">
        <v>48</v>
      </c>
      <c r="C67" s="33">
        <f>+SUM(C68:C73)+C56</f>
        <v>-4413581.1809999608</v>
      </c>
      <c r="D67" s="43">
        <f t="shared" si="0"/>
        <v>-6.2746391541085592E-2</v>
      </c>
      <c r="E67" s="33">
        <f>+SUM(E68:E73)+E56</f>
        <v>6984917.9912</v>
      </c>
      <c r="F67" s="43">
        <f t="shared" si="1"/>
        <v>9.930221767415412E-2</v>
      </c>
      <c r="G67" s="33">
        <f t="shared" si="13"/>
        <v>-11398499.172199961</v>
      </c>
      <c r="H67" s="99">
        <f t="shared" si="3"/>
        <v>-163.18730136216979</v>
      </c>
      <c r="I67" s="33">
        <f>+SUM(I68:I73)+I56</f>
        <v>1647443.8099999484</v>
      </c>
      <c r="J67" s="43">
        <f t="shared" si="4"/>
        <v>2.4060397527835044E-2</v>
      </c>
      <c r="K67" s="33">
        <f t="shared" si="14"/>
        <v>-6061024.9909999091</v>
      </c>
      <c r="L67" s="99">
        <f t="shared" si="5"/>
        <v>-367.90480829814152</v>
      </c>
      <c r="M67" s="70" t="s">
        <v>143</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row>
    <row r="68" spans="1:16382">
      <c r="A68" s="21">
        <v>7511</v>
      </c>
      <c r="B68" s="22" t="s">
        <v>55</v>
      </c>
      <c r="C68" s="23">
        <v>485330</v>
      </c>
      <c r="D68" s="41">
        <f t="shared" si="0"/>
        <v>6.8997725334091556E-3</v>
      </c>
      <c r="E68" s="23">
        <v>2000000</v>
      </c>
      <c r="F68" s="41">
        <f t="shared" si="1"/>
        <v>2.8433323855558714E-2</v>
      </c>
      <c r="G68" s="23">
        <f t="shared" si="13"/>
        <v>-1514670</v>
      </c>
      <c r="H68" s="94">
        <f t="shared" si="3"/>
        <v>-75.733499999999992</v>
      </c>
      <c r="I68" s="23">
        <v>1399622</v>
      </c>
      <c r="J68" s="41">
        <f t="shared" si="4"/>
        <v>2.044103811267748E-2</v>
      </c>
      <c r="K68" s="23">
        <f t="shared" si="14"/>
        <v>-914292</v>
      </c>
      <c r="L68" s="94">
        <f t="shared" si="5"/>
        <v>-65.324208964991982</v>
      </c>
      <c r="M68" s="72" t="s">
        <v>144</v>
      </c>
    </row>
    <row r="69" spans="1:16382" ht="15" customHeight="1">
      <c r="A69" s="21">
        <v>7512</v>
      </c>
      <c r="B69" s="22" t="s">
        <v>49</v>
      </c>
      <c r="C69" s="23">
        <v>630078.91999999993</v>
      </c>
      <c r="D69" s="41">
        <f t="shared" si="0"/>
        <v>8.9576189934603354E-3</v>
      </c>
      <c r="E69" s="23">
        <v>1400000</v>
      </c>
      <c r="F69" s="41">
        <f t="shared" si="1"/>
        <v>1.99033266988911E-2</v>
      </c>
      <c r="G69" s="23">
        <f t="shared" si="13"/>
        <v>-769921.08000000007</v>
      </c>
      <c r="H69" s="94">
        <f t="shared" si="3"/>
        <v>-54.994362857142868</v>
      </c>
      <c r="I69" s="23">
        <v>1269263.2799999998</v>
      </c>
      <c r="J69" s="41">
        <f t="shared" si="4"/>
        <v>1.8537190099542605E-2</v>
      </c>
      <c r="K69" s="23">
        <f t="shared" si="14"/>
        <v>-639184.35999999987</v>
      </c>
      <c r="L69" s="94">
        <f t="shared" si="5"/>
        <v>-50.35868996383477</v>
      </c>
      <c r="M69" s="72" t="s">
        <v>145</v>
      </c>
    </row>
    <row r="70" spans="1:16382" ht="15" customHeight="1">
      <c r="A70" s="18">
        <v>72</v>
      </c>
      <c r="B70" s="19" t="s">
        <v>172</v>
      </c>
      <c r="C70" s="20">
        <v>3381882.5</v>
      </c>
      <c r="D70" s="40">
        <f t="shared" si="0"/>
        <v>4.8079080181973273E-2</v>
      </c>
      <c r="E70" s="20">
        <v>4000000</v>
      </c>
      <c r="F70" s="40">
        <f t="shared" si="1"/>
        <v>5.6866647711117428E-2</v>
      </c>
      <c r="G70" s="20">
        <f t="shared" si="13"/>
        <v>-618117.5</v>
      </c>
      <c r="H70" s="89">
        <f t="shared" si="3"/>
        <v>-15.45293749999999</v>
      </c>
      <c r="I70" s="20">
        <v>2033470.4900000002</v>
      </c>
      <c r="J70" s="40">
        <f t="shared" si="4"/>
        <v>2.9698195503568073E-2</v>
      </c>
      <c r="K70" s="20">
        <f t="shared" si="14"/>
        <v>1348412.0099999998</v>
      </c>
      <c r="L70" s="89">
        <f t="shared" si="5"/>
        <v>66.310871814028616</v>
      </c>
      <c r="M70" s="71" t="s">
        <v>146</v>
      </c>
    </row>
    <row r="71" spans="1:16382" ht="15" customHeight="1">
      <c r="A71" s="28">
        <v>73</v>
      </c>
      <c r="B71" s="19" t="s">
        <v>188</v>
      </c>
      <c r="C71" s="30">
        <v>97726.28</v>
      </c>
      <c r="D71" s="40">
        <f t="shared" ref="D71:D73" si="15">IFERROR(C71/$C$2*100,0)</f>
        <v>1.3893414842195053E-3</v>
      </c>
      <c r="E71" s="30">
        <v>580000</v>
      </c>
      <c r="F71" s="40">
        <f t="shared" ref="F71:F73" si="16">IFERROR(E71/$E$2*100,0)</f>
        <v>8.2456639181120277E-3</v>
      </c>
      <c r="G71" s="20">
        <f t="shared" si="13"/>
        <v>-482273.72</v>
      </c>
      <c r="H71" s="89">
        <f t="shared" ref="H71:H73" si="17">IFERROR(C71/E71*100-100,0)</f>
        <v>-83.150641379310343</v>
      </c>
      <c r="I71" s="30">
        <v>132023.38999999998</v>
      </c>
      <c r="J71" s="40">
        <f t="shared" ref="J71:J73" si="18">IFERROR(I71/$I$2*100,0)</f>
        <v>1.9281599937375109E-3</v>
      </c>
      <c r="K71" s="20">
        <f t="shared" si="14"/>
        <v>-34297.109999999986</v>
      </c>
      <c r="L71" s="89">
        <f t="shared" ref="L71:L73" si="19">IFERROR(C71/I71*100-100,0)</f>
        <v>-25.978055858132393</v>
      </c>
      <c r="M71" s="74" t="s">
        <v>108</v>
      </c>
    </row>
    <row r="72" spans="1:16382" ht="15" customHeight="1">
      <c r="A72" s="28"/>
      <c r="B72" s="29" t="s">
        <v>152</v>
      </c>
      <c r="C72" s="30">
        <v>9477173.8300000019</v>
      </c>
      <c r="D72" s="40">
        <f t="shared" si="15"/>
        <v>0.13473377637190789</v>
      </c>
      <c r="E72" s="30">
        <v>5000000</v>
      </c>
      <c r="F72" s="40">
        <f t="shared" si="16"/>
        <v>7.1083309638896794E-2</v>
      </c>
      <c r="G72" s="20">
        <f t="shared" ref="G72" si="20">+C72-E72</f>
        <v>4477173.8300000019</v>
      </c>
      <c r="H72" s="89">
        <f t="shared" si="17"/>
        <v>89.543476600000048</v>
      </c>
      <c r="I72" s="30">
        <v>5944928.1500000004</v>
      </c>
      <c r="J72" s="40">
        <f t="shared" si="18"/>
        <v>8.6823801634497905E-2</v>
      </c>
      <c r="K72" s="20">
        <f t="shared" ref="K72" si="21">+C72-I72</f>
        <v>3532245.6800000016</v>
      </c>
      <c r="L72" s="89">
        <f t="shared" si="19"/>
        <v>59.416120613669676</v>
      </c>
      <c r="M72" s="74" t="s">
        <v>153</v>
      </c>
    </row>
    <row r="73" spans="1:16382" ht="15" customHeight="1" thickBot="1">
      <c r="A73" s="24"/>
      <c r="B73" s="25" t="s">
        <v>50</v>
      </c>
      <c r="C73" s="26">
        <f>+-C66-(SUM(C68:C72)+C56)</f>
        <v>-18485772.710999962</v>
      </c>
      <c r="D73" s="42">
        <f t="shared" si="15"/>
        <v>-0.26280598110605574</v>
      </c>
      <c r="E73" s="26">
        <f>+-E66-SUM(E68:E72)</f>
        <v>-5995082.0088</v>
      </c>
      <c r="F73" s="42">
        <f t="shared" si="16"/>
        <v>-8.5230054148421955E-2</v>
      </c>
      <c r="G73" s="26">
        <f t="shared" si="13"/>
        <v>-12490690.702199962</v>
      </c>
      <c r="H73" s="95">
        <f t="shared" si="17"/>
        <v>208.34895475767058</v>
      </c>
      <c r="I73" s="26">
        <f>+-I66-(SUM(I68:I72)+I56)</f>
        <v>-9131863.5000000503</v>
      </c>
      <c r="J73" s="42">
        <f t="shared" si="18"/>
        <v>-0.13336798781618853</v>
      </c>
      <c r="K73" s="26">
        <f t="shared" si="14"/>
        <v>-9353909.2109999117</v>
      </c>
      <c r="L73" s="95">
        <f t="shared" si="19"/>
        <v>102.43154873044108</v>
      </c>
      <c r="M73" s="75" t="s">
        <v>147</v>
      </c>
    </row>
    <row r="74" spans="1:16382" ht="13.5" customHeight="1"/>
    <row r="78" spans="1:16382">
      <c r="G78" s="84"/>
    </row>
    <row r="80" spans="1:16382">
      <c r="J80" s="85"/>
    </row>
  </sheetData>
  <sheetProtection algorithmName="SHA-512" hashValue="UurSOZfxzjzZPchWcFzpVFgu9jho+Ok2FbrwMQF51VJF2ltdei1gMvhMC6MMFUeIm7TWsaN7Vah0jN7e36/WAw==" saltValue="hMqooXpEbjRTJwfFlPtiBg=="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4"/>
  <sheetViews>
    <sheetView zoomScale="90" zoomScaleNormal="90" zoomScaleSheetLayoutView="90" workbookViewId="0">
      <pane ySplit="5" topLeftCell="A6" activePane="bottomLeft" state="frozen"/>
      <selection activeCell="G14" sqref="G14"/>
      <selection pane="bottomLeft" activeCell="A6" sqref="A6"/>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96" customWidth="1"/>
    <col min="9" max="9" width="9.140625" style="6"/>
    <col min="10" max="10" width="9.5703125" style="7" customWidth="1"/>
    <col min="11" max="11" width="11.28515625" style="6" customWidth="1"/>
    <col min="12" max="12" width="11.7109375" style="96"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5"/>
      <c r="M1" s="5"/>
    </row>
    <row r="2" spans="1:16357" ht="15.75" customHeight="1" thickBot="1">
      <c r="A2" s="8" t="s">
        <v>58</v>
      </c>
      <c r="B2" s="8"/>
      <c r="C2" s="111">
        <f>'Centralna država-ek klas'!C2:D2</f>
        <v>7034000000</v>
      </c>
      <c r="D2" s="112"/>
      <c r="E2" s="111">
        <f>'Centralna država-ek klas'!E2:F2</f>
        <v>7034000000</v>
      </c>
      <c r="F2" s="112"/>
      <c r="G2" s="9"/>
      <c r="H2" s="97"/>
      <c r="I2" s="111">
        <v>6847118000</v>
      </c>
      <c r="J2" s="112"/>
      <c r="K2" s="9"/>
      <c r="L2" s="97"/>
      <c r="M2" s="8" t="s">
        <v>78</v>
      </c>
    </row>
    <row r="3" spans="1:16357" ht="15" customHeight="1" thickBot="1">
      <c r="A3" s="8"/>
      <c r="B3" s="8"/>
      <c r="C3" s="11"/>
      <c r="D3" s="8"/>
      <c r="E3" s="11"/>
      <c r="F3" s="10"/>
      <c r="G3" s="11"/>
      <c r="H3" s="97"/>
      <c r="I3" s="11"/>
      <c r="J3" s="10"/>
      <c r="K3" s="11"/>
      <c r="L3" s="97"/>
      <c r="M3" s="8"/>
    </row>
    <row r="4" spans="1:16357" ht="15" customHeight="1">
      <c r="A4" s="117" t="s">
        <v>70</v>
      </c>
      <c r="B4" s="115" t="s">
        <v>71</v>
      </c>
      <c r="C4" s="121" t="s">
        <v>191</v>
      </c>
      <c r="D4" s="122"/>
      <c r="E4" s="119" t="s">
        <v>192</v>
      </c>
      <c r="F4" s="120"/>
      <c r="G4" s="119" t="s">
        <v>171</v>
      </c>
      <c r="H4" s="120"/>
      <c r="I4" s="119" t="s">
        <v>197</v>
      </c>
      <c r="J4" s="120"/>
      <c r="K4" s="119" t="s">
        <v>171</v>
      </c>
      <c r="L4" s="120"/>
      <c r="M4" s="113" t="s">
        <v>148</v>
      </c>
    </row>
    <row r="5" spans="1:16357" ht="24" customHeight="1">
      <c r="A5" s="118"/>
      <c r="B5" s="116"/>
      <c r="C5" s="12" t="s">
        <v>61</v>
      </c>
      <c r="D5" s="13" t="s">
        <v>56</v>
      </c>
      <c r="E5" s="12" t="s">
        <v>61</v>
      </c>
      <c r="F5" s="13" t="s">
        <v>56</v>
      </c>
      <c r="G5" s="12" t="s">
        <v>64</v>
      </c>
      <c r="H5" s="98" t="s">
        <v>62</v>
      </c>
      <c r="I5" s="12" t="s">
        <v>61</v>
      </c>
      <c r="J5" s="14" t="s">
        <v>56</v>
      </c>
      <c r="K5" s="12" t="s">
        <v>61</v>
      </c>
      <c r="L5" s="100" t="s">
        <v>62</v>
      </c>
      <c r="M5" s="114"/>
    </row>
    <row r="6" spans="1:16357" s="38" customFormat="1" ht="15" customHeight="1">
      <c r="A6" s="35"/>
      <c r="B6" s="36" t="s">
        <v>51</v>
      </c>
      <c r="C6" s="37">
        <f>+C7+C17+C22+C23+C24+C25+C26</f>
        <v>1497541102.9640002</v>
      </c>
      <c r="D6" s="44">
        <f>IFERROR(C6/$C$2*100,0)</f>
        <v>21.29003558379301</v>
      </c>
      <c r="E6" s="37">
        <f>+E7+E17+E22+E23+E24+E25+E26</f>
        <v>1407237895.413307</v>
      </c>
      <c r="F6" s="44">
        <f>IFERROR(E6/$E$2*100,0)</f>
        <v>20.006225411050711</v>
      </c>
      <c r="G6" s="37">
        <f>+C6-E6</f>
        <v>90303207.550693274</v>
      </c>
      <c r="H6" s="101">
        <f>IFERROR(C6/E6*100-100,0)</f>
        <v>6.4170534239465553</v>
      </c>
      <c r="I6" s="37">
        <f>+I7+I17+I22+I23+I24+I25+I26</f>
        <v>1382508474.4200001</v>
      </c>
      <c r="J6" s="44">
        <f>IFERROR(I6/$I$2*100,0)</f>
        <v>20.191100466210749</v>
      </c>
      <c r="K6" s="37">
        <f>+C6-I6</f>
        <v>115032628.54400015</v>
      </c>
      <c r="L6" s="101">
        <f>IFERROR(C6/I6*100-100,0)</f>
        <v>8.3205731228706838</v>
      </c>
      <c r="M6" s="79" t="s">
        <v>149</v>
      </c>
      <c r="N6" s="1"/>
      <c r="O6" s="1"/>
      <c r="P6" s="83"/>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1055462187.664</v>
      </c>
      <c r="D7" s="40">
        <f t="shared" ref="D7:D63" si="0">IFERROR(C7/$C$2*100,0)</f>
        <v>15.005149099573501</v>
      </c>
      <c r="E7" s="20">
        <f>+SUM(E8:E16)</f>
        <v>988880143.41576469</v>
      </c>
      <c r="F7" s="40">
        <f t="shared" ref="F7:F63" si="1">IFERROR(E7/$E$2*100,0)</f>
        <v>14.058574686035893</v>
      </c>
      <c r="G7" s="20">
        <f t="shared" ref="G7:G55" si="2">+C7-E7</f>
        <v>66582044.248235345</v>
      </c>
      <c r="H7" s="89">
        <f t="shared" ref="H7:H63" si="3">IFERROR(C7/E7*100-100,0)</f>
        <v>6.7330752560415874</v>
      </c>
      <c r="I7" s="20">
        <f>+SUM(I8:I16)</f>
        <v>880495698.36000001</v>
      </c>
      <c r="J7" s="40">
        <f t="shared" ref="J7:J63" si="4">IFERROR(I7/$I$2*100,0)</f>
        <v>12.859362119361753</v>
      </c>
      <c r="K7" s="20">
        <f t="shared" ref="K7:K55" si="5">+C7-I7</f>
        <v>174966489.30400002</v>
      </c>
      <c r="L7" s="89">
        <f t="shared" ref="L7:L63" si="6">IFERROR(C7/I7*100-100,0)</f>
        <v>19.871362191762017</v>
      </c>
      <c r="M7" s="71" t="s">
        <v>79</v>
      </c>
      <c r="Q7" s="83"/>
    </row>
    <row r="8" spans="1:16357" ht="15" customHeight="1">
      <c r="A8" s="21">
        <v>7111</v>
      </c>
      <c r="B8" s="22" t="s">
        <v>2</v>
      </c>
      <c r="C8" s="23">
        <f>+'Centralna država-ek klas'!C8+'Lokalna država-ek klas '!C8</f>
        <v>83881395.210000008</v>
      </c>
      <c r="D8" s="41">
        <f t="shared" si="0"/>
        <v>1.1925134377310209</v>
      </c>
      <c r="E8" s="23">
        <f>+'Centralna država-ek klas'!E8+'Lokalna država-ek klas '!E8</f>
        <v>74219778.436415195</v>
      </c>
      <c r="F8" s="41">
        <f t="shared" si="1"/>
        <v>1.0551574983852032</v>
      </c>
      <c r="G8" s="23">
        <f t="shared" si="2"/>
        <v>9661616.7735848129</v>
      </c>
      <c r="H8" s="94">
        <f t="shared" si="3"/>
        <v>13.017576954722415</v>
      </c>
      <c r="I8" s="23">
        <f>+'Centralna država-ek klas'!I8+'Lokalna država-ek klas '!I8</f>
        <v>57838842.010000005</v>
      </c>
      <c r="J8" s="41">
        <f t="shared" si="4"/>
        <v>0.84471805524601751</v>
      </c>
      <c r="K8" s="23">
        <f t="shared" si="5"/>
        <v>26042553.200000003</v>
      </c>
      <c r="L8" s="94">
        <f t="shared" si="6"/>
        <v>45.026062581780934</v>
      </c>
      <c r="M8" s="72" t="s">
        <v>80</v>
      </c>
      <c r="P8" s="86"/>
      <c r="Q8" s="86"/>
      <c r="R8" s="86"/>
    </row>
    <row r="9" spans="1:16357" ht="15" customHeight="1">
      <c r="A9" s="21">
        <v>7112</v>
      </c>
      <c r="B9" s="22" t="s">
        <v>3</v>
      </c>
      <c r="C9" s="23">
        <f>+'Centralna država-ek klas'!C9</f>
        <v>191189769.47999999</v>
      </c>
      <c r="D9" s="41">
        <f t="shared" si="0"/>
        <v>2.7180803167472276</v>
      </c>
      <c r="E9" s="23">
        <f>+'Centralna država-ek klas'!E9</f>
        <v>141231727.92810538</v>
      </c>
      <c r="F9" s="41">
        <f t="shared" si="1"/>
        <v>2.0078437294299882</v>
      </c>
      <c r="G9" s="23">
        <f t="shared" si="2"/>
        <v>49958041.551894605</v>
      </c>
      <c r="H9" s="94">
        <f t="shared" si="3"/>
        <v>35.373100849779263</v>
      </c>
      <c r="I9" s="23">
        <f>+'Centralna država-ek klas'!I9</f>
        <v>131603996.28999999</v>
      </c>
      <c r="J9" s="41">
        <f t="shared" si="4"/>
        <v>1.9220348808067862</v>
      </c>
      <c r="K9" s="23">
        <f t="shared" si="5"/>
        <v>59585773.189999998</v>
      </c>
      <c r="L9" s="94">
        <f t="shared" si="6"/>
        <v>45.276568242424759</v>
      </c>
      <c r="M9" s="72" t="s">
        <v>81</v>
      </c>
    </row>
    <row r="10" spans="1:16357" ht="15" customHeight="1">
      <c r="A10" s="21">
        <v>71131</v>
      </c>
      <c r="B10" s="22" t="s">
        <v>66</v>
      </c>
      <c r="C10" s="23">
        <f>+'Lokalna država-ek klas '!C9</f>
        <v>27190934.814000007</v>
      </c>
      <c r="D10" s="41">
        <f t="shared" si="0"/>
        <v>0.3865643277509242</v>
      </c>
      <c r="E10" s="23">
        <f>+'Lokalna država-ek klas '!E9</f>
        <v>26000000</v>
      </c>
      <c r="F10" s="41">
        <f t="shared" si="1"/>
        <v>0.3696332101222633</v>
      </c>
      <c r="G10" s="23">
        <f t="shared" si="2"/>
        <v>1190934.8140000068</v>
      </c>
      <c r="H10" s="94">
        <f t="shared" si="3"/>
        <v>4.5805185153846395</v>
      </c>
      <c r="I10" s="23">
        <f>+'Lokalna država-ek klas '!I9</f>
        <v>26621696.669999998</v>
      </c>
      <c r="J10" s="41">
        <f t="shared" si="4"/>
        <v>0.38880148801291287</v>
      </c>
      <c r="K10" s="23">
        <f t="shared" si="5"/>
        <v>569238.1440000087</v>
      </c>
      <c r="L10" s="94">
        <f t="shared" si="6"/>
        <v>2.1382489292708584</v>
      </c>
      <c r="M10" s="72" t="s">
        <v>150</v>
      </c>
    </row>
    <row r="11" spans="1:16357" ht="15" customHeight="1">
      <c r="A11" s="21">
        <v>71132</v>
      </c>
      <c r="B11" s="22" t="s">
        <v>4</v>
      </c>
      <c r="C11" s="23">
        <f>+'Centralna država-ek klas'!C10+'Lokalna država-ek klas '!C10</f>
        <v>11491232.710000001</v>
      </c>
      <c r="D11" s="41">
        <f t="shared" si="0"/>
        <v>0.16336697057150984</v>
      </c>
      <c r="E11" s="23">
        <f>+'Centralna država-ek klas'!E10+'Lokalna država-ek klas '!E10</f>
        <v>10000000</v>
      </c>
      <c r="F11" s="41">
        <f t="shared" si="1"/>
        <v>0.14216661927779359</v>
      </c>
      <c r="G11" s="23">
        <f t="shared" si="2"/>
        <v>1491232.7100000009</v>
      </c>
      <c r="H11" s="94">
        <f t="shared" si="3"/>
        <v>14.912327100000013</v>
      </c>
      <c r="I11" s="23">
        <f>+'Centralna država-ek klas'!I10+'Lokalna država-ek klas '!I10</f>
        <v>12081934.32</v>
      </c>
      <c r="J11" s="41">
        <f t="shared" si="4"/>
        <v>0.17645284220309918</v>
      </c>
      <c r="K11" s="23">
        <f t="shared" si="5"/>
        <v>-590701.6099999994</v>
      </c>
      <c r="L11" s="94">
        <f t="shared" si="6"/>
        <v>-4.8891311138993103</v>
      </c>
      <c r="M11" s="72" t="s">
        <v>82</v>
      </c>
    </row>
    <row r="12" spans="1:16357" ht="15" customHeight="1">
      <c r="A12" s="21">
        <v>7114</v>
      </c>
      <c r="B12" s="22" t="s">
        <v>5</v>
      </c>
      <c r="C12" s="23">
        <f>+'Centralna država-ek klas'!C11</f>
        <v>535961758.94</v>
      </c>
      <c r="D12" s="41">
        <f t="shared" si="0"/>
        <v>7.619587133067955</v>
      </c>
      <c r="E12" s="23">
        <f>+'Centralna država-ek klas'!E11</f>
        <v>536608672.65978539</v>
      </c>
      <c r="F12" s="41">
        <f t="shared" si="1"/>
        <v>7.6287840867185857</v>
      </c>
      <c r="G12" s="23">
        <f t="shared" si="2"/>
        <v>-646913.71978539228</v>
      </c>
      <c r="H12" s="94">
        <f t="shared" si="3"/>
        <v>-0.12055595683514753</v>
      </c>
      <c r="I12" s="23">
        <f>+'Centralna država-ek klas'!I11</f>
        <v>475587698.05000001</v>
      </c>
      <c r="J12" s="41">
        <f t="shared" si="4"/>
        <v>6.9458084123860582</v>
      </c>
      <c r="K12" s="23">
        <f t="shared" si="5"/>
        <v>60374060.889999986</v>
      </c>
      <c r="L12" s="94">
        <f t="shared" si="6"/>
        <v>12.694622072342312</v>
      </c>
      <c r="M12" s="72" t="s">
        <v>83</v>
      </c>
    </row>
    <row r="13" spans="1:16357" ht="15" customHeight="1">
      <c r="A13" s="21">
        <v>7115</v>
      </c>
      <c r="B13" s="22" t="s">
        <v>6</v>
      </c>
      <c r="C13" s="23">
        <f>+'Centralna država-ek klas'!C12</f>
        <v>160218575.27000001</v>
      </c>
      <c r="D13" s="41">
        <f t="shared" si="0"/>
        <v>2.2777733191640603</v>
      </c>
      <c r="E13" s="23">
        <f>+'Centralna država-ek klas'!E12</f>
        <v>156267237.32614911</v>
      </c>
      <c r="F13" s="41">
        <f t="shared" si="1"/>
        <v>2.2215984834539251</v>
      </c>
      <c r="G13" s="23">
        <f t="shared" si="2"/>
        <v>3951337.9438509047</v>
      </c>
      <c r="H13" s="94">
        <f t="shared" si="3"/>
        <v>2.528577334226469</v>
      </c>
      <c r="I13" s="23">
        <f>+'Centralna država-ek klas'!I12</f>
        <v>136710345.29999998</v>
      </c>
      <c r="J13" s="41">
        <f t="shared" si="4"/>
        <v>1.9966114984435785</v>
      </c>
      <c r="K13" s="23">
        <f t="shared" si="5"/>
        <v>23508229.970000029</v>
      </c>
      <c r="L13" s="94">
        <f t="shared" si="6"/>
        <v>17.195648155531387</v>
      </c>
      <c r="M13" s="72" t="s">
        <v>84</v>
      </c>
    </row>
    <row r="14" spans="1:16357" ht="15" customHeight="1">
      <c r="A14" s="21">
        <v>7116</v>
      </c>
      <c r="B14" s="22" t="s">
        <v>7</v>
      </c>
      <c r="C14" s="23">
        <f>+'Centralna država-ek klas'!C13</f>
        <v>27246928.510000002</v>
      </c>
      <c r="D14" s="41">
        <f t="shared" si="0"/>
        <v>0.38736037119704292</v>
      </c>
      <c r="E14" s="23">
        <f>+'Centralna država-ek klas'!E13</f>
        <v>26848404.901829094</v>
      </c>
      <c r="F14" s="41">
        <f t="shared" si="1"/>
        <v>0.38169469578943838</v>
      </c>
      <c r="G14" s="23">
        <f t="shared" si="2"/>
        <v>398523.60817090794</v>
      </c>
      <c r="H14" s="94">
        <f t="shared" si="3"/>
        <v>1.4843474300544273</v>
      </c>
      <c r="I14" s="23">
        <f>+'Centralna država-ek klas'!I13</f>
        <v>24484852.199999999</v>
      </c>
      <c r="J14" s="41">
        <f t="shared" si="4"/>
        <v>0.35759354811761679</v>
      </c>
      <c r="K14" s="23">
        <f t="shared" si="5"/>
        <v>2762076.3100000024</v>
      </c>
      <c r="L14" s="94">
        <f t="shared" si="6"/>
        <v>11.280755495023982</v>
      </c>
      <c r="M14" s="72" t="s">
        <v>85</v>
      </c>
    </row>
    <row r="15" spans="1:16357" ht="15" customHeight="1">
      <c r="A15" s="21"/>
      <c r="B15" s="22" t="s">
        <v>159</v>
      </c>
      <c r="C15" s="23">
        <f>+'Lokalna država-ek klas '!C11</f>
        <v>11354132.229999999</v>
      </c>
      <c r="D15" s="41">
        <f t="shared" si="0"/>
        <v>0.16141785939721351</v>
      </c>
      <c r="E15" s="23">
        <f>+'Lokalna država-ek klas '!E11</f>
        <v>11065620.658399999</v>
      </c>
      <c r="F15" s="41">
        <f t="shared" si="1"/>
        <v>0.15731618792152402</v>
      </c>
      <c r="G15" s="23">
        <f t="shared" si="2"/>
        <v>288511.57159999944</v>
      </c>
      <c r="H15" s="94">
        <f t="shared" si="3"/>
        <v>2.6072787103992141</v>
      </c>
      <c r="I15" s="23">
        <f>+'Lokalna država-ek klas '!I11</f>
        <v>9195758.7600000035</v>
      </c>
      <c r="J15" s="41">
        <f t="shared" si="4"/>
        <v>0.13430115794703704</v>
      </c>
      <c r="K15" s="23">
        <f t="shared" si="5"/>
        <v>2158373.4699999951</v>
      </c>
      <c r="L15" s="94">
        <f t="shared" si="6"/>
        <v>23.471401613845671</v>
      </c>
      <c r="M15" s="72" t="s">
        <v>160</v>
      </c>
    </row>
    <row r="16" spans="1:16357" ht="15" customHeight="1">
      <c r="A16" s="21">
        <v>7118</v>
      </c>
      <c r="B16" s="22" t="s">
        <v>60</v>
      </c>
      <c r="C16" s="23">
        <f>+'Centralna država-ek klas'!C14</f>
        <v>6927460.5</v>
      </c>
      <c r="D16" s="41">
        <f t="shared" si="0"/>
        <v>9.8485363946545335E-2</v>
      </c>
      <c r="E16" s="23">
        <f>+'Centralna država-ek klas'!E14</f>
        <v>6638701.5050805844</v>
      </c>
      <c r="F16" s="41">
        <f t="shared" si="1"/>
        <v>9.4380174937170658E-2</v>
      </c>
      <c r="G16" s="23">
        <f t="shared" si="2"/>
        <v>288758.99491941556</v>
      </c>
      <c r="H16" s="94">
        <f t="shared" si="3"/>
        <v>4.3496306423542137</v>
      </c>
      <c r="I16" s="23">
        <f>+'Centralna država-ek klas'!I14</f>
        <v>6370574.7599999998</v>
      </c>
      <c r="J16" s="41">
        <f t="shared" si="4"/>
        <v>9.3040236198645918E-2</v>
      </c>
      <c r="K16" s="23">
        <f t="shared" si="5"/>
        <v>556885.74000000022</v>
      </c>
      <c r="L16" s="94">
        <f t="shared" si="6"/>
        <v>8.7415305679577386</v>
      </c>
      <c r="M16" s="72" t="s">
        <v>86</v>
      </c>
    </row>
    <row r="17" spans="1:16357" ht="15" customHeight="1">
      <c r="A17" s="18">
        <v>712</v>
      </c>
      <c r="B17" s="19" t="s">
        <v>8</v>
      </c>
      <c r="C17" s="20">
        <f>+SUM(C18:C21)</f>
        <v>265955415.06999999</v>
      </c>
      <c r="D17" s="40">
        <f t="shared" si="0"/>
        <v>3.7809982239124253</v>
      </c>
      <c r="E17" s="20">
        <f>+SUM(E18:E21)</f>
        <v>253782738.44578338</v>
      </c>
      <c r="F17" s="40">
        <f t="shared" si="1"/>
        <v>3.6079433955897549</v>
      </c>
      <c r="G17" s="20">
        <f t="shared" si="2"/>
        <v>12172676.624216616</v>
      </c>
      <c r="H17" s="89">
        <f t="shared" si="3"/>
        <v>4.796495103947791</v>
      </c>
      <c r="I17" s="20">
        <f>+SUM(I18:I21)</f>
        <v>241408130.23000002</v>
      </c>
      <c r="J17" s="40">
        <f t="shared" si="4"/>
        <v>3.5256896438764458</v>
      </c>
      <c r="K17" s="20">
        <f t="shared" si="5"/>
        <v>24547284.839999974</v>
      </c>
      <c r="L17" s="89">
        <f t="shared" si="6"/>
        <v>10.168375363585611</v>
      </c>
      <c r="M17" s="71" t="s">
        <v>87</v>
      </c>
    </row>
    <row r="18" spans="1:16357" ht="15" customHeight="1">
      <c r="A18" s="21">
        <v>7121</v>
      </c>
      <c r="B18" s="22" t="s">
        <v>9</v>
      </c>
      <c r="C18" s="23">
        <f>+'Centralna država-ek klas'!C16</f>
        <v>244101507.11000001</v>
      </c>
      <c r="D18" s="41">
        <f t="shared" si="0"/>
        <v>3.4703086026442995</v>
      </c>
      <c r="E18" s="23">
        <f>+'Centralna država-ek klas'!E16</f>
        <v>234698201.8945803</v>
      </c>
      <c r="F18" s="41">
        <f t="shared" si="1"/>
        <v>3.3366249913929531</v>
      </c>
      <c r="G18" s="23">
        <f t="shared" si="2"/>
        <v>9403305.2154197097</v>
      </c>
      <c r="H18" s="94">
        <f t="shared" si="3"/>
        <v>4.0065518779063325</v>
      </c>
      <c r="I18" s="23">
        <f>+'Centralna država-ek klas'!I16</f>
        <v>220749150.03</v>
      </c>
      <c r="J18" s="41">
        <f t="shared" si="4"/>
        <v>3.2239717503042886</v>
      </c>
      <c r="K18" s="23">
        <f t="shared" si="5"/>
        <v>23352357.080000013</v>
      </c>
      <c r="L18" s="94">
        <f t="shared" si="6"/>
        <v>10.578684935741052</v>
      </c>
      <c r="M18" s="72" t="s">
        <v>88</v>
      </c>
    </row>
    <row r="19" spans="1:16357" ht="15" customHeight="1">
      <c r="A19" s="21">
        <v>7122</v>
      </c>
      <c r="B19" s="22" t="s">
        <v>10</v>
      </c>
      <c r="C19" s="23">
        <f>+'Centralna država-ek klas'!C17</f>
        <v>2309927.13</v>
      </c>
      <c r="D19" s="41">
        <f t="shared" si="0"/>
        <v>3.2839453085015631E-2</v>
      </c>
      <c r="E19" s="23">
        <f>+'Centralna država-ek klas'!E17</f>
        <v>1306618.490073805</v>
      </c>
      <c r="F19" s="41">
        <f t="shared" si="1"/>
        <v>1.8575753341964811E-2</v>
      </c>
      <c r="G19" s="23">
        <f t="shared" si="2"/>
        <v>1003308.6399261949</v>
      </c>
      <c r="H19" s="94">
        <f t="shared" si="3"/>
        <v>76.786655595966835</v>
      </c>
      <c r="I19" s="23">
        <f>+'Centralna država-ek klas'!I17</f>
        <v>3062079.09</v>
      </c>
      <c r="J19" s="41">
        <f t="shared" si="4"/>
        <v>4.472069986233624E-2</v>
      </c>
      <c r="K19" s="23">
        <f t="shared" si="5"/>
        <v>-752151.96</v>
      </c>
      <c r="L19" s="94">
        <f t="shared" si="6"/>
        <v>-24.563439999193491</v>
      </c>
      <c r="M19" s="72" t="s">
        <v>89</v>
      </c>
    </row>
    <row r="20" spans="1:16357" ht="15" customHeight="1">
      <c r="A20" s="21">
        <v>7123</v>
      </c>
      <c r="B20" s="22" t="s">
        <v>11</v>
      </c>
      <c r="C20" s="23">
        <f>+'Centralna država-ek klas'!C18</f>
        <v>11381160.689999999</v>
      </c>
      <c r="D20" s="41">
        <f t="shared" si="0"/>
        <v>0.16180211387546203</v>
      </c>
      <c r="E20" s="23">
        <f>+'Centralna država-ek klas'!E18</f>
        <v>9963408.4873554204</v>
      </c>
      <c r="F20" s="41">
        <f t="shared" si="1"/>
        <v>0.14164641011309953</v>
      </c>
      <c r="G20" s="23">
        <f t="shared" si="2"/>
        <v>1417752.2026445791</v>
      </c>
      <c r="H20" s="94">
        <f t="shared" si="3"/>
        <v>14.229590249600335</v>
      </c>
      <c r="I20" s="23">
        <f>+'Centralna država-ek klas'!I18</f>
        <v>10055807.119999999</v>
      </c>
      <c r="J20" s="41">
        <f t="shared" si="4"/>
        <v>0.14686189313518475</v>
      </c>
      <c r="K20" s="23">
        <f t="shared" si="5"/>
        <v>1325353.5700000003</v>
      </c>
      <c r="L20" s="94">
        <f t="shared" si="6"/>
        <v>13.179982016202402</v>
      </c>
      <c r="M20" s="72" t="s">
        <v>90</v>
      </c>
    </row>
    <row r="21" spans="1:16357" ht="15" customHeight="1">
      <c r="A21" s="21">
        <v>7124</v>
      </c>
      <c r="B21" s="22" t="s">
        <v>12</v>
      </c>
      <c r="C21" s="23">
        <f>+'Centralna država-ek klas'!C19</f>
        <v>8162820.1399999997</v>
      </c>
      <c r="D21" s="41">
        <f t="shared" si="0"/>
        <v>0.11604805430764857</v>
      </c>
      <c r="E21" s="23">
        <f>+'Centralna država-ek klas'!E19</f>
        <v>7814509.5737738498</v>
      </c>
      <c r="F21" s="41">
        <f t="shared" si="1"/>
        <v>0.11109624074173799</v>
      </c>
      <c r="G21" s="23">
        <f t="shared" si="2"/>
        <v>348310.56622614991</v>
      </c>
      <c r="H21" s="94">
        <f t="shared" si="3"/>
        <v>4.457228735058564</v>
      </c>
      <c r="I21" s="23">
        <f>+'Centralna država-ek klas'!I19</f>
        <v>7541093.9900000002</v>
      </c>
      <c r="J21" s="41">
        <f t="shared" si="4"/>
        <v>0.11013530057463594</v>
      </c>
      <c r="K21" s="23">
        <f t="shared" si="5"/>
        <v>621726.14999999944</v>
      </c>
      <c r="L21" s="94">
        <f t="shared" si="6"/>
        <v>8.2445086989294936</v>
      </c>
      <c r="M21" s="72" t="s">
        <v>91</v>
      </c>
    </row>
    <row r="22" spans="1:16357" ht="15" customHeight="1">
      <c r="A22" s="18">
        <v>713</v>
      </c>
      <c r="B22" s="19" t="s">
        <v>13</v>
      </c>
      <c r="C22" s="20">
        <f>+'Centralna država-ek klas'!C20+'Lokalna država-ek klas '!C12</f>
        <v>9089067.629999999</v>
      </c>
      <c r="D22" s="40">
        <f t="shared" si="0"/>
        <v>0.12921620173443274</v>
      </c>
      <c r="E22" s="20">
        <f>+'Centralna država-ek klas'!E20+'Lokalna država-ek klas '!E12</f>
        <v>9603429.4959609509</v>
      </c>
      <c r="F22" s="40">
        <f t="shared" si="1"/>
        <v>0.13652871049134135</v>
      </c>
      <c r="G22" s="20">
        <f t="shared" si="2"/>
        <v>-514361.86596095189</v>
      </c>
      <c r="H22" s="89">
        <f t="shared" si="3"/>
        <v>-5.356022722687598</v>
      </c>
      <c r="I22" s="20">
        <f>+'Centralna država-ek klas'!I20+'Lokalna država-ek klas '!I12</f>
        <v>8729324.5999999996</v>
      </c>
      <c r="J22" s="40">
        <f t="shared" si="4"/>
        <v>0.12748903407243747</v>
      </c>
      <c r="K22" s="20">
        <f t="shared" si="5"/>
        <v>359743.02999999933</v>
      </c>
      <c r="L22" s="89">
        <f t="shared" si="6"/>
        <v>4.121086641685892</v>
      </c>
      <c r="M22" s="71" t="s">
        <v>92</v>
      </c>
    </row>
    <row r="23" spans="1:16357" ht="15" customHeight="1">
      <c r="A23" s="18">
        <v>714</v>
      </c>
      <c r="B23" s="19" t="s">
        <v>19</v>
      </c>
      <c r="C23" s="20">
        <f>+'Centralna država-ek klas'!C25+'Lokalna država-ek klas '!C19</f>
        <v>60791481.5</v>
      </c>
      <c r="D23" s="40">
        <f t="shared" si="0"/>
        <v>0.86425194057435317</v>
      </c>
      <c r="E23" s="20">
        <f>+'Centralna država-ek klas'!E25+'Lokalna država-ek klas '!E19</f>
        <v>64149799.684398599</v>
      </c>
      <c r="F23" s="40">
        <f t="shared" si="1"/>
        <v>0.91199601484786186</v>
      </c>
      <c r="G23" s="20">
        <f t="shared" si="2"/>
        <v>-3358318.184398599</v>
      </c>
      <c r="H23" s="89">
        <f t="shared" si="3"/>
        <v>-5.2351187391398071</v>
      </c>
      <c r="I23" s="20">
        <f>+'Centralna država-ek klas'!I25+'Lokalna država-ek klas '!I19</f>
        <v>65455175.000000007</v>
      </c>
      <c r="J23" s="40">
        <f t="shared" si="4"/>
        <v>0.95595219769836015</v>
      </c>
      <c r="K23" s="20">
        <f t="shared" si="5"/>
        <v>-4663693.5000000075</v>
      </c>
      <c r="L23" s="89">
        <f t="shared" si="6"/>
        <v>-7.1250187628403836</v>
      </c>
      <c r="M23" s="71" t="s">
        <v>97</v>
      </c>
    </row>
    <row r="24" spans="1:16357" ht="15" customHeight="1">
      <c r="A24" s="18">
        <v>715</v>
      </c>
      <c r="B24" s="19" t="s">
        <v>26</v>
      </c>
      <c r="C24" s="20">
        <f>+'Centralna država-ek klas'!C32+'Lokalna država-ek klas '!C30</f>
        <v>59351319.380000003</v>
      </c>
      <c r="D24" s="40">
        <f t="shared" si="0"/>
        <v>0.84377764259311927</v>
      </c>
      <c r="E24" s="20">
        <f>+'Centralna država-ek klas'!E32+'Lokalna država-ek klas '!E30</f>
        <v>42793728.070844039</v>
      </c>
      <c r="F24" s="40">
        <f t="shared" si="1"/>
        <v>0.60838396461251121</v>
      </c>
      <c r="G24" s="20">
        <f t="shared" si="2"/>
        <v>16557591.309155963</v>
      </c>
      <c r="H24" s="89">
        <f t="shared" si="3"/>
        <v>38.691630889800621</v>
      </c>
      <c r="I24" s="20">
        <f>+'Centralna država-ek klas'!I32+'Lokalna država-ek klas '!I30</f>
        <v>119475957.62</v>
      </c>
      <c r="J24" s="40">
        <f t="shared" si="4"/>
        <v>1.7449086991052294</v>
      </c>
      <c r="K24" s="20">
        <f t="shared" si="5"/>
        <v>-60124638.240000002</v>
      </c>
      <c r="L24" s="89">
        <f t="shared" si="6"/>
        <v>-50.323629488059673</v>
      </c>
      <c r="M24" s="71" t="s">
        <v>104</v>
      </c>
    </row>
    <row r="25" spans="1:16357" ht="15" customHeight="1">
      <c r="A25" s="18">
        <v>73</v>
      </c>
      <c r="B25" s="19" t="s">
        <v>187</v>
      </c>
      <c r="C25" s="20">
        <f>+'Centralna država-ek klas'!C37+'Lokalna država-ek klas '!C35</f>
        <v>97726.28</v>
      </c>
      <c r="D25" s="40">
        <f t="shared" si="0"/>
        <v>1.3893414842195053E-3</v>
      </c>
      <c r="E25" s="20">
        <f>+'Centralna država-ek klas'!E37+'Lokalna država-ek klas '!E35</f>
        <v>0</v>
      </c>
      <c r="F25" s="40">
        <f t="shared" si="1"/>
        <v>0</v>
      </c>
      <c r="G25" s="20">
        <f t="shared" si="2"/>
        <v>97726.28</v>
      </c>
      <c r="H25" s="89">
        <f t="shared" si="3"/>
        <v>0</v>
      </c>
      <c r="I25" s="20">
        <f>+'Centralna država-ek klas'!I37+'Lokalna država-ek klas '!I35</f>
        <v>132023.38999999998</v>
      </c>
      <c r="J25" s="40">
        <f t="shared" si="4"/>
        <v>1.9281599937375109E-3</v>
      </c>
      <c r="K25" s="20">
        <f t="shared" si="5"/>
        <v>-34297.109999999986</v>
      </c>
      <c r="L25" s="89">
        <f t="shared" si="6"/>
        <v>-25.978055858132393</v>
      </c>
      <c r="M25" s="71" t="s">
        <v>108</v>
      </c>
    </row>
    <row r="26" spans="1:16357" ht="15" customHeight="1">
      <c r="A26" s="18">
        <v>74</v>
      </c>
      <c r="B26" s="19" t="s">
        <v>183</v>
      </c>
      <c r="C26" s="20">
        <f>+'Centralna država-ek klas'!C38+'Lokalna država-ek klas '!C36</f>
        <v>46793905.439999998</v>
      </c>
      <c r="D26" s="40">
        <f t="shared" si="0"/>
        <v>0.66525313392095531</v>
      </c>
      <c r="E26" s="20">
        <f>+'Centralna država-ek klas'!E38+'Lokalna država-ek klas '!E36</f>
        <v>48028056.300555557</v>
      </c>
      <c r="F26" s="40">
        <f t="shared" si="1"/>
        <v>0.68279863947335173</v>
      </c>
      <c r="G26" s="20">
        <f t="shared" si="2"/>
        <v>-1234150.8605555594</v>
      </c>
      <c r="H26" s="89">
        <f t="shared" si="3"/>
        <v>-2.5696456521836808</v>
      </c>
      <c r="I26" s="20">
        <f>+'Centralna država-ek klas'!I38+'Lokalna država-ek klas '!I36</f>
        <v>66812165.219999999</v>
      </c>
      <c r="J26" s="40">
        <f t="shared" si="4"/>
        <v>0.97577061210278537</v>
      </c>
      <c r="K26" s="20">
        <f t="shared" si="5"/>
        <v>-20018259.780000001</v>
      </c>
      <c r="L26" s="89">
        <f t="shared" si="6"/>
        <v>-29.961998258975157</v>
      </c>
      <c r="M26" s="71" t="s">
        <v>109</v>
      </c>
    </row>
    <row r="27" spans="1:16357" s="38" customFormat="1" ht="15" customHeight="1">
      <c r="A27" s="35"/>
      <c r="B27" s="36" t="s">
        <v>72</v>
      </c>
      <c r="C27" s="37">
        <f>+C28+C38+C39+C40+C41+C42+C43+C44</f>
        <v>1454728817.523</v>
      </c>
      <c r="D27" s="44">
        <f t="shared" si="0"/>
        <v>20.681387795322717</v>
      </c>
      <c r="E27" s="37">
        <f>+E28+E38+E39+E40+E41+E42+E43+E44</f>
        <v>1559663096.0866001</v>
      </c>
      <c r="F27" s="44">
        <f t="shared" si="1"/>
        <v>22.173202958296844</v>
      </c>
      <c r="G27" s="37">
        <f>+C27-E27</f>
        <v>-104934278.56360006</v>
      </c>
      <c r="H27" s="101">
        <f t="shared" si="3"/>
        <v>-6.7280093263021996</v>
      </c>
      <c r="I27" s="37">
        <f>+I28+I38+I39+I40+I41+I42+I43+I44</f>
        <v>1212377548.6800001</v>
      </c>
      <c r="J27" s="44">
        <f t="shared" si="4"/>
        <v>17.706391925478719</v>
      </c>
      <c r="K27" s="37">
        <f t="shared" si="5"/>
        <v>242351268.84299994</v>
      </c>
      <c r="L27" s="101">
        <f t="shared" si="6"/>
        <v>19.989752293488493</v>
      </c>
      <c r="M27" s="79" t="s">
        <v>110</v>
      </c>
      <c r="N27" s="1"/>
      <c r="O27" s="1"/>
      <c r="P27" s="83"/>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69</v>
      </c>
      <c r="C28" s="20">
        <f>+SUM(C29:C37)</f>
        <v>570109464.11000001</v>
      </c>
      <c r="D28" s="40">
        <f t="shared" si="0"/>
        <v>8.1050535130793282</v>
      </c>
      <c r="E28" s="20">
        <f>+SUM(E29:E37)</f>
        <v>629781528.29659998</v>
      </c>
      <c r="F28" s="40">
        <f t="shared" si="1"/>
        <v>8.95339107615297</v>
      </c>
      <c r="G28" s="20">
        <f t="shared" si="2"/>
        <v>-59672064.18659997</v>
      </c>
      <c r="H28" s="89">
        <f t="shared" si="3"/>
        <v>-9.4750419797160106</v>
      </c>
      <c r="I28" s="20">
        <f>+SUM(I29:I37)</f>
        <v>524665198.95999998</v>
      </c>
      <c r="J28" s="40">
        <f t="shared" si="4"/>
        <v>7.6625698426695728</v>
      </c>
      <c r="K28" s="20">
        <f t="shared" si="5"/>
        <v>45444265.150000036</v>
      </c>
      <c r="L28" s="89">
        <f t="shared" si="6"/>
        <v>8.6615741314804922</v>
      </c>
      <c r="M28" s="71" t="s">
        <v>111</v>
      </c>
    </row>
    <row r="29" spans="1:16357" ht="15" customHeight="1">
      <c r="A29" s="21">
        <v>411</v>
      </c>
      <c r="B29" s="22" t="s">
        <v>30</v>
      </c>
      <c r="C29" s="23">
        <f>+'Centralna država-ek klas'!C41+'Lokalna država-ek klas '!C39</f>
        <v>370926738.41000003</v>
      </c>
      <c r="D29" s="41">
        <f t="shared" si="0"/>
        <v>5.2733400399488204</v>
      </c>
      <c r="E29" s="23">
        <f>+'Centralna država-ek klas'!E41+'Lokalna država-ek klas '!E39</f>
        <v>374560731.48360002</v>
      </c>
      <c r="F29" s="41">
        <f t="shared" si="1"/>
        <v>5.3250032909240828</v>
      </c>
      <c r="G29" s="23">
        <f t="shared" si="2"/>
        <v>-3633993.0735999942</v>
      </c>
      <c r="H29" s="94">
        <f t="shared" si="3"/>
        <v>-0.97020129665116883</v>
      </c>
      <c r="I29" s="23">
        <f>+'Centralna država-ek klas'!I41+'Lokalna država-ek klas '!I39</f>
        <v>345942472.42000002</v>
      </c>
      <c r="J29" s="41">
        <f t="shared" si="4"/>
        <v>5.0523807596130226</v>
      </c>
      <c r="K29" s="23">
        <f t="shared" si="5"/>
        <v>24984265.99000001</v>
      </c>
      <c r="L29" s="94">
        <f t="shared" si="6"/>
        <v>7.2220869022602301</v>
      </c>
      <c r="M29" s="72" t="s">
        <v>112</v>
      </c>
    </row>
    <row r="30" spans="1:16357" ht="15" customHeight="1">
      <c r="A30" s="21">
        <v>412</v>
      </c>
      <c r="B30" s="22" t="s">
        <v>31</v>
      </c>
      <c r="C30" s="23">
        <f>+'Centralna država-ek klas'!C42+'Lokalna država-ek klas '!C40</f>
        <v>11082844.939999998</v>
      </c>
      <c r="D30" s="41">
        <f t="shared" si="0"/>
        <v>0.15756105970998008</v>
      </c>
      <c r="E30" s="23">
        <f>+'Centralna država-ek klas'!E42+'Lokalna država-ek klas '!E40</f>
        <v>13859939.280000005</v>
      </c>
      <c r="F30" s="41">
        <f t="shared" si="1"/>
        <v>0.19704207108330968</v>
      </c>
      <c r="G30" s="23">
        <f t="shared" si="2"/>
        <v>-2777094.3400000073</v>
      </c>
      <c r="H30" s="94">
        <f t="shared" si="3"/>
        <v>-20.036843480312896</v>
      </c>
      <c r="I30" s="23">
        <f>+'Centralna država-ek klas'!I42+'Lokalna država-ek klas '!I40</f>
        <v>9641402.1099999975</v>
      </c>
      <c r="J30" s="41">
        <f t="shared" si="4"/>
        <v>0.14080963859539147</v>
      </c>
      <c r="K30" s="23">
        <f t="shared" si="5"/>
        <v>1441442.83</v>
      </c>
      <c r="L30" s="94">
        <f t="shared" si="6"/>
        <v>14.950551937927628</v>
      </c>
      <c r="M30" s="72" t="s">
        <v>113</v>
      </c>
    </row>
    <row r="31" spans="1:16357" ht="15" customHeight="1">
      <c r="A31" s="21">
        <v>413</v>
      </c>
      <c r="B31" s="22" t="s">
        <v>73</v>
      </c>
      <c r="C31" s="23">
        <f>+'Centralna država-ek klas'!C43+'Lokalna država-ek klas '!C41</f>
        <v>19019041.760000002</v>
      </c>
      <c r="D31" s="41">
        <f t="shared" si="0"/>
        <v>0.27038728689223773</v>
      </c>
      <c r="E31" s="23">
        <f>+'Centralna država-ek klas'!E43+'Lokalna država-ek klas '!E41</f>
        <v>28247132.529999997</v>
      </c>
      <c r="F31" s="41">
        <f t="shared" si="1"/>
        <v>0.40157993360818878</v>
      </c>
      <c r="G31" s="23">
        <f t="shared" si="2"/>
        <v>-9228090.7699999958</v>
      </c>
      <c r="H31" s="94">
        <f t="shared" si="3"/>
        <v>-32.669124061351212</v>
      </c>
      <c r="I31" s="23">
        <f>+'Centralna država-ek klas'!I43+'Lokalna država-ek klas '!I41</f>
        <v>20470274.100000001</v>
      </c>
      <c r="J31" s="41">
        <f t="shared" si="4"/>
        <v>0.29896190046673654</v>
      </c>
      <c r="K31" s="23">
        <f t="shared" si="5"/>
        <v>-1451232.3399999999</v>
      </c>
      <c r="L31" s="94">
        <f t="shared" si="6"/>
        <v>-7.0894621777438829</v>
      </c>
      <c r="M31" s="72" t="s">
        <v>114</v>
      </c>
    </row>
    <row r="32" spans="1:16357" ht="15" customHeight="1">
      <c r="A32" s="21">
        <v>414</v>
      </c>
      <c r="B32" s="22" t="s">
        <v>74</v>
      </c>
      <c r="C32" s="23">
        <f>+'Centralna država-ek klas'!C44+'Lokalna država-ek klas '!C42</f>
        <v>31121509.739999998</v>
      </c>
      <c r="D32" s="41">
        <f t="shared" si="0"/>
        <v>0.44244398265567247</v>
      </c>
      <c r="E32" s="23">
        <f>+'Centralna država-ek klas'!E44+'Lokalna država-ek klas '!E42</f>
        <v>39321998.63000001</v>
      </c>
      <c r="F32" s="41">
        <f t="shared" si="1"/>
        <v>0.5590275608473132</v>
      </c>
      <c r="G32" s="23">
        <f t="shared" si="2"/>
        <v>-8200488.8900000118</v>
      </c>
      <c r="H32" s="94">
        <f t="shared" si="3"/>
        <v>-20.854710278494323</v>
      </c>
      <c r="I32" s="23">
        <f>+'Centralna država-ek klas'!I44+'Lokalna država-ek klas '!I42</f>
        <v>31816705.270000003</v>
      </c>
      <c r="J32" s="41">
        <f t="shared" si="4"/>
        <v>0.46467295101384265</v>
      </c>
      <c r="K32" s="23">
        <f t="shared" si="5"/>
        <v>-695195.53000000492</v>
      </c>
      <c r="L32" s="94">
        <f t="shared" si="6"/>
        <v>-2.1850016338916873</v>
      </c>
      <c r="M32" s="72" t="s">
        <v>115</v>
      </c>
    </row>
    <row r="33" spans="1:16357" ht="15.75" customHeight="1">
      <c r="A33" s="21">
        <v>415</v>
      </c>
      <c r="B33" s="22" t="s">
        <v>32</v>
      </c>
      <c r="C33" s="23">
        <f>+'Centralna država-ek klas'!C45+'Lokalna država-ek klas '!C43</f>
        <v>12383220.41</v>
      </c>
      <c r="D33" s="41">
        <f t="shared" si="0"/>
        <v>0.1760480581461473</v>
      </c>
      <c r="E33" s="23">
        <f>+'Centralna država-ek klas'!E45+'Lokalna država-ek klas '!E43</f>
        <v>19252757.058000002</v>
      </c>
      <c r="F33" s="41">
        <f t="shared" si="1"/>
        <v>0.27370993827125395</v>
      </c>
      <c r="G33" s="23">
        <f t="shared" si="2"/>
        <v>-6869536.6480000019</v>
      </c>
      <c r="H33" s="94">
        <f t="shared" si="3"/>
        <v>-35.680794326262671</v>
      </c>
      <c r="I33" s="23">
        <f>+'Centralna država-ek klas'!I45+'Lokalna država-ek klas '!I43</f>
        <v>11835380.930000002</v>
      </c>
      <c r="J33" s="41">
        <f t="shared" si="4"/>
        <v>0.17285200766220185</v>
      </c>
      <c r="K33" s="23">
        <f t="shared" si="5"/>
        <v>547839.47999999858</v>
      </c>
      <c r="L33" s="94">
        <f t="shared" si="6"/>
        <v>4.6288284529258306</v>
      </c>
      <c r="M33" s="72" t="s">
        <v>116</v>
      </c>
    </row>
    <row r="34" spans="1:16357" ht="15" customHeight="1">
      <c r="A34" s="21">
        <v>416</v>
      </c>
      <c r="B34" s="22" t="s">
        <v>33</v>
      </c>
      <c r="C34" s="23">
        <f>+'Centralna država-ek klas'!C46+'Lokalna država-ek klas '!C44</f>
        <v>61833610.379999988</v>
      </c>
      <c r="D34" s="41">
        <f t="shared" si="0"/>
        <v>0.87906753454648834</v>
      </c>
      <c r="E34" s="23">
        <f>+'Centralna država-ek klas'!E46+'Lokalna država-ek klas '!E44</f>
        <v>66843589.034999996</v>
      </c>
      <c r="F34" s="41">
        <f t="shared" si="1"/>
        <v>0.95029270735001414</v>
      </c>
      <c r="G34" s="23">
        <f t="shared" si="2"/>
        <v>-5009978.6550000086</v>
      </c>
      <c r="H34" s="94">
        <f t="shared" si="3"/>
        <v>-7.4950772801513352</v>
      </c>
      <c r="I34" s="23">
        <f>+'Centralna država-ek klas'!I46+'Lokalna država-ek klas '!I44</f>
        <v>50066222.240000002</v>
      </c>
      <c r="J34" s="41">
        <f t="shared" si="4"/>
        <v>0.73120139363743986</v>
      </c>
      <c r="K34" s="23">
        <f t="shared" si="5"/>
        <v>11767388.139999986</v>
      </c>
      <c r="L34" s="94">
        <f t="shared" si="6"/>
        <v>23.503646996953819</v>
      </c>
      <c r="M34" s="72" t="s">
        <v>117</v>
      </c>
    </row>
    <row r="35" spans="1:16357" ht="15" customHeight="1">
      <c r="A35" s="21">
        <v>417</v>
      </c>
      <c r="B35" s="22" t="s">
        <v>34</v>
      </c>
      <c r="C35" s="23">
        <f>+'Centralna država-ek klas'!C47+'Lokalna država-ek klas '!C45</f>
        <v>5643745.0000000009</v>
      </c>
      <c r="D35" s="41">
        <f t="shared" si="0"/>
        <v>8.0235214671595126E-2</v>
      </c>
      <c r="E35" s="23">
        <f>+'Centralna država-ek klas'!E47+'Lokalna država-ek klas '!E45</f>
        <v>7407125.1799999997</v>
      </c>
      <c r="F35" s="41">
        <f t="shared" si="1"/>
        <v>0.10530459454080182</v>
      </c>
      <c r="G35" s="23">
        <f t="shared" si="2"/>
        <v>-1763380.1799999988</v>
      </c>
      <c r="H35" s="94">
        <f t="shared" si="3"/>
        <v>-23.806539475818596</v>
      </c>
      <c r="I35" s="23">
        <f>+'Centralna država-ek klas'!I47+'Lokalna država-ek klas '!I45</f>
        <v>5097753.78</v>
      </c>
      <c r="J35" s="41">
        <f t="shared" si="4"/>
        <v>7.4451087012083042E-2</v>
      </c>
      <c r="K35" s="23">
        <f t="shared" si="5"/>
        <v>545991.22000000067</v>
      </c>
      <c r="L35" s="94">
        <f t="shared" si="6"/>
        <v>10.710427446340901</v>
      </c>
      <c r="M35" s="72" t="s">
        <v>118</v>
      </c>
    </row>
    <row r="36" spans="1:16357" ht="15" customHeight="1">
      <c r="A36" s="21">
        <v>418</v>
      </c>
      <c r="B36" s="22" t="s">
        <v>35</v>
      </c>
      <c r="C36" s="23">
        <f>+'Centralna država-ek klas'!C48+'Lokalna država-ek klas '!C46</f>
        <v>26422473.859999977</v>
      </c>
      <c r="D36" s="41">
        <f t="shared" si="0"/>
        <v>0.37563937816320697</v>
      </c>
      <c r="E36" s="23">
        <f>+'Centralna država-ek klas'!E48+'Lokalna država-ek klas '!E46</f>
        <v>32271279.960000001</v>
      </c>
      <c r="F36" s="41">
        <f t="shared" si="1"/>
        <v>0.45878987716804098</v>
      </c>
      <c r="G36" s="23">
        <f t="shared" si="2"/>
        <v>-5848806.1000000238</v>
      </c>
      <c r="H36" s="94">
        <f t="shared" si="3"/>
        <v>-18.123873943796383</v>
      </c>
      <c r="I36" s="23">
        <f>+'Centralna država-ek klas'!I48+'Lokalna država-ek klas '!I46</f>
        <v>24225105.899999999</v>
      </c>
      <c r="J36" s="41">
        <f t="shared" si="4"/>
        <v>0.35380003528491838</v>
      </c>
      <c r="K36" s="23">
        <f t="shared" si="5"/>
        <v>2197367.9599999785</v>
      </c>
      <c r="L36" s="94">
        <f t="shared" si="6"/>
        <v>9.0706227211992569</v>
      </c>
      <c r="M36" s="72" t="s">
        <v>119</v>
      </c>
    </row>
    <row r="37" spans="1:16357" ht="15" customHeight="1">
      <c r="A37" s="21">
        <v>419</v>
      </c>
      <c r="B37" s="22" t="s">
        <v>36</v>
      </c>
      <c r="C37" s="23">
        <f>+'Centralna država-ek klas'!C49+'Lokalna država-ek klas '!C47</f>
        <v>31676279.609999999</v>
      </c>
      <c r="D37" s="41">
        <f t="shared" si="0"/>
        <v>0.45033095834518055</v>
      </c>
      <c r="E37" s="23">
        <f>+'Centralna država-ek klas'!E49+'Lokalna država-ek klas '!E47</f>
        <v>48016975.140000001</v>
      </c>
      <c r="F37" s="41">
        <f t="shared" si="1"/>
        <v>0.68264110235996589</v>
      </c>
      <c r="G37" s="23">
        <f t="shared" si="2"/>
        <v>-16340695.530000001</v>
      </c>
      <c r="H37" s="94">
        <f t="shared" si="3"/>
        <v>-34.031080638371094</v>
      </c>
      <c r="I37" s="23">
        <f>+'Centralna država-ek klas'!I49+'Lokalna država-ek klas '!I47</f>
        <v>25569882.210000001</v>
      </c>
      <c r="J37" s="41">
        <f t="shared" si="4"/>
        <v>0.37344006938393648</v>
      </c>
      <c r="K37" s="23">
        <f t="shared" si="5"/>
        <v>6106397.3999999985</v>
      </c>
      <c r="L37" s="94">
        <f t="shared" si="6"/>
        <v>23.881210518880991</v>
      </c>
      <c r="M37" s="72" t="s">
        <v>120</v>
      </c>
    </row>
    <row r="38" spans="1:16357" ht="15" customHeight="1">
      <c r="A38" s="18">
        <v>42</v>
      </c>
      <c r="B38" s="19" t="s">
        <v>37</v>
      </c>
      <c r="C38" s="20">
        <f>+'Centralna država-ek klas'!C50+'Lokalna država-ek klas '!C48</f>
        <v>484147340.55999988</v>
      </c>
      <c r="D38" s="40">
        <f t="shared" si="0"/>
        <v>6.8829590639749778</v>
      </c>
      <c r="E38" s="20">
        <f>+'Centralna država-ek klas'!E50+'Lokalna država-ek klas '!E48</f>
        <v>498930990.5</v>
      </c>
      <c r="F38" s="40">
        <f t="shared" si="1"/>
        <v>7.0931332172305943</v>
      </c>
      <c r="G38" s="20">
        <f t="shared" si="2"/>
        <v>-14783649.940000117</v>
      </c>
      <c r="H38" s="89">
        <f t="shared" si="3"/>
        <v>-2.9630650774338108</v>
      </c>
      <c r="I38" s="20">
        <f>+'Centralna država-ek klas'!I50+'Lokalna država-ek klas '!I48</f>
        <v>392154483.30000001</v>
      </c>
      <c r="J38" s="40">
        <f t="shared" si="4"/>
        <v>5.7272926112855078</v>
      </c>
      <c r="K38" s="20">
        <f t="shared" si="5"/>
        <v>91992857.259999871</v>
      </c>
      <c r="L38" s="89">
        <f t="shared" si="6"/>
        <v>23.458320936656207</v>
      </c>
      <c r="M38" s="71" t="s">
        <v>121</v>
      </c>
    </row>
    <row r="39" spans="1:16357" ht="15" customHeight="1">
      <c r="A39" s="18">
        <v>43</v>
      </c>
      <c r="B39" s="19" t="s">
        <v>43</v>
      </c>
      <c r="C39" s="20">
        <f>+'Centralna država-ek klas'!C56+'Lokalna država-ek klas '!C49</f>
        <v>229268361.70300001</v>
      </c>
      <c r="D39" s="40">
        <f t="shared" si="0"/>
        <v>3.259430789067387</v>
      </c>
      <c r="E39" s="20">
        <f>+'Centralna država-ek klas'!E56+'Lokalna država-ek klas '!E49</f>
        <v>248821836.65000004</v>
      </c>
      <c r="F39" s="40">
        <f t="shared" si="1"/>
        <v>3.5374159319021903</v>
      </c>
      <c r="G39" s="20">
        <f t="shared" si="2"/>
        <v>-19553474.947000027</v>
      </c>
      <c r="H39" s="89">
        <f t="shared" si="3"/>
        <v>-7.8584240074172129</v>
      </c>
      <c r="I39" s="20">
        <f>+'Centralna država-ek klas'!I56+'Lokalna država-ek klas '!I49</f>
        <v>182348515.26999998</v>
      </c>
      <c r="J39" s="40">
        <f t="shared" si="4"/>
        <v>2.66314258451512</v>
      </c>
      <c r="K39" s="20">
        <f t="shared" si="5"/>
        <v>46919846.433000028</v>
      </c>
      <c r="L39" s="89">
        <f t="shared" si="6"/>
        <v>25.730862882829996</v>
      </c>
      <c r="M39" s="71" t="s">
        <v>127</v>
      </c>
    </row>
    <row r="40" spans="1:16357" ht="15" customHeight="1">
      <c r="A40" s="18">
        <v>44</v>
      </c>
      <c r="B40" s="19" t="s">
        <v>65</v>
      </c>
      <c r="C40" s="20">
        <f>+'Centralna država-ek klas'!C57+'Lokalna država-ek klas '!C50</f>
        <v>120504785.06</v>
      </c>
      <c r="D40" s="40">
        <f t="shared" si="0"/>
        <v>1.7131757898777367</v>
      </c>
      <c r="E40" s="20">
        <f>+'Centralna država-ek klas'!E57+'Lokalna država-ek klas '!E50</f>
        <v>129049213.49000001</v>
      </c>
      <c r="F40" s="40">
        <f t="shared" si="1"/>
        <v>1.8346490402331532</v>
      </c>
      <c r="G40" s="20">
        <f t="shared" si="2"/>
        <v>-8544428.4300000072</v>
      </c>
      <c r="H40" s="89">
        <f t="shared" si="3"/>
        <v>-6.621061995594502</v>
      </c>
      <c r="I40" s="20">
        <f>+'Centralna država-ek klas'!I57+'Lokalna država-ek klas '!I50</f>
        <v>74093220.840000004</v>
      </c>
      <c r="J40" s="40">
        <f t="shared" si="4"/>
        <v>1.0821081342544412</v>
      </c>
      <c r="K40" s="20">
        <f t="shared" si="5"/>
        <v>46411564.219999999</v>
      </c>
      <c r="L40" s="89">
        <f t="shared" si="6"/>
        <v>62.639420575632784</v>
      </c>
      <c r="M40" s="71" t="s">
        <v>128</v>
      </c>
      <c r="O40" s="87"/>
    </row>
    <row r="41" spans="1:16357" ht="15" customHeight="1">
      <c r="A41" s="18">
        <v>45</v>
      </c>
      <c r="B41" s="19" t="s">
        <v>44</v>
      </c>
      <c r="C41" s="20">
        <f>+'Centralna država-ek klas'!C58+'Lokalna država-ek klas '!C51</f>
        <v>408068.9</v>
      </c>
      <c r="D41" s="40">
        <f t="shared" si="0"/>
        <v>5.8013775945408019E-3</v>
      </c>
      <c r="E41" s="20">
        <f>+'Centralna država-ek klas'!E58+'Lokalna država-ek klas '!E51</f>
        <v>0</v>
      </c>
      <c r="F41" s="40">
        <f t="shared" si="1"/>
        <v>0</v>
      </c>
      <c r="G41" s="20">
        <f t="shared" si="2"/>
        <v>408068.9</v>
      </c>
      <c r="H41" s="89">
        <f t="shared" si="3"/>
        <v>0</v>
      </c>
      <c r="I41" s="20">
        <f>+'Centralna država-ek klas'!I58+'Lokalna država-ek klas '!I51</f>
        <v>35024.42</v>
      </c>
      <c r="J41" s="40">
        <f t="shared" si="4"/>
        <v>5.1152061349023041E-4</v>
      </c>
      <c r="K41" s="20">
        <f t="shared" si="5"/>
        <v>373044.48000000004</v>
      </c>
      <c r="L41" s="89">
        <f t="shared" si="6"/>
        <v>1065.0982371728069</v>
      </c>
      <c r="M41" s="71" t="s">
        <v>129</v>
      </c>
    </row>
    <row r="42" spans="1:16357" ht="15" customHeight="1">
      <c r="A42" s="18">
        <v>462</v>
      </c>
      <c r="B42" s="19" t="s">
        <v>45</v>
      </c>
      <c r="C42" s="20">
        <f>+'Centralna država-ek klas'!C59+'Lokalna država-ek klas '!C52</f>
        <v>2301161.16</v>
      </c>
      <c r="D42" s="40">
        <f t="shared" si="0"/>
        <v>3.2714830253056583E-2</v>
      </c>
      <c r="E42" s="20">
        <f>+'Centralna država-ek klas'!E59+'Lokalna država-ek klas '!E52</f>
        <v>2</v>
      </c>
      <c r="F42" s="40">
        <f t="shared" si="1"/>
        <v>2.8433323855558715E-8</v>
      </c>
      <c r="G42" s="20">
        <f t="shared" si="2"/>
        <v>2301159.16</v>
      </c>
      <c r="H42" s="104">
        <f t="shared" si="3"/>
        <v>115057958</v>
      </c>
      <c r="I42" s="20">
        <f>+'Centralna država-ek klas'!I59+'Lokalna država-ek klas '!I52</f>
        <v>1168915.48</v>
      </c>
      <c r="J42" s="40">
        <f t="shared" si="4"/>
        <v>1.7071642112783801E-2</v>
      </c>
      <c r="K42" s="20">
        <f t="shared" si="5"/>
        <v>1132245.6800000002</v>
      </c>
      <c r="L42" s="89">
        <f t="shared" si="6"/>
        <v>96.862921175447184</v>
      </c>
      <c r="M42" s="71" t="s">
        <v>130</v>
      </c>
    </row>
    <row r="43" spans="1:16357" ht="15" customHeight="1">
      <c r="A43" s="18">
        <v>463</v>
      </c>
      <c r="B43" s="19" t="s">
        <v>46</v>
      </c>
      <c r="C43" s="20">
        <f>+'Centralna država-ek klas'!C60+'Lokalna država-ek klas '!C53</f>
        <v>31731745.82</v>
      </c>
      <c r="D43" s="40">
        <f t="shared" si="0"/>
        <v>0.45111950270116574</v>
      </c>
      <c r="E43" s="20">
        <f>+'Centralna država-ek klas'!E60+'Lokalna država-ek klas '!E53</f>
        <v>29462786.130000003</v>
      </c>
      <c r="F43" s="40">
        <f t="shared" si="1"/>
        <v>0.41886246986067671</v>
      </c>
      <c r="G43" s="20">
        <f t="shared" si="2"/>
        <v>2268959.6899999976</v>
      </c>
      <c r="H43" s="89">
        <f t="shared" si="3"/>
        <v>7.7011036226803782</v>
      </c>
      <c r="I43" s="20">
        <f>+'Centralna država-ek klas'!I60+'Lokalna država-ek klas '!I53</f>
        <v>30007701.650000002</v>
      </c>
      <c r="J43" s="40">
        <f t="shared" si="4"/>
        <v>0.4382530233888185</v>
      </c>
      <c r="K43" s="20">
        <f t="shared" si="5"/>
        <v>1724044.1699999981</v>
      </c>
      <c r="L43" s="89">
        <f t="shared" si="6"/>
        <v>5.745338947009941</v>
      </c>
      <c r="M43" s="71" t="s">
        <v>131</v>
      </c>
    </row>
    <row r="44" spans="1:16357" ht="15" customHeight="1">
      <c r="A44" s="18">
        <v>47</v>
      </c>
      <c r="B44" s="19" t="s">
        <v>47</v>
      </c>
      <c r="C44" s="20">
        <f>+'Centralna država-ek klas'!C61+'Lokalna država-ek klas '!C54</f>
        <v>16257890.210000001</v>
      </c>
      <c r="D44" s="40">
        <f t="shared" si="0"/>
        <v>0.23113292877452374</v>
      </c>
      <c r="E44" s="20">
        <f>+'Centralna država-ek klas'!E61+'Lokalna država-ek klas '!E54</f>
        <v>23616739.02</v>
      </c>
      <c r="F44" s="40">
        <f t="shared" si="1"/>
        <v>0.3357511944839352</v>
      </c>
      <c r="G44" s="20">
        <f t="shared" si="2"/>
        <v>-7358848.8099999987</v>
      </c>
      <c r="H44" s="89">
        <f t="shared" si="3"/>
        <v>-31.159461955217893</v>
      </c>
      <c r="I44" s="20">
        <f>+'Centralna država-ek klas'!I61+'Lokalna država-ek klas '!I54</f>
        <v>7904488.7599999998</v>
      </c>
      <c r="J44" s="40">
        <f t="shared" si="4"/>
        <v>0.11544256663898593</v>
      </c>
      <c r="K44" s="20">
        <f t="shared" si="5"/>
        <v>8353401.4500000011</v>
      </c>
      <c r="L44" s="89">
        <f t="shared" si="6"/>
        <v>105.67921219992985</v>
      </c>
      <c r="M44" s="71" t="s">
        <v>132</v>
      </c>
      <c r="Q44" s="103"/>
    </row>
    <row r="45" spans="1:16357" s="38" customFormat="1" ht="15" customHeight="1">
      <c r="A45" s="35"/>
      <c r="B45" s="36" t="s">
        <v>77</v>
      </c>
      <c r="C45" s="37">
        <f>+C6-C27</f>
        <v>42812285.441000223</v>
      </c>
      <c r="D45" s="44">
        <f t="shared" si="0"/>
        <v>0.60864778847029033</v>
      </c>
      <c r="E45" s="37">
        <f>+E6-E27</f>
        <v>-152425200.67329311</v>
      </c>
      <c r="F45" s="44">
        <f t="shared" si="1"/>
        <v>-2.1669775472461348</v>
      </c>
      <c r="G45" s="37">
        <f>C45-E45</f>
        <v>195237486.11429334</v>
      </c>
      <c r="H45" s="101">
        <f t="shared" si="3"/>
        <v>-128.08740631594358</v>
      </c>
      <c r="I45" s="37">
        <f>+I6-I27</f>
        <v>170130925.74000001</v>
      </c>
      <c r="J45" s="44">
        <f t="shared" si="4"/>
        <v>2.484708540732028</v>
      </c>
      <c r="K45" s="37">
        <f t="shared" si="5"/>
        <v>-127318640.29899979</v>
      </c>
      <c r="L45" s="101">
        <f t="shared" si="6"/>
        <v>-74.835683016015878</v>
      </c>
      <c r="M45" s="79" t="s">
        <v>134</v>
      </c>
      <c r="N45" s="1"/>
      <c r="O45" s="1"/>
      <c r="P45" s="103"/>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57</v>
      </c>
      <c r="C46" s="20">
        <f>+'Centralna država-ek klas'!C63+'Lokalna država-ek klas '!C56</f>
        <v>0</v>
      </c>
      <c r="D46" s="40">
        <f t="shared" si="0"/>
        <v>0</v>
      </c>
      <c r="E46" s="20">
        <f>+'Centralna država-ek klas'!E63+'Lokalna država-ek klas '!E56</f>
        <v>0</v>
      </c>
      <c r="F46" s="40">
        <f t="shared" si="1"/>
        <v>0</v>
      </c>
      <c r="G46" s="20">
        <f t="shared" si="2"/>
        <v>0</v>
      </c>
      <c r="H46" s="89">
        <f t="shared" si="3"/>
        <v>0</v>
      </c>
      <c r="I46" s="20">
        <f>+'Centralna država-ek klas'!I63+'Lokalna država-ek klas '!I56</f>
        <v>0</v>
      </c>
      <c r="J46" s="40">
        <f t="shared" si="4"/>
        <v>0</v>
      </c>
      <c r="K46" s="20">
        <f t="shared" si="5"/>
        <v>0</v>
      </c>
      <c r="L46" s="89">
        <f t="shared" si="6"/>
        <v>0</v>
      </c>
      <c r="M46" s="71" t="s">
        <v>133</v>
      </c>
    </row>
    <row r="47" spans="1:16357" s="38" customFormat="1" ht="15" hidden="1" customHeight="1">
      <c r="A47" s="35"/>
      <c r="B47" s="36" t="s">
        <v>59</v>
      </c>
      <c r="C47" s="37">
        <f>+C45-C46</f>
        <v>42812285.441000223</v>
      </c>
      <c r="D47" s="44">
        <f t="shared" si="0"/>
        <v>0.60864778847029033</v>
      </c>
      <c r="E47" s="37">
        <f>+E45-E46</f>
        <v>-152425200.67329311</v>
      </c>
      <c r="F47" s="44">
        <f t="shared" si="1"/>
        <v>-2.1669775472461348</v>
      </c>
      <c r="G47" s="37">
        <f t="shared" si="2"/>
        <v>195237486.11429334</v>
      </c>
      <c r="H47" s="101">
        <f t="shared" si="3"/>
        <v>-128.08740631594358</v>
      </c>
      <c r="I47" s="37">
        <f>+I45-I46</f>
        <v>170130925.74000001</v>
      </c>
      <c r="J47" s="44">
        <f t="shared" si="4"/>
        <v>2.484708540732028</v>
      </c>
      <c r="K47" s="37">
        <f t="shared" si="5"/>
        <v>-127318640.29899979</v>
      </c>
      <c r="L47" s="101">
        <f t="shared" si="6"/>
        <v>-74.835683016015878</v>
      </c>
      <c r="M47" s="79" t="s">
        <v>137</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75</v>
      </c>
      <c r="C48" s="37">
        <f>+C47+C34</f>
        <v>104645895.82100022</v>
      </c>
      <c r="D48" s="44">
        <f t="shared" si="0"/>
        <v>1.4877153230167788</v>
      </c>
      <c r="E48" s="37">
        <f>+E47+E34</f>
        <v>-85581611.638293117</v>
      </c>
      <c r="F48" s="44">
        <f t="shared" si="1"/>
        <v>-1.2166848398961205</v>
      </c>
      <c r="G48" s="37">
        <f>+C48-E48</f>
        <v>190227507.45929334</v>
      </c>
      <c r="H48" s="101">
        <f t="shared" si="3"/>
        <v>-222.27614532813598</v>
      </c>
      <c r="I48" s="37">
        <f>+I47+I34</f>
        <v>220197147.98000002</v>
      </c>
      <c r="J48" s="44">
        <f t="shared" si="4"/>
        <v>3.2159099343694679</v>
      </c>
      <c r="K48" s="37">
        <f t="shared" si="5"/>
        <v>-115551252.1589998</v>
      </c>
      <c r="L48" s="101">
        <f t="shared" si="6"/>
        <v>-52.476271023044788</v>
      </c>
      <c r="M48" s="79" t="s">
        <v>136</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76</v>
      </c>
      <c r="C49" s="37">
        <f>+C6-(C27-C40)</f>
        <v>163317070.50100017</v>
      </c>
      <c r="D49" s="44">
        <f t="shared" si="0"/>
        <v>2.3218235783480266</v>
      </c>
      <c r="E49" s="37">
        <f>+E6-(E27-E40)</f>
        <v>-23375987.183293104</v>
      </c>
      <c r="F49" s="44">
        <f t="shared" si="1"/>
        <v>-0.33232850701298128</v>
      </c>
      <c r="G49" s="37">
        <f t="shared" si="2"/>
        <v>186693057.68429327</v>
      </c>
      <c r="H49" s="101">
        <f t="shared" si="3"/>
        <v>-798.65314872230681</v>
      </c>
      <c r="I49" s="37">
        <f>+I6-(I27-I40)</f>
        <v>244224146.57999992</v>
      </c>
      <c r="J49" s="44">
        <f t="shared" si="4"/>
        <v>3.5668166749864678</v>
      </c>
      <c r="K49" s="37">
        <f t="shared" si="5"/>
        <v>-80907076.078999758</v>
      </c>
      <c r="L49" s="101">
        <f t="shared" si="6"/>
        <v>-33.128205057519651</v>
      </c>
      <c r="M49" s="79" t="s">
        <v>135</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315503401.60000002</v>
      </c>
      <c r="D50" s="44">
        <f t="shared" si="0"/>
        <v>4.4854051976116009</v>
      </c>
      <c r="E50" s="37">
        <f>+E51+E52+E53</f>
        <v>328783330.73000002</v>
      </c>
      <c r="F50" s="44">
        <f t="shared" si="1"/>
        <v>4.67420146047768</v>
      </c>
      <c r="G50" s="37">
        <f t="shared" si="2"/>
        <v>-13279929.129999995</v>
      </c>
      <c r="H50" s="101">
        <f t="shared" si="3"/>
        <v>-4.0391126583317032</v>
      </c>
      <c r="I50" s="37">
        <f>+I51+I52+I53</f>
        <v>166436656.09999999</v>
      </c>
      <c r="J50" s="44">
        <f t="shared" si="4"/>
        <v>2.4307548971698747</v>
      </c>
      <c r="K50" s="37">
        <f t="shared" si="5"/>
        <v>149066745.50000003</v>
      </c>
      <c r="L50" s="101">
        <f t="shared" si="6"/>
        <v>89.5636508164622</v>
      </c>
      <c r="M50" s="79" t="s">
        <v>138</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52</v>
      </c>
      <c r="C51" s="23">
        <f>+'Centralna država-ek klas'!C68+'Lokalna država-ek klas '!C61</f>
        <v>168393912.99000001</v>
      </c>
      <c r="D51" s="41">
        <f t="shared" si="0"/>
        <v>2.3939993316747228</v>
      </c>
      <c r="E51" s="23">
        <f>+'Centralna država-ek klas'!E68+'Lokalna država-ek klas '!E61</f>
        <v>169739217.65000001</v>
      </c>
      <c r="F51" s="41">
        <f t="shared" si="1"/>
        <v>2.4131250732158089</v>
      </c>
      <c r="G51" s="23">
        <f t="shared" si="2"/>
        <v>-1345304.6599999964</v>
      </c>
      <c r="H51" s="94">
        <f t="shared" si="3"/>
        <v>-0.79257149798698379</v>
      </c>
      <c r="I51" s="23">
        <f>+'Centralna država-ek klas'!I68+'Lokalna država-ek klas '!I61</f>
        <v>61407632.799999997</v>
      </c>
      <c r="J51" s="41">
        <f t="shared" si="4"/>
        <v>0.89683911975812303</v>
      </c>
      <c r="K51" s="23">
        <f t="shared" si="5"/>
        <v>106986280.19000001</v>
      </c>
      <c r="L51" s="94">
        <f t="shared" si="6"/>
        <v>174.22309786544974</v>
      </c>
      <c r="M51" s="72" t="s">
        <v>139</v>
      </c>
    </row>
    <row r="52" spans="1:16357" ht="15" customHeight="1">
      <c r="A52" s="21">
        <v>4612</v>
      </c>
      <c r="B52" s="22" t="s">
        <v>53</v>
      </c>
      <c r="C52" s="23">
        <f>+'Centralna država-ek klas'!C69+'Lokalna država-ek klas '!C62</f>
        <v>147109488.61000001</v>
      </c>
      <c r="D52" s="41">
        <f t="shared" si="0"/>
        <v>2.0914058659368782</v>
      </c>
      <c r="E52" s="23">
        <f>+'Centralna država-ek klas'!E69+'Lokalna država-ek klas '!E62</f>
        <v>159044113.07999998</v>
      </c>
      <c r="F52" s="41">
        <f t="shared" si="1"/>
        <v>2.2610763872618707</v>
      </c>
      <c r="G52" s="23">
        <f t="shared" si="2"/>
        <v>-11934624.469999969</v>
      </c>
      <c r="H52" s="94">
        <f t="shared" si="3"/>
        <v>-7.5039712183479423</v>
      </c>
      <c r="I52" s="23">
        <f>+'Centralna država-ek klas'!I69+'Lokalna država-ek klas '!I62</f>
        <v>105029023.3</v>
      </c>
      <c r="J52" s="41">
        <f t="shared" si="4"/>
        <v>1.533915777411752</v>
      </c>
      <c r="K52" s="23">
        <f t="shared" si="5"/>
        <v>42080465.310000017</v>
      </c>
      <c r="L52" s="94">
        <f t="shared" si="6"/>
        <v>40.065559012010738</v>
      </c>
      <c r="M52" s="72" t="s">
        <v>140</v>
      </c>
    </row>
    <row r="53" spans="1:16357" ht="15" hidden="1" customHeight="1">
      <c r="A53" s="18">
        <v>463</v>
      </c>
      <c r="B53" s="19" t="s">
        <v>46</v>
      </c>
      <c r="C53" s="20">
        <v>0</v>
      </c>
      <c r="D53" s="40">
        <f t="shared" si="0"/>
        <v>0</v>
      </c>
      <c r="E53" s="20">
        <v>0</v>
      </c>
      <c r="F53" s="40">
        <f t="shared" si="1"/>
        <v>0</v>
      </c>
      <c r="G53" s="20">
        <f t="shared" ref="G53" si="7">+C53-E53</f>
        <v>0</v>
      </c>
      <c r="H53" s="89">
        <f t="shared" si="3"/>
        <v>0</v>
      </c>
      <c r="I53" s="20">
        <f>+'Lokalna država-ek klas '!I63</f>
        <v>0</v>
      </c>
      <c r="J53" s="40">
        <f t="shared" si="4"/>
        <v>0</v>
      </c>
      <c r="K53" s="20">
        <f t="shared" ref="K53" si="8">+C53-I53</f>
        <v>0</v>
      </c>
      <c r="L53" s="89">
        <f t="shared" si="6"/>
        <v>0</v>
      </c>
      <c r="M53" s="71" t="s">
        <v>131</v>
      </c>
    </row>
    <row r="54" spans="1:16357" s="38" customFormat="1" ht="15" customHeight="1">
      <c r="A54" s="35">
        <v>4418</v>
      </c>
      <c r="B54" s="36" t="s">
        <v>63</v>
      </c>
      <c r="C54" s="37">
        <f>+'Centralna država-ek klas'!C70+'Lokalna država-ek klas '!C64</f>
        <v>3266458.45</v>
      </c>
      <c r="D54" s="44">
        <f t="shared" si="0"/>
        <v>4.6438135484788173E-2</v>
      </c>
      <c r="E54" s="37">
        <f>+'Centralna država-ek klas'!E70+'Lokalna država-ek klas '!E64</f>
        <v>2200000.96</v>
      </c>
      <c r="F54" s="44">
        <f t="shared" si="1"/>
        <v>3.1276669889110036E-2</v>
      </c>
      <c r="G54" s="37">
        <f t="shared" si="2"/>
        <v>1066457.4900000002</v>
      </c>
      <c r="H54" s="101">
        <f t="shared" si="3"/>
        <v>48.475319301678866</v>
      </c>
      <c r="I54" s="37">
        <f>+'Centralna država-ek klas'!I70+'Lokalna država-ek klas '!I64</f>
        <v>614939.4</v>
      </c>
      <c r="J54" s="44">
        <f t="shared" si="4"/>
        <v>8.9809960920784488E-3</v>
      </c>
      <c r="K54" s="37">
        <f t="shared" si="5"/>
        <v>2651519.0500000003</v>
      </c>
      <c r="L54" s="101">
        <f t="shared" si="6"/>
        <v>431.18379632204415</v>
      </c>
      <c r="M54" s="79" t="s">
        <v>141</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4787376.97</v>
      </c>
      <c r="D55" s="44">
        <f t="shared" si="0"/>
        <v>6.8060519903326691E-2</v>
      </c>
      <c r="E55" s="37">
        <f>+'Centralna država-ek klas'!E71+'Lokalna država-ek klas '!E65</f>
        <v>2581026.1800000002</v>
      </c>
      <c r="F55" s="44">
        <f t="shared" si="1"/>
        <v>3.669357662780779E-2</v>
      </c>
      <c r="G55" s="37">
        <f t="shared" si="2"/>
        <v>2206350.7899999996</v>
      </c>
      <c r="H55" s="101">
        <f t="shared" si="3"/>
        <v>85.48347192665824</v>
      </c>
      <c r="I55" s="37">
        <f>+'Centralna država-ek klas'!I71+'Lokalna država-ek klas '!I65</f>
        <v>6986103.6599999992</v>
      </c>
      <c r="J55" s="44">
        <f t="shared" si="4"/>
        <v>0.10202984175239858</v>
      </c>
      <c r="K55" s="37">
        <f t="shared" si="5"/>
        <v>-2198726.6899999995</v>
      </c>
      <c r="L55" s="101">
        <f t="shared" si="6"/>
        <v>-31.472860939483965</v>
      </c>
      <c r="M55" s="79" t="s">
        <v>129</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54</v>
      </c>
      <c r="C56" s="37">
        <f>+C47-C50-C54-C55</f>
        <v>-280744951.57899982</v>
      </c>
      <c r="D56" s="44">
        <f t="shared" si="0"/>
        <v>-3.9912560645294262</v>
      </c>
      <c r="E56" s="37">
        <f>+E47-E50-E54-E55</f>
        <v>-485989558.54329312</v>
      </c>
      <c r="F56" s="44">
        <f t="shared" si="1"/>
        <v>-6.9091492542407318</v>
      </c>
      <c r="G56" s="37">
        <f t="shared" ref="G56:G63" si="9">+C56-E56</f>
        <v>205244606.9642933</v>
      </c>
      <c r="H56" s="101">
        <f t="shared" si="3"/>
        <v>-42.232307949062573</v>
      </c>
      <c r="I56" s="37">
        <f>+I47-I50-I54-I55</f>
        <v>-3906773.4199999836</v>
      </c>
      <c r="J56" s="44">
        <f t="shared" si="4"/>
        <v>-5.7057194282324086E-2</v>
      </c>
      <c r="K56" s="37">
        <f t="shared" ref="K56:K63" si="10">+C56-I56</f>
        <v>-276838178.15899986</v>
      </c>
      <c r="L56" s="101">
        <f t="shared" si="6"/>
        <v>7086.1078541637307</v>
      </c>
      <c r="M56" s="79" t="s">
        <v>142</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280744951.57899982</v>
      </c>
      <c r="D57" s="44">
        <f t="shared" si="0"/>
        <v>3.9912560645294262</v>
      </c>
      <c r="E57" s="37">
        <f>+SUM(E58:E63)+E46</f>
        <v>485989558.54329312</v>
      </c>
      <c r="F57" s="44">
        <f t="shared" si="1"/>
        <v>6.9091492542407318</v>
      </c>
      <c r="G57" s="37">
        <f t="shared" si="9"/>
        <v>-205244606.9642933</v>
      </c>
      <c r="H57" s="101">
        <f t="shared" si="3"/>
        <v>-42.232307949062573</v>
      </c>
      <c r="I57" s="37">
        <f>+SUM(I58:I63)+I46</f>
        <v>3906773.4199999869</v>
      </c>
      <c r="J57" s="44">
        <f t="shared" si="4"/>
        <v>5.7057194282324142E-2</v>
      </c>
      <c r="K57" s="37">
        <f t="shared" si="10"/>
        <v>276838178.1589998</v>
      </c>
      <c r="L57" s="101">
        <f t="shared" si="6"/>
        <v>7086.1078541637244</v>
      </c>
      <c r="M57" s="79" t="s">
        <v>143</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55</v>
      </c>
      <c r="C58" s="23">
        <f>+'Centralna država-ek klas'!C74+'Lokalna država-ek klas '!C68</f>
        <v>485330</v>
      </c>
      <c r="D58" s="41">
        <f t="shared" si="0"/>
        <v>6.8997725334091556E-3</v>
      </c>
      <c r="E58" s="23">
        <f>+'Centralna država-ek klas'!E74+'Lokalna država-ek klas '!E68</f>
        <v>2000000</v>
      </c>
      <c r="F58" s="41">
        <f t="shared" si="1"/>
        <v>2.8433323855558714E-2</v>
      </c>
      <c r="G58" s="23">
        <f t="shared" si="9"/>
        <v>-1514670</v>
      </c>
      <c r="H58" s="94">
        <f t="shared" si="3"/>
        <v>-75.733499999999992</v>
      </c>
      <c r="I58" s="23">
        <f>+'Centralna država-ek klas'!I74+'Lokalna država-ek klas '!I68</f>
        <v>1399622</v>
      </c>
      <c r="J58" s="41">
        <f t="shared" si="4"/>
        <v>2.044103811267748E-2</v>
      </c>
      <c r="K58" s="23">
        <f t="shared" si="10"/>
        <v>-914292</v>
      </c>
      <c r="L58" s="94">
        <f t="shared" si="6"/>
        <v>-65.324208964991982</v>
      </c>
      <c r="M58" s="72" t="s">
        <v>144</v>
      </c>
    </row>
    <row r="59" spans="1:16357" ht="15" customHeight="1">
      <c r="A59" s="21">
        <v>7512</v>
      </c>
      <c r="B59" s="22" t="s">
        <v>49</v>
      </c>
      <c r="C59" s="23">
        <f>+'Centralna država-ek klas'!C75+'Lokalna država-ek klas '!C69</f>
        <v>700228178.21999991</v>
      </c>
      <c r="D59" s="41">
        <f t="shared" si="0"/>
        <v>9.9549072820585707</v>
      </c>
      <c r="E59" s="23">
        <f>+'Centralna država-ek klas'!E75+'Lokalna država-ek klas '!E69</f>
        <v>688400000</v>
      </c>
      <c r="F59" s="41">
        <f t="shared" si="1"/>
        <v>9.7867500710833095</v>
      </c>
      <c r="G59" s="23">
        <f t="shared" si="9"/>
        <v>11828178.219999909</v>
      </c>
      <c r="H59" s="94">
        <f t="shared" si="3"/>
        <v>1.7182129895409588</v>
      </c>
      <c r="I59" s="23">
        <f>+'Centralna država-ek klas'!I75+'Lokalna država-ek klas '!I69</f>
        <v>116507077.55999999</v>
      </c>
      <c r="J59" s="41">
        <f t="shared" si="4"/>
        <v>1.7015491416972803</v>
      </c>
      <c r="K59" s="23">
        <f t="shared" si="10"/>
        <v>583721100.65999997</v>
      </c>
      <c r="L59" s="94">
        <f t="shared" si="6"/>
        <v>501.0177174510186</v>
      </c>
      <c r="M59" s="72" t="s">
        <v>145</v>
      </c>
    </row>
    <row r="60" spans="1:16357" ht="15" customHeight="1">
      <c r="A60" s="18">
        <v>72</v>
      </c>
      <c r="B60" s="19" t="s">
        <v>172</v>
      </c>
      <c r="C60" s="20">
        <f>+'Centralna država-ek klas'!C76+'Lokalna država-ek klas '!C70</f>
        <v>4449199.53</v>
      </c>
      <c r="D60" s="40">
        <f t="shared" si="0"/>
        <v>6.3252765567244809E-2</v>
      </c>
      <c r="E60" s="20">
        <f>+'Centralna država-ek klas'!E76+'Lokalna država-ek klas '!E70</f>
        <v>7000000</v>
      </c>
      <c r="F60" s="40">
        <f t="shared" si="1"/>
        <v>9.9516633494455498E-2</v>
      </c>
      <c r="G60" s="20">
        <f t="shared" si="9"/>
        <v>-2550800.4699999997</v>
      </c>
      <c r="H60" s="89">
        <f t="shared" si="3"/>
        <v>-36.440006714285708</v>
      </c>
      <c r="I60" s="20">
        <f>+'Centralna država-ek klas'!I76+'Lokalna država-ek klas '!I70</f>
        <v>3916712.1900000004</v>
      </c>
      <c r="J60" s="40">
        <f t="shared" si="4"/>
        <v>5.7202346885215076E-2</v>
      </c>
      <c r="K60" s="20">
        <f t="shared" si="10"/>
        <v>532487.33999999985</v>
      </c>
      <c r="L60" s="89">
        <f t="shared" si="6"/>
        <v>13.595263429350936</v>
      </c>
      <c r="M60" s="71" t="s">
        <v>146</v>
      </c>
    </row>
    <row r="61" spans="1:16357" ht="15" customHeight="1">
      <c r="A61" s="28">
        <v>73</v>
      </c>
      <c r="B61" s="19" t="s">
        <v>187</v>
      </c>
      <c r="C61" s="20">
        <f>+'Centralna država-ek klas'!C77+'Lokalna država-ek klas '!C71</f>
        <v>10156113.109999999</v>
      </c>
      <c r="D61" s="40">
        <f t="shared" si="0"/>
        <v>0.14438602658515778</v>
      </c>
      <c r="E61" s="20">
        <f>+'Centralna država-ek klas'!E77+'Lokalna država-ek klas '!E71</f>
        <v>4306463.6537240706</v>
      </c>
      <c r="F61" s="40">
        <f t="shared" si="1"/>
        <v>6.1223537869264585E-2</v>
      </c>
      <c r="G61" s="20">
        <f t="shared" si="9"/>
        <v>5849649.4562759288</v>
      </c>
      <c r="H61" s="89">
        <f t="shared" si="3"/>
        <v>135.83417687079208</v>
      </c>
      <c r="I61" s="20">
        <f>+'Centralna država-ek klas'!I77+'Lokalna država-ek klas '!I71</f>
        <v>8514058.0600000005</v>
      </c>
      <c r="J61" s="40">
        <f t="shared" si="4"/>
        <v>0.12434513411335982</v>
      </c>
      <c r="K61" s="20">
        <f t="shared" si="10"/>
        <v>1642055.0499999989</v>
      </c>
      <c r="L61" s="89">
        <f t="shared" si="6"/>
        <v>19.286397137864924</v>
      </c>
      <c r="M61" s="71" t="s">
        <v>108</v>
      </c>
    </row>
    <row r="62" spans="1:16357" ht="15" customHeight="1">
      <c r="A62" s="28"/>
      <c r="B62" s="29" t="s">
        <v>152</v>
      </c>
      <c r="C62" s="30">
        <f>+'Lokalna država-ek klas '!C72</f>
        <v>9477173.8300000019</v>
      </c>
      <c r="D62" s="40">
        <f t="shared" si="0"/>
        <v>0.13473377637190789</v>
      </c>
      <c r="E62" s="30">
        <f>+'Lokalna država-ek klas '!E72</f>
        <v>5000000</v>
      </c>
      <c r="F62" s="40">
        <f t="shared" si="1"/>
        <v>7.1083309638896794E-2</v>
      </c>
      <c r="G62" s="20">
        <f t="shared" si="9"/>
        <v>4477173.8300000019</v>
      </c>
      <c r="H62" s="89">
        <f t="shared" si="3"/>
        <v>89.543476600000048</v>
      </c>
      <c r="I62" s="30">
        <f>+'Lokalna država-ek klas '!I72</f>
        <v>5944928.1500000004</v>
      </c>
      <c r="J62" s="40">
        <f t="shared" si="4"/>
        <v>8.6823801634497905E-2</v>
      </c>
      <c r="K62" s="20">
        <f t="shared" si="10"/>
        <v>3532245.6800000016</v>
      </c>
      <c r="L62" s="89">
        <f t="shared" si="6"/>
        <v>59.416120613669676</v>
      </c>
      <c r="M62" s="74" t="s">
        <v>153</v>
      </c>
    </row>
    <row r="63" spans="1:16357" ht="15" customHeight="1" thickBot="1">
      <c r="A63" s="24"/>
      <c r="B63" s="25" t="s">
        <v>50</v>
      </c>
      <c r="C63" s="26">
        <f>+-C56-(SUM(C58:C62)+C46)</f>
        <v>-444051043.11100012</v>
      </c>
      <c r="D63" s="42">
        <f t="shared" si="0"/>
        <v>-6.3129235585868653</v>
      </c>
      <c r="E63" s="26">
        <f>+-E56-(SUM(E58:E62)+E46)</f>
        <v>-220716905.11043096</v>
      </c>
      <c r="F63" s="42">
        <f t="shared" si="1"/>
        <v>-3.137857621700753</v>
      </c>
      <c r="G63" s="26">
        <f t="shared" si="9"/>
        <v>-223334138.00056916</v>
      </c>
      <c r="H63" s="95">
        <f t="shared" si="3"/>
        <v>101.18578723674509</v>
      </c>
      <c r="I63" s="26">
        <f>+-I56-(SUM(I58:I62)+I46)</f>
        <v>-132375624.53999999</v>
      </c>
      <c r="J63" s="42">
        <f t="shared" si="4"/>
        <v>-1.9333042681607064</v>
      </c>
      <c r="K63" s="26">
        <f t="shared" si="10"/>
        <v>-311675418.5710001</v>
      </c>
      <c r="L63" s="95">
        <f t="shared" si="6"/>
        <v>235.44774172288874</v>
      </c>
      <c r="M63" s="75" t="s">
        <v>147</v>
      </c>
    </row>
    <row r="64" spans="1:16357" ht="13.5" customHeight="1"/>
  </sheetData>
  <sheetProtection algorithmName="SHA-512" hashValue="AZcI4+aEAeeNKEEIEfGO+wrTpLM8XMajtEjDBO97UuOpglRzIuwyBnj50n4EK3EUbLOvi0cAH2sM5LlGYuO1ug==" saltValue="PeXOSuTiebCNsJxyDlnogQ=="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15"/>
      <c r="C4" s="115" t="s">
        <v>174</v>
      </c>
      <c r="D4" s="127" t="s">
        <v>175</v>
      </c>
    </row>
    <row r="5" spans="2:4">
      <c r="B5" s="116"/>
      <c r="C5" s="116"/>
      <c r="D5" s="128"/>
    </row>
    <row r="6" spans="2:4" ht="13.5">
      <c r="B6" s="22" t="s">
        <v>178</v>
      </c>
      <c r="C6" s="23">
        <v>51122438.960000001</v>
      </c>
      <c r="D6" s="23">
        <v>50118940.61699906</v>
      </c>
    </row>
    <row r="7" spans="2:4" ht="13.5">
      <c r="B7" s="22" t="s">
        <v>177</v>
      </c>
      <c r="C7" s="23">
        <v>59697131.339999996</v>
      </c>
      <c r="D7" s="23">
        <v>57763326.64507816</v>
      </c>
    </row>
    <row r="8" spans="2:4" ht="13.5">
      <c r="B8" s="22" t="s">
        <v>176</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Bojan Paunovic</cp:lastModifiedBy>
  <cp:lastPrinted>2024-05-10T11:00:48Z</cp:lastPrinted>
  <dcterms:created xsi:type="dcterms:W3CDTF">2008-03-17T08:49:23Z</dcterms:created>
  <dcterms:modified xsi:type="dcterms:W3CDTF">2024-08-20T07:38:32Z</dcterms:modified>
</cp:coreProperties>
</file>